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35" yWindow="75" windowWidth="9225" windowHeight="8220" firstSheet="1" activeTab="1"/>
  </bookViews>
  <sheets>
    <sheet name="Flujo de desembolsos" sheetId="4" state="hidden" r:id="rId1"/>
    <sheet name="RESUMEN POR COMPON Y CAT %" sheetId="26" r:id="rId2"/>
    <sheet name="POA CONSOLIDADO" sheetId="36" r:id="rId3"/>
    <sheet name="PAC CONSOLIDADO" sheetId="34" r:id="rId4"/>
    <sheet name="POA AÑO 1-3" sheetId="31" state="hidden" r:id="rId5"/>
    <sheet name="CRITERIOS" sheetId="39" r:id="rId6"/>
    <sheet name="COSTEO PRODUCTOS MATRIZ DE RESU" sheetId="38" r:id="rId7"/>
  </sheets>
  <externalReferences>
    <externalReference r:id="rId8"/>
  </externalReferences>
  <definedNames>
    <definedName name="_xlnm._FilterDatabase" localSheetId="5" hidden="1">CRITERIOS!$A$1:$AD$107</definedName>
    <definedName name="_xlnm._FilterDatabase" localSheetId="3" hidden="1">'PAC CONSOLIDADO'!$A$1:$T$210</definedName>
    <definedName name="_xlnm._FilterDatabase" localSheetId="4" hidden="1">'POA AÑO 1-3'!$A$6:$AS$24</definedName>
    <definedName name="_ftn1" localSheetId="3">'PAC CONSOLIDADO'!#REF!</definedName>
    <definedName name="_ftnref1" localSheetId="3">'PAC CONSOLIDADO'!#REF!</definedName>
    <definedName name="_xlnm.Print_Area" localSheetId="2">'POA CONSOLIDADO'!$A$4:$L$210</definedName>
    <definedName name="_xlnm.Print_Titles" localSheetId="3">'PAC CONSOLIDADO'!$4:$5</definedName>
    <definedName name="_xlnm.Print_Titles" localSheetId="4">'POA AÑO 1-3'!$6:$8</definedName>
    <definedName name="_xlnm.Print_Titles" localSheetId="2">'POA CONSOLIDADO'!$6:$7</definedName>
  </definedNames>
  <calcPr calcId="145621"/>
</workbook>
</file>

<file path=xl/calcChain.xml><?xml version="1.0" encoding="utf-8"?>
<calcChain xmlns="http://schemas.openxmlformats.org/spreadsheetml/2006/main">
  <c r="J209" i="34" l="1"/>
  <c r="J215" i="34" l="1"/>
  <c r="J216" i="34"/>
  <c r="J217" i="34"/>
  <c r="J214" i="34"/>
  <c r="G218" i="34"/>
  <c r="H218" i="34"/>
  <c r="I218" i="34"/>
  <c r="F218" i="34"/>
  <c r="D172" i="36"/>
  <c r="F172" i="36"/>
  <c r="H172" i="36"/>
  <c r="I172" i="36"/>
  <c r="J172" i="36"/>
  <c r="J218" i="34" l="1"/>
  <c r="F38" i="26"/>
  <c r="C38" i="26"/>
  <c r="D38" i="26"/>
  <c r="E38" i="26"/>
  <c r="F33" i="26"/>
  <c r="A25" i="26"/>
  <c r="D207" i="36"/>
  <c r="F207" i="36"/>
  <c r="H207" i="36"/>
  <c r="J207" i="36"/>
  <c r="L207" i="36"/>
  <c r="D204" i="36"/>
  <c r="F204" i="36"/>
  <c r="H204" i="36"/>
  <c r="I204" i="36"/>
  <c r="J204" i="36"/>
  <c r="L204" i="36"/>
  <c r="C204" i="36"/>
  <c r="D201" i="36"/>
  <c r="F201" i="36"/>
  <c r="H201" i="36"/>
  <c r="I201" i="36"/>
  <c r="J201" i="36"/>
  <c r="L201" i="36"/>
  <c r="C201" i="36"/>
  <c r="D198" i="36"/>
  <c r="F198" i="36"/>
  <c r="H198" i="36"/>
  <c r="I198" i="36"/>
  <c r="J198" i="36"/>
  <c r="C198" i="36"/>
  <c r="L198" i="36"/>
  <c r="D173" i="36"/>
  <c r="F173" i="36"/>
  <c r="G173" i="36"/>
  <c r="H173" i="36"/>
  <c r="I173" i="36"/>
  <c r="J173" i="36"/>
  <c r="L173" i="36"/>
  <c r="D168" i="36"/>
  <c r="F168" i="36"/>
  <c r="H168" i="36"/>
  <c r="J168" i="36"/>
  <c r="L168" i="36"/>
  <c r="D164" i="36"/>
  <c r="F164" i="36"/>
  <c r="H164" i="36"/>
  <c r="H49" i="36" s="1"/>
  <c r="J164" i="36"/>
  <c r="L164" i="36"/>
  <c r="D160" i="36"/>
  <c r="F160" i="36"/>
  <c r="H160" i="36"/>
  <c r="J160" i="36"/>
  <c r="L160" i="36"/>
  <c r="D156" i="36"/>
  <c r="F156" i="36"/>
  <c r="H156" i="36"/>
  <c r="J156" i="36"/>
  <c r="L156" i="36"/>
  <c r="D113" i="36"/>
  <c r="F113" i="36"/>
  <c r="H113" i="36"/>
  <c r="I113" i="36"/>
  <c r="J113" i="36"/>
  <c r="L113" i="36"/>
  <c r="D50" i="36"/>
  <c r="F50" i="36"/>
  <c r="H50" i="36"/>
  <c r="J50" i="36"/>
  <c r="L8" i="36"/>
  <c r="B206" i="36"/>
  <c r="B205" i="36"/>
  <c r="A204" i="36"/>
  <c r="A24" i="26" s="1"/>
  <c r="B203" i="36"/>
  <c r="B202" i="36"/>
  <c r="A201" i="36"/>
  <c r="A23" i="26" s="1"/>
  <c r="B200" i="36"/>
  <c r="B199" i="36"/>
  <c r="A198" i="36"/>
  <c r="A22" i="26" s="1"/>
  <c r="B196" i="36"/>
  <c r="B197" i="36"/>
  <c r="B193" i="36"/>
  <c r="B194" i="36"/>
  <c r="B195" i="36"/>
  <c r="B192" i="36"/>
  <c r="B189" i="36"/>
  <c r="B190" i="36"/>
  <c r="B191" i="36"/>
  <c r="B175" i="36"/>
  <c r="B176" i="36"/>
  <c r="B177" i="36"/>
  <c r="B178" i="36"/>
  <c r="B179" i="36"/>
  <c r="B180" i="36"/>
  <c r="B181" i="36"/>
  <c r="B182" i="36"/>
  <c r="B183" i="36"/>
  <c r="B184" i="36"/>
  <c r="B185" i="36"/>
  <c r="B186" i="36"/>
  <c r="B187" i="36"/>
  <c r="B188" i="36"/>
  <c r="B174" i="36"/>
  <c r="A173" i="36"/>
  <c r="A21" i="26" s="1"/>
  <c r="A172" i="36"/>
  <c r="A20" i="26" s="1"/>
  <c r="B171" i="36"/>
  <c r="B170" i="36"/>
  <c r="B169" i="36"/>
  <c r="C168" i="36"/>
  <c r="A168" i="36"/>
  <c r="A19" i="26" s="1"/>
  <c r="B167" i="36"/>
  <c r="B166" i="36"/>
  <c r="B165" i="36"/>
  <c r="C164" i="36"/>
  <c r="A164" i="36"/>
  <c r="A18" i="26" s="1"/>
  <c r="B163" i="36"/>
  <c r="B162" i="36"/>
  <c r="B161" i="36"/>
  <c r="C160" i="36"/>
  <c r="A160" i="36"/>
  <c r="A17" i="26" s="1"/>
  <c r="C156" i="36"/>
  <c r="B157" i="36"/>
  <c r="B158" i="36"/>
  <c r="B159" i="36"/>
  <c r="A156" i="36"/>
  <c r="A16" i="26" s="1"/>
  <c r="B154" i="36"/>
  <c r="B155" i="36"/>
  <c r="B152" i="36"/>
  <c r="B153" i="36"/>
  <c r="B150" i="36"/>
  <c r="B151" i="36"/>
  <c r="B145" i="36"/>
  <c r="B146" i="36"/>
  <c r="B147" i="36"/>
  <c r="B148" i="36"/>
  <c r="B149" i="36"/>
  <c r="B139" i="36"/>
  <c r="B140" i="36"/>
  <c r="B141" i="36"/>
  <c r="B142" i="36"/>
  <c r="B143" i="36"/>
  <c r="B144" i="36"/>
  <c r="B130" i="36"/>
  <c r="B131" i="36"/>
  <c r="B132" i="36"/>
  <c r="B133" i="36"/>
  <c r="B134" i="36"/>
  <c r="B135" i="36"/>
  <c r="B136" i="36"/>
  <c r="B137" i="36"/>
  <c r="B138" i="36"/>
  <c r="B120" i="36"/>
  <c r="B121" i="36"/>
  <c r="B122" i="36"/>
  <c r="B123" i="36"/>
  <c r="B124" i="36"/>
  <c r="B125" i="36"/>
  <c r="B126" i="36"/>
  <c r="B127" i="36"/>
  <c r="B128" i="36"/>
  <c r="B129" i="36"/>
  <c r="B115" i="36"/>
  <c r="B116" i="36"/>
  <c r="B117" i="36"/>
  <c r="B118" i="36"/>
  <c r="B119" i="36"/>
  <c r="B114" i="36"/>
  <c r="A113" i="36"/>
  <c r="A15" i="26" s="1"/>
  <c r="B112" i="36"/>
  <c r="B109" i="36"/>
  <c r="B110" i="36"/>
  <c r="B111" i="36"/>
  <c r="B106" i="36"/>
  <c r="B107" i="36"/>
  <c r="B108" i="36"/>
  <c r="B104" i="36"/>
  <c r="B105" i="36"/>
  <c r="B99" i="36"/>
  <c r="B100" i="36"/>
  <c r="B101" i="36"/>
  <c r="B102" i="36"/>
  <c r="B103" i="36"/>
  <c r="B98" i="36"/>
  <c r="B95" i="36"/>
  <c r="B96" i="36"/>
  <c r="B97" i="36"/>
  <c r="B87" i="36"/>
  <c r="B88" i="36"/>
  <c r="B89" i="36"/>
  <c r="B90" i="36"/>
  <c r="B91" i="36"/>
  <c r="B92" i="36"/>
  <c r="B93" i="36"/>
  <c r="B94" i="36"/>
  <c r="B52" i="36"/>
  <c r="B53" i="36"/>
  <c r="B54" i="36"/>
  <c r="B55" i="36"/>
  <c r="B56" i="36"/>
  <c r="B57" i="36"/>
  <c r="B58" i="36"/>
  <c r="B59" i="36"/>
  <c r="B60" i="36"/>
  <c r="B61" i="36"/>
  <c r="B62" i="36"/>
  <c r="B63" i="36"/>
  <c r="B64" i="36"/>
  <c r="B65" i="36"/>
  <c r="B66" i="36"/>
  <c r="B67" i="36"/>
  <c r="B68" i="36"/>
  <c r="B69" i="36"/>
  <c r="B70" i="36"/>
  <c r="B71" i="36"/>
  <c r="B72" i="36"/>
  <c r="B73" i="36"/>
  <c r="B74" i="36"/>
  <c r="B75" i="36"/>
  <c r="B76" i="36"/>
  <c r="B77" i="36"/>
  <c r="B78" i="36"/>
  <c r="B79" i="36"/>
  <c r="B80" i="36"/>
  <c r="B81" i="36"/>
  <c r="B82" i="36"/>
  <c r="B83" i="36"/>
  <c r="B84" i="36"/>
  <c r="B85" i="36"/>
  <c r="B86" i="36"/>
  <c r="B51" i="36"/>
  <c r="A50" i="36"/>
  <c r="A14" i="26" s="1"/>
  <c r="A49" i="36"/>
  <c r="A13" i="26" s="1"/>
  <c r="I45" i="36"/>
  <c r="I41" i="36"/>
  <c r="B48" i="36"/>
  <c r="B47" i="36"/>
  <c r="B46" i="36"/>
  <c r="A45" i="36"/>
  <c r="A12" i="26" s="1"/>
  <c r="B44" i="36"/>
  <c r="B43" i="36"/>
  <c r="B42" i="36"/>
  <c r="A41" i="36"/>
  <c r="A11" i="26" s="1"/>
  <c r="C37" i="36"/>
  <c r="B40" i="36"/>
  <c r="B39" i="36"/>
  <c r="B38" i="36"/>
  <c r="A37" i="36"/>
  <c r="A10" i="26" s="1"/>
  <c r="C33" i="36"/>
  <c r="B36" i="36"/>
  <c r="B35" i="36"/>
  <c r="B34" i="36"/>
  <c r="D27" i="36"/>
  <c r="D8" i="36" s="1"/>
  <c r="F27" i="36"/>
  <c r="F8" i="36" s="1"/>
  <c r="G27" i="36"/>
  <c r="H27" i="36"/>
  <c r="H8" i="36" s="1"/>
  <c r="I27" i="36"/>
  <c r="J27" i="36"/>
  <c r="J8" i="36" s="1"/>
  <c r="A33" i="36"/>
  <c r="A9" i="26" s="1"/>
  <c r="B11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A27" i="36"/>
  <c r="A8" i="26" s="1"/>
  <c r="B28" i="36"/>
  <c r="B29" i="36"/>
  <c r="B30" i="36"/>
  <c r="B31" i="36"/>
  <c r="B32" i="36"/>
  <c r="B10" i="36"/>
  <c r="A9" i="36"/>
  <c r="A7" i="26" s="1"/>
  <c r="A8" i="36"/>
  <c r="A6" i="26" s="1"/>
  <c r="H210" i="36" l="1"/>
  <c r="F49" i="36"/>
  <c r="D49" i="36"/>
  <c r="L172" i="36"/>
  <c r="F210" i="36"/>
  <c r="J210" i="36"/>
  <c r="J49" i="36"/>
  <c r="J26" i="34"/>
  <c r="C28" i="36" s="1"/>
  <c r="K28" i="36" s="1"/>
  <c r="S105" i="39"/>
  <c r="I105" i="39"/>
  <c r="K105" i="39"/>
  <c r="L105" i="39"/>
  <c r="M105" i="39"/>
  <c r="AB155" i="34"/>
  <c r="U167" i="34" s="1"/>
  <c r="Z155" i="34"/>
  <c r="X155" i="34"/>
  <c r="V155" i="34"/>
  <c r="Q104" i="39"/>
  <c r="X104" i="39" s="1"/>
  <c r="P104" i="39"/>
  <c r="W104" i="39" s="1"/>
  <c r="N104" i="39"/>
  <c r="R104" i="39" s="1"/>
  <c r="Q103" i="39"/>
  <c r="X103" i="39" s="1"/>
  <c r="P103" i="39"/>
  <c r="W103" i="39" s="1"/>
  <c r="N103" i="39"/>
  <c r="R103" i="39" s="1"/>
  <c r="Q102" i="39"/>
  <c r="X102" i="39" s="1"/>
  <c r="P102" i="39"/>
  <c r="W102" i="39" s="1"/>
  <c r="N102" i="39"/>
  <c r="Q101" i="39"/>
  <c r="X101" i="39" s="1"/>
  <c r="P101" i="39"/>
  <c r="W101" i="39" s="1"/>
  <c r="N101" i="39"/>
  <c r="R101" i="39" s="1"/>
  <c r="Q100" i="39"/>
  <c r="X100" i="39" s="1"/>
  <c r="P100" i="39"/>
  <c r="W100" i="39" s="1"/>
  <c r="N100" i="39"/>
  <c r="R100" i="39" s="1"/>
  <c r="Q99" i="39"/>
  <c r="X99" i="39" s="1"/>
  <c r="P99" i="39"/>
  <c r="W99" i="39" s="1"/>
  <c r="N99" i="39"/>
  <c r="R99" i="39" s="1"/>
  <c r="Q98" i="39"/>
  <c r="X98" i="39" s="1"/>
  <c r="P98" i="39"/>
  <c r="W98" i="39" s="1"/>
  <c r="N98" i="39"/>
  <c r="Q97" i="39"/>
  <c r="X97" i="39" s="1"/>
  <c r="P97" i="39"/>
  <c r="W97" i="39" s="1"/>
  <c r="N97" i="39"/>
  <c r="R97" i="39" s="1"/>
  <c r="Q96" i="39"/>
  <c r="X96" i="39" s="1"/>
  <c r="P96" i="39"/>
  <c r="W96" i="39" s="1"/>
  <c r="N96" i="39"/>
  <c r="R96" i="39" s="1"/>
  <c r="Q95" i="39"/>
  <c r="X95" i="39" s="1"/>
  <c r="P95" i="39"/>
  <c r="W95" i="39" s="1"/>
  <c r="N95" i="39"/>
  <c r="R95" i="39" s="1"/>
  <c r="Q94" i="39"/>
  <c r="X94" i="39" s="1"/>
  <c r="P94" i="39"/>
  <c r="W94" i="39" s="1"/>
  <c r="N94" i="39"/>
  <c r="Q93" i="39"/>
  <c r="X93" i="39" s="1"/>
  <c r="P93" i="39"/>
  <c r="W93" i="39" s="1"/>
  <c r="N93" i="39"/>
  <c r="R93" i="39" s="1"/>
  <c r="Q92" i="39"/>
  <c r="X92" i="39" s="1"/>
  <c r="P92" i="39"/>
  <c r="W92" i="39" s="1"/>
  <c r="N92" i="39"/>
  <c r="Q91" i="39"/>
  <c r="X91" i="39" s="1"/>
  <c r="P91" i="39"/>
  <c r="W91" i="39" s="1"/>
  <c r="N91" i="39"/>
  <c r="R91" i="39" s="1"/>
  <c r="Q90" i="39"/>
  <c r="X90" i="39" s="1"/>
  <c r="P90" i="39"/>
  <c r="W90" i="39" s="1"/>
  <c r="N90" i="39"/>
  <c r="Q89" i="39"/>
  <c r="X89" i="39" s="1"/>
  <c r="P89" i="39"/>
  <c r="W89" i="39" s="1"/>
  <c r="N89" i="39"/>
  <c r="R89" i="39" s="1"/>
  <c r="Q88" i="39"/>
  <c r="X88" i="39" s="1"/>
  <c r="P88" i="39"/>
  <c r="W88" i="39" s="1"/>
  <c r="N88" i="39"/>
  <c r="R88" i="39" s="1"/>
  <c r="Q87" i="39"/>
  <c r="X87" i="39" s="1"/>
  <c r="P87" i="39"/>
  <c r="W87" i="39" s="1"/>
  <c r="N87" i="39"/>
  <c r="R87" i="39" s="1"/>
  <c r="Q86" i="39"/>
  <c r="X86" i="39" s="1"/>
  <c r="P86" i="39"/>
  <c r="W86" i="39" s="1"/>
  <c r="N86" i="39"/>
  <c r="Q85" i="39"/>
  <c r="X85" i="39" s="1"/>
  <c r="P85" i="39"/>
  <c r="W85" i="39" s="1"/>
  <c r="N85" i="39"/>
  <c r="R85" i="39" s="1"/>
  <c r="Q84" i="39"/>
  <c r="X84" i="39" s="1"/>
  <c r="P84" i="39"/>
  <c r="W84" i="39" s="1"/>
  <c r="N84" i="39"/>
  <c r="R84" i="39" s="1"/>
  <c r="Q83" i="39"/>
  <c r="X83" i="39" s="1"/>
  <c r="P83" i="39"/>
  <c r="W83" i="39" s="1"/>
  <c r="N83" i="39"/>
  <c r="R83" i="39" s="1"/>
  <c r="Q82" i="39"/>
  <c r="X82" i="39" s="1"/>
  <c r="P82" i="39"/>
  <c r="W82" i="39" s="1"/>
  <c r="N82" i="39"/>
  <c r="Q81" i="39"/>
  <c r="X81" i="39" s="1"/>
  <c r="P81" i="39"/>
  <c r="W81" i="39" s="1"/>
  <c r="N81" i="39"/>
  <c r="R81" i="39" s="1"/>
  <c r="Q80" i="39"/>
  <c r="X80" i="39" s="1"/>
  <c r="P80" i="39"/>
  <c r="W80" i="39" s="1"/>
  <c r="N80" i="39"/>
  <c r="R80" i="39" s="1"/>
  <c r="Q79" i="39"/>
  <c r="X79" i="39" s="1"/>
  <c r="P79" i="39"/>
  <c r="W79" i="39" s="1"/>
  <c r="N79" i="39"/>
  <c r="R79" i="39" s="1"/>
  <c r="Q78" i="39"/>
  <c r="X78" i="39" s="1"/>
  <c r="P78" i="39"/>
  <c r="W78" i="39" s="1"/>
  <c r="N78" i="39"/>
  <c r="Q77" i="39"/>
  <c r="X77" i="39" s="1"/>
  <c r="P77" i="39"/>
  <c r="W77" i="39" s="1"/>
  <c r="N77" i="39"/>
  <c r="R77" i="39" s="1"/>
  <c r="Q76" i="39"/>
  <c r="X76" i="39" s="1"/>
  <c r="P76" i="39"/>
  <c r="W76" i="39" s="1"/>
  <c r="N76" i="39"/>
  <c r="Q75" i="39"/>
  <c r="X75" i="39" s="1"/>
  <c r="P75" i="39"/>
  <c r="W75" i="39" s="1"/>
  <c r="N75" i="39"/>
  <c r="R75" i="39" s="1"/>
  <c r="Q74" i="39"/>
  <c r="X74" i="39" s="1"/>
  <c r="P74" i="39"/>
  <c r="W74" i="39" s="1"/>
  <c r="N74" i="39"/>
  <c r="Q73" i="39"/>
  <c r="X73" i="39" s="1"/>
  <c r="P73" i="39"/>
  <c r="W73" i="39" s="1"/>
  <c r="N73" i="39"/>
  <c r="R73" i="39" s="1"/>
  <c r="Q72" i="39"/>
  <c r="X72" i="39" s="1"/>
  <c r="P72" i="39"/>
  <c r="W72" i="39" s="1"/>
  <c r="N72" i="39"/>
  <c r="R72" i="39" s="1"/>
  <c r="Q71" i="39"/>
  <c r="X71" i="39" s="1"/>
  <c r="P71" i="39"/>
  <c r="W71" i="39" s="1"/>
  <c r="N71" i="39"/>
  <c r="R71" i="39" s="1"/>
  <c r="Q70" i="39"/>
  <c r="X70" i="39" s="1"/>
  <c r="P70" i="39"/>
  <c r="W70" i="39" s="1"/>
  <c r="N70" i="39"/>
  <c r="Q69" i="39"/>
  <c r="X69" i="39" s="1"/>
  <c r="P69" i="39"/>
  <c r="W69" i="39" s="1"/>
  <c r="N69" i="39"/>
  <c r="R69" i="39" s="1"/>
  <c r="Q68" i="39"/>
  <c r="X68" i="39" s="1"/>
  <c r="P68" i="39"/>
  <c r="W68" i="39" s="1"/>
  <c r="N68" i="39"/>
  <c r="R68" i="39" s="1"/>
  <c r="Q67" i="39"/>
  <c r="X67" i="39" s="1"/>
  <c r="P67" i="39"/>
  <c r="W67" i="39" s="1"/>
  <c r="N67" i="39"/>
  <c r="R67" i="39" s="1"/>
  <c r="Q66" i="39"/>
  <c r="X66" i="39" s="1"/>
  <c r="P66" i="39"/>
  <c r="W66" i="39" s="1"/>
  <c r="N66" i="39"/>
  <c r="Q65" i="39"/>
  <c r="X65" i="39" s="1"/>
  <c r="P65" i="39"/>
  <c r="W65" i="39" s="1"/>
  <c r="N65" i="39"/>
  <c r="R65" i="39" s="1"/>
  <c r="Q64" i="39"/>
  <c r="X64" i="39" s="1"/>
  <c r="P64" i="39"/>
  <c r="W64" i="39" s="1"/>
  <c r="N64" i="39"/>
  <c r="Q63" i="39"/>
  <c r="X63" i="39" s="1"/>
  <c r="P63" i="39"/>
  <c r="W63" i="39" s="1"/>
  <c r="N63" i="39"/>
  <c r="R63" i="39" s="1"/>
  <c r="Q62" i="39"/>
  <c r="X62" i="39" s="1"/>
  <c r="P62" i="39"/>
  <c r="W62" i="39" s="1"/>
  <c r="N62" i="39"/>
  <c r="Q61" i="39"/>
  <c r="X61" i="39" s="1"/>
  <c r="P61" i="39"/>
  <c r="W61" i="39" s="1"/>
  <c r="N61" i="39"/>
  <c r="R61" i="39" s="1"/>
  <c r="Q60" i="39"/>
  <c r="X60" i="39" s="1"/>
  <c r="P60" i="39"/>
  <c r="W60" i="39" s="1"/>
  <c r="N60" i="39"/>
  <c r="Q59" i="39"/>
  <c r="X59" i="39" s="1"/>
  <c r="P59" i="39"/>
  <c r="W59" i="39" s="1"/>
  <c r="N59" i="39"/>
  <c r="R59" i="39" s="1"/>
  <c r="Q58" i="39"/>
  <c r="X58" i="39" s="1"/>
  <c r="P58" i="39"/>
  <c r="W58" i="39" s="1"/>
  <c r="N58" i="39"/>
  <c r="Q57" i="39"/>
  <c r="X57" i="39" s="1"/>
  <c r="P57" i="39"/>
  <c r="W57" i="39" s="1"/>
  <c r="N57" i="39"/>
  <c r="Q56" i="39"/>
  <c r="X56" i="39" s="1"/>
  <c r="P56" i="39"/>
  <c r="W56" i="39" s="1"/>
  <c r="N56" i="39"/>
  <c r="R56" i="39" s="1"/>
  <c r="Q55" i="39"/>
  <c r="X55" i="39" s="1"/>
  <c r="P55" i="39"/>
  <c r="W55" i="39" s="1"/>
  <c r="N55" i="39"/>
  <c r="R55" i="39" s="1"/>
  <c r="Q54" i="39"/>
  <c r="X54" i="39" s="1"/>
  <c r="P54" i="39"/>
  <c r="W54" i="39" s="1"/>
  <c r="N54" i="39"/>
  <c r="Q53" i="39"/>
  <c r="X53" i="39" s="1"/>
  <c r="P53" i="39"/>
  <c r="W53" i="39" s="1"/>
  <c r="N53" i="39"/>
  <c r="Q52" i="39"/>
  <c r="X52" i="39" s="1"/>
  <c r="P52" i="39"/>
  <c r="W52" i="39" s="1"/>
  <c r="N52" i="39"/>
  <c r="R52" i="39" s="1"/>
  <c r="Q51" i="39"/>
  <c r="X51" i="39" s="1"/>
  <c r="P51" i="39"/>
  <c r="W51" i="39" s="1"/>
  <c r="N51" i="39"/>
  <c r="R51" i="39" s="1"/>
  <c r="Q50" i="39"/>
  <c r="X50" i="39" s="1"/>
  <c r="P50" i="39"/>
  <c r="W50" i="39" s="1"/>
  <c r="N50" i="39"/>
  <c r="Q49" i="39"/>
  <c r="X49" i="39" s="1"/>
  <c r="P49" i="39"/>
  <c r="W49" i="39" s="1"/>
  <c r="N49" i="39"/>
  <c r="Q48" i="39"/>
  <c r="X48" i="39" s="1"/>
  <c r="P48" i="39"/>
  <c r="W48" i="39" s="1"/>
  <c r="N48" i="39"/>
  <c r="R48" i="39" s="1"/>
  <c r="Q47" i="39"/>
  <c r="X47" i="39" s="1"/>
  <c r="P47" i="39"/>
  <c r="W47" i="39" s="1"/>
  <c r="N47" i="39"/>
  <c r="R47" i="39" s="1"/>
  <c r="Q46" i="39"/>
  <c r="X46" i="39" s="1"/>
  <c r="P46" i="39"/>
  <c r="W46" i="39" s="1"/>
  <c r="N46" i="39"/>
  <c r="R46" i="39" s="1"/>
  <c r="Q45" i="39"/>
  <c r="X45" i="39" s="1"/>
  <c r="P45" i="39"/>
  <c r="W45" i="39" s="1"/>
  <c r="N45" i="39"/>
  <c r="Q44" i="39"/>
  <c r="X44" i="39" s="1"/>
  <c r="P44" i="39"/>
  <c r="W44" i="39" s="1"/>
  <c r="N44" i="39"/>
  <c r="R44" i="39" s="1"/>
  <c r="Q43" i="39"/>
  <c r="X43" i="39" s="1"/>
  <c r="P43" i="39"/>
  <c r="W43" i="39" s="1"/>
  <c r="N43" i="39"/>
  <c r="R43" i="39" s="1"/>
  <c r="Q42" i="39"/>
  <c r="P42" i="39"/>
  <c r="W42" i="39" s="1"/>
  <c r="N42" i="39"/>
  <c r="R42" i="39" s="1"/>
  <c r="Q41" i="39"/>
  <c r="X41" i="39" s="1"/>
  <c r="P41" i="39"/>
  <c r="W41" i="39" s="1"/>
  <c r="N41" i="39"/>
  <c r="R41" i="39" s="1"/>
  <c r="Q40" i="39"/>
  <c r="X40" i="39" s="1"/>
  <c r="P40" i="39"/>
  <c r="W40" i="39" s="1"/>
  <c r="N40" i="39"/>
  <c r="R40" i="39" s="1"/>
  <c r="Q39" i="39"/>
  <c r="X39" i="39" s="1"/>
  <c r="P39" i="39"/>
  <c r="W39" i="39" s="1"/>
  <c r="N39" i="39"/>
  <c r="R39" i="39" s="1"/>
  <c r="Q38" i="39"/>
  <c r="X38" i="39" s="1"/>
  <c r="P38" i="39"/>
  <c r="W38" i="39" s="1"/>
  <c r="N38" i="39"/>
  <c r="R38" i="39" s="1"/>
  <c r="Q37" i="39"/>
  <c r="X37" i="39" s="1"/>
  <c r="P37" i="39"/>
  <c r="W37" i="39" s="1"/>
  <c r="N37" i="39"/>
  <c r="Q36" i="39"/>
  <c r="X36" i="39" s="1"/>
  <c r="P36" i="39"/>
  <c r="W36" i="39" s="1"/>
  <c r="N36" i="39"/>
  <c r="Q35" i="39"/>
  <c r="X35" i="39" s="1"/>
  <c r="P35" i="39"/>
  <c r="W35" i="39" s="1"/>
  <c r="N35" i="39"/>
  <c r="Q34" i="39"/>
  <c r="P34" i="39"/>
  <c r="W34" i="39" s="1"/>
  <c r="N34" i="39"/>
  <c r="R34" i="39" s="1"/>
  <c r="Q33" i="39"/>
  <c r="X33" i="39" s="1"/>
  <c r="P33" i="39"/>
  <c r="W33" i="39" s="1"/>
  <c r="N33" i="39"/>
  <c r="R33" i="39" s="1"/>
  <c r="Q32" i="39"/>
  <c r="X32" i="39" s="1"/>
  <c r="P32" i="39"/>
  <c r="W32" i="39" s="1"/>
  <c r="N32" i="39"/>
  <c r="R32" i="39" s="1"/>
  <c r="Q31" i="39"/>
  <c r="X31" i="39" s="1"/>
  <c r="P31" i="39"/>
  <c r="W31" i="39" s="1"/>
  <c r="N31" i="39"/>
  <c r="R31" i="39" s="1"/>
  <c r="Q30" i="39"/>
  <c r="X30" i="39" s="1"/>
  <c r="P30" i="39"/>
  <c r="W30" i="39" s="1"/>
  <c r="N30" i="39"/>
  <c r="R30" i="39" s="1"/>
  <c r="Q29" i="39"/>
  <c r="X29" i="39" s="1"/>
  <c r="P29" i="39"/>
  <c r="W29" i="39" s="1"/>
  <c r="N29" i="39"/>
  <c r="Q28" i="39"/>
  <c r="X28" i="39" s="1"/>
  <c r="P28" i="39"/>
  <c r="W28" i="39" s="1"/>
  <c r="N28" i="39"/>
  <c r="R28" i="39" s="1"/>
  <c r="Q27" i="39"/>
  <c r="X27" i="39" s="1"/>
  <c r="P27" i="39"/>
  <c r="W27" i="39" s="1"/>
  <c r="N27" i="39"/>
  <c r="R27" i="39" s="1"/>
  <c r="Q26" i="39"/>
  <c r="P26" i="39"/>
  <c r="W26" i="39" s="1"/>
  <c r="N26" i="39"/>
  <c r="R26" i="39" s="1"/>
  <c r="Q25" i="39"/>
  <c r="X25" i="39" s="1"/>
  <c r="P25" i="39"/>
  <c r="W25" i="39" s="1"/>
  <c r="N25" i="39"/>
  <c r="R25" i="39" s="1"/>
  <c r="Q24" i="39"/>
  <c r="X24" i="39" s="1"/>
  <c r="P24" i="39"/>
  <c r="W24" i="39" s="1"/>
  <c r="N24" i="39"/>
  <c r="R24" i="39" s="1"/>
  <c r="Q23" i="39"/>
  <c r="X23" i="39" s="1"/>
  <c r="P23" i="39"/>
  <c r="W23" i="39" s="1"/>
  <c r="N23" i="39"/>
  <c r="R23" i="39" s="1"/>
  <c r="Q22" i="39"/>
  <c r="X22" i="39" s="1"/>
  <c r="P22" i="39"/>
  <c r="W22" i="39" s="1"/>
  <c r="N22" i="39"/>
  <c r="R22" i="39" s="1"/>
  <c r="Q21" i="39"/>
  <c r="X21" i="39" s="1"/>
  <c r="P21" i="39"/>
  <c r="W21" i="39" s="1"/>
  <c r="N21" i="39"/>
  <c r="Q20" i="39"/>
  <c r="X20" i="39" s="1"/>
  <c r="P20" i="39"/>
  <c r="W20" i="39" s="1"/>
  <c r="N20" i="39"/>
  <c r="R20" i="39" s="1"/>
  <c r="Q19" i="39"/>
  <c r="X19" i="39" s="1"/>
  <c r="P19" i="39"/>
  <c r="W19" i="39" s="1"/>
  <c r="N19" i="39"/>
  <c r="R19" i="39" s="1"/>
  <c r="Q18" i="39"/>
  <c r="X18" i="39" s="1"/>
  <c r="P18" i="39"/>
  <c r="W18" i="39" s="1"/>
  <c r="N18" i="39"/>
  <c r="R18" i="39" s="1"/>
  <c r="Q17" i="39"/>
  <c r="X17" i="39" s="1"/>
  <c r="P17" i="39"/>
  <c r="W17" i="39" s="1"/>
  <c r="N17" i="39"/>
  <c r="R17" i="39" s="1"/>
  <c r="Q16" i="39"/>
  <c r="X16" i="39" s="1"/>
  <c r="P16" i="39"/>
  <c r="W16" i="39" s="1"/>
  <c r="N16" i="39"/>
  <c r="Q15" i="39"/>
  <c r="X15" i="39" s="1"/>
  <c r="P15" i="39"/>
  <c r="W15" i="39" s="1"/>
  <c r="N15" i="39"/>
  <c r="R15" i="39" s="1"/>
  <c r="Q14" i="39"/>
  <c r="X14" i="39" s="1"/>
  <c r="P14" i="39"/>
  <c r="W14" i="39" s="1"/>
  <c r="N14" i="39"/>
  <c r="R14" i="39" s="1"/>
  <c r="Q13" i="39"/>
  <c r="X13" i="39" s="1"/>
  <c r="P13" i="39"/>
  <c r="W13" i="39" s="1"/>
  <c r="N13" i="39"/>
  <c r="R13" i="39" s="1"/>
  <c r="Q12" i="39"/>
  <c r="X12" i="39" s="1"/>
  <c r="P12" i="39"/>
  <c r="W12" i="39" s="1"/>
  <c r="N12" i="39"/>
  <c r="R12" i="39" s="1"/>
  <c r="Q11" i="39"/>
  <c r="X11" i="39" s="1"/>
  <c r="P11" i="39"/>
  <c r="W11" i="39" s="1"/>
  <c r="N11" i="39"/>
  <c r="R11" i="39" s="1"/>
  <c r="Q10" i="39"/>
  <c r="X10" i="39" s="1"/>
  <c r="P10" i="39"/>
  <c r="W10" i="39" s="1"/>
  <c r="N10" i="39"/>
  <c r="R10" i="39" s="1"/>
  <c r="Q9" i="39"/>
  <c r="X9" i="39" s="1"/>
  <c r="P9" i="39"/>
  <c r="W9" i="39" s="1"/>
  <c r="N9" i="39"/>
  <c r="R9" i="39" s="1"/>
  <c r="Q8" i="39"/>
  <c r="X8" i="39" s="1"/>
  <c r="P8" i="39"/>
  <c r="W8" i="39" s="1"/>
  <c r="N8" i="39"/>
  <c r="R8" i="39" s="1"/>
  <c r="Q7" i="39"/>
  <c r="X7" i="39" s="1"/>
  <c r="P7" i="39"/>
  <c r="W7" i="39" s="1"/>
  <c r="N7" i="39"/>
  <c r="R7" i="39" s="1"/>
  <c r="Q6" i="39"/>
  <c r="X6" i="39" s="1"/>
  <c r="P6" i="39"/>
  <c r="W6" i="39" s="1"/>
  <c r="N6" i="39"/>
  <c r="R6" i="39" s="1"/>
  <c r="Q5" i="39"/>
  <c r="X5" i="39" s="1"/>
  <c r="P5" i="39"/>
  <c r="W5" i="39" s="1"/>
  <c r="N5" i="39"/>
  <c r="Q4" i="39"/>
  <c r="X4" i="39" s="1"/>
  <c r="P4" i="39"/>
  <c r="W4" i="39" s="1"/>
  <c r="N4" i="39"/>
  <c r="Q3" i="39"/>
  <c r="X3" i="39" s="1"/>
  <c r="P3" i="39"/>
  <c r="W3" i="39" s="1"/>
  <c r="N3" i="39"/>
  <c r="R3" i="39" s="1"/>
  <c r="Q2" i="39"/>
  <c r="X2" i="39" s="1"/>
  <c r="P2" i="39"/>
  <c r="W2" i="39" s="1"/>
  <c r="N2" i="39"/>
  <c r="R2" i="39" s="1"/>
  <c r="D210" i="36" l="1"/>
  <c r="Q105" i="39"/>
  <c r="N105" i="39"/>
  <c r="P105" i="39"/>
  <c r="O31" i="39"/>
  <c r="T31" i="39" s="1"/>
  <c r="Y31" i="39" s="1"/>
  <c r="O48" i="39"/>
  <c r="T48" i="39" s="1"/>
  <c r="Y48" i="39" s="1"/>
  <c r="O10" i="39"/>
  <c r="T10" i="39" s="1"/>
  <c r="Y10" i="39" s="1"/>
  <c r="O24" i="39"/>
  <c r="T24" i="39" s="1"/>
  <c r="Y24" i="39" s="1"/>
  <c r="O8" i="39"/>
  <c r="T8" i="39" s="1"/>
  <c r="Y8" i="39" s="1"/>
  <c r="O63" i="39"/>
  <c r="T63" i="39" s="1"/>
  <c r="Y63" i="39" s="1"/>
  <c r="O40" i="39"/>
  <c r="T40" i="39" s="1"/>
  <c r="Y40" i="39" s="1"/>
  <c r="O59" i="39"/>
  <c r="T59" i="39" s="1"/>
  <c r="Y59" i="39" s="1"/>
  <c r="O71" i="39"/>
  <c r="T71" i="39" s="1"/>
  <c r="Y71" i="39" s="1"/>
  <c r="O75" i="39"/>
  <c r="T75" i="39" s="1"/>
  <c r="Y75" i="39" s="1"/>
  <c r="O2" i="39"/>
  <c r="O15" i="39"/>
  <c r="T15" i="39" s="1"/>
  <c r="Y15" i="39" s="1"/>
  <c r="O42" i="39"/>
  <c r="T42" i="39" s="1"/>
  <c r="Y42" i="39" s="1"/>
  <c r="O68" i="39"/>
  <c r="T68" i="39" s="1"/>
  <c r="Y68" i="39" s="1"/>
  <c r="O72" i="39"/>
  <c r="T72" i="39" s="1"/>
  <c r="Y72" i="39" s="1"/>
  <c r="O23" i="39"/>
  <c r="T23" i="39" s="1"/>
  <c r="Y23" i="39" s="1"/>
  <c r="O6" i="39"/>
  <c r="T6" i="39" s="1"/>
  <c r="Y6" i="39" s="1"/>
  <c r="O14" i="39"/>
  <c r="T14" i="39" s="1"/>
  <c r="Y14" i="39" s="1"/>
  <c r="O52" i="39"/>
  <c r="T52" i="39" s="1"/>
  <c r="Y52" i="39" s="1"/>
  <c r="O99" i="39"/>
  <c r="T99" i="39" s="1"/>
  <c r="Y99" i="39" s="1"/>
  <c r="O100" i="39"/>
  <c r="T100" i="39" s="1"/>
  <c r="Y100" i="39" s="1"/>
  <c r="O104" i="39"/>
  <c r="T104" i="39" s="1"/>
  <c r="Y104" i="39" s="1"/>
  <c r="O19" i="39"/>
  <c r="T19" i="39" s="1"/>
  <c r="Y19" i="39" s="1"/>
  <c r="O22" i="39"/>
  <c r="T22" i="39" s="1"/>
  <c r="Y22" i="39" s="1"/>
  <c r="O30" i="39"/>
  <c r="T30" i="39" s="1"/>
  <c r="Y30" i="39" s="1"/>
  <c r="O34" i="39"/>
  <c r="T34" i="39" s="1"/>
  <c r="Y34" i="39" s="1"/>
  <c r="O79" i="39"/>
  <c r="T79" i="39" s="1"/>
  <c r="Y79" i="39" s="1"/>
  <c r="O83" i="39"/>
  <c r="T83" i="39" s="1"/>
  <c r="Y83" i="39" s="1"/>
  <c r="O84" i="39"/>
  <c r="T84" i="39" s="1"/>
  <c r="Y84" i="39" s="1"/>
  <c r="O87" i="39"/>
  <c r="T87" i="39" s="1"/>
  <c r="Y87" i="39" s="1"/>
  <c r="O88" i="39"/>
  <c r="T88" i="39" s="1"/>
  <c r="Y88" i="39" s="1"/>
  <c r="O91" i="39"/>
  <c r="T91" i="39" s="1"/>
  <c r="Y91" i="39" s="1"/>
  <c r="O3" i="39"/>
  <c r="T3" i="39" s="1"/>
  <c r="Y3" i="39" s="1"/>
  <c r="O7" i="39"/>
  <c r="T7" i="39" s="1"/>
  <c r="Y7" i="39" s="1"/>
  <c r="O11" i="39"/>
  <c r="T11" i="39" s="1"/>
  <c r="Y11" i="39" s="1"/>
  <c r="O12" i="39"/>
  <c r="T12" i="39" s="1"/>
  <c r="Y12" i="39" s="1"/>
  <c r="O18" i="39"/>
  <c r="T18" i="39" s="1"/>
  <c r="Y18" i="39" s="1"/>
  <c r="O26" i="39"/>
  <c r="T26" i="39" s="1"/>
  <c r="Y26" i="39" s="1"/>
  <c r="O32" i="39"/>
  <c r="T32" i="39" s="1"/>
  <c r="Y32" i="39" s="1"/>
  <c r="O38" i="39"/>
  <c r="T38" i="39" s="1"/>
  <c r="Y38" i="39" s="1"/>
  <c r="O46" i="39"/>
  <c r="T46" i="39" s="1"/>
  <c r="Y46" i="39" s="1"/>
  <c r="O51" i="39"/>
  <c r="T51" i="39" s="1"/>
  <c r="Y51" i="39" s="1"/>
  <c r="O55" i="39"/>
  <c r="T55" i="39" s="1"/>
  <c r="Y55" i="39" s="1"/>
  <c r="O95" i="39"/>
  <c r="T95" i="39" s="1"/>
  <c r="Y95" i="39" s="1"/>
  <c r="O103" i="39"/>
  <c r="T103" i="39" s="1"/>
  <c r="Y103" i="39" s="1"/>
  <c r="O39" i="39"/>
  <c r="T39" i="39" s="1"/>
  <c r="Y39" i="39" s="1"/>
  <c r="O47" i="39"/>
  <c r="T47" i="39" s="1"/>
  <c r="Y47" i="39" s="1"/>
  <c r="O67" i="39"/>
  <c r="T67" i="39" s="1"/>
  <c r="Y67" i="39" s="1"/>
  <c r="O5" i="39"/>
  <c r="R16" i="39"/>
  <c r="O35" i="39"/>
  <c r="O37" i="39"/>
  <c r="R37" i="39"/>
  <c r="R4" i="39"/>
  <c r="O16" i="39"/>
  <c r="X26" i="39"/>
  <c r="O56" i="39"/>
  <c r="T56" i="39" s="1"/>
  <c r="Y56" i="39" s="1"/>
  <c r="O80" i="39"/>
  <c r="T80" i="39" s="1"/>
  <c r="Y80" i="39" s="1"/>
  <c r="O4" i="39"/>
  <c r="O13" i="39"/>
  <c r="T13" i="39" s="1"/>
  <c r="Y13" i="39" s="1"/>
  <c r="O20" i="39"/>
  <c r="T20" i="39" s="1"/>
  <c r="Y20" i="39" s="1"/>
  <c r="O27" i="39"/>
  <c r="T27" i="39" s="1"/>
  <c r="Y27" i="39" s="1"/>
  <c r="O28" i="39"/>
  <c r="T28" i="39" s="1"/>
  <c r="Y28" i="39" s="1"/>
  <c r="O29" i="39"/>
  <c r="R29" i="39"/>
  <c r="O43" i="39"/>
  <c r="T43" i="39" s="1"/>
  <c r="Y43" i="39" s="1"/>
  <c r="O44" i="39"/>
  <c r="T44" i="39" s="1"/>
  <c r="Y44" i="39" s="1"/>
  <c r="O45" i="39"/>
  <c r="R45" i="39"/>
  <c r="O49" i="39"/>
  <c r="R49" i="39"/>
  <c r="O96" i="39"/>
  <c r="T96" i="39" s="1"/>
  <c r="Y96" i="39" s="1"/>
  <c r="O36" i="39"/>
  <c r="O64" i="39"/>
  <c r="O9" i="39"/>
  <c r="T9" i="39" s="1"/>
  <c r="Y9" i="39" s="1"/>
  <c r="X42" i="39"/>
  <c r="R5" i="39"/>
  <c r="O17" i="39"/>
  <c r="T17" i="39" s="1"/>
  <c r="Y17" i="39" s="1"/>
  <c r="O21" i="39"/>
  <c r="R21" i="39"/>
  <c r="X34" i="39"/>
  <c r="R35" i="39"/>
  <c r="R36" i="39"/>
  <c r="R64" i="39"/>
  <c r="O53" i="39"/>
  <c r="R53" i="39"/>
  <c r="R60" i="39"/>
  <c r="R76" i="39"/>
  <c r="R92" i="39"/>
  <c r="O25" i="39"/>
  <c r="T25" i="39" s="1"/>
  <c r="Y25" i="39" s="1"/>
  <c r="O33" i="39"/>
  <c r="T33" i="39" s="1"/>
  <c r="Y33" i="39" s="1"/>
  <c r="O41" i="39"/>
  <c r="T41" i="39" s="1"/>
  <c r="Y41" i="39" s="1"/>
  <c r="O57" i="39"/>
  <c r="R57" i="39"/>
  <c r="O60" i="39"/>
  <c r="O76" i="39"/>
  <c r="O92" i="39"/>
  <c r="O61" i="39"/>
  <c r="T61" i="39" s="1"/>
  <c r="Y61" i="39" s="1"/>
  <c r="O65" i="39"/>
  <c r="T65" i="39" s="1"/>
  <c r="Y65" i="39" s="1"/>
  <c r="O69" i="39"/>
  <c r="T69" i="39" s="1"/>
  <c r="Y69" i="39" s="1"/>
  <c r="O73" i="39"/>
  <c r="T73" i="39" s="1"/>
  <c r="Y73" i="39" s="1"/>
  <c r="O77" i="39"/>
  <c r="T77" i="39" s="1"/>
  <c r="Y77" i="39" s="1"/>
  <c r="O81" i="39"/>
  <c r="T81" i="39" s="1"/>
  <c r="Y81" i="39" s="1"/>
  <c r="O85" i="39"/>
  <c r="T85" i="39" s="1"/>
  <c r="Y85" i="39" s="1"/>
  <c r="O89" i="39"/>
  <c r="T89" i="39" s="1"/>
  <c r="Y89" i="39" s="1"/>
  <c r="O93" i="39"/>
  <c r="T93" i="39" s="1"/>
  <c r="Y93" i="39" s="1"/>
  <c r="O97" i="39"/>
  <c r="T97" i="39" s="1"/>
  <c r="Y97" i="39" s="1"/>
  <c r="O101" i="39"/>
  <c r="T101" i="39" s="1"/>
  <c r="Y101" i="39" s="1"/>
  <c r="R50" i="39"/>
  <c r="R54" i="39"/>
  <c r="R58" i="39"/>
  <c r="R62" i="39"/>
  <c r="R66" i="39"/>
  <c r="R70" i="39"/>
  <c r="R74" i="39"/>
  <c r="R78" i="39"/>
  <c r="R82" i="39"/>
  <c r="R86" i="39"/>
  <c r="R90" i="39"/>
  <c r="R94" i="39"/>
  <c r="R98" i="39"/>
  <c r="R102" i="39"/>
  <c r="O50" i="39"/>
  <c r="O54" i="39"/>
  <c r="O58" i="39"/>
  <c r="O62" i="39"/>
  <c r="O66" i="39"/>
  <c r="O70" i="39"/>
  <c r="O74" i="39"/>
  <c r="O78" i="39"/>
  <c r="O82" i="39"/>
  <c r="O86" i="39"/>
  <c r="O90" i="39"/>
  <c r="O94" i="39"/>
  <c r="O98" i="39"/>
  <c r="O102" i="39"/>
  <c r="I173" i="34"/>
  <c r="J173" i="34" s="1"/>
  <c r="C175" i="36" s="1"/>
  <c r="K175" i="36" s="1"/>
  <c r="I174" i="34"/>
  <c r="J174" i="34" s="1"/>
  <c r="C176" i="36" s="1"/>
  <c r="K176" i="36" s="1"/>
  <c r="I175" i="34"/>
  <c r="J175" i="34" s="1"/>
  <c r="C177" i="36" s="1"/>
  <c r="K177" i="36" s="1"/>
  <c r="I176" i="34"/>
  <c r="J176" i="34" s="1"/>
  <c r="C178" i="36" s="1"/>
  <c r="K178" i="36" s="1"/>
  <c r="I177" i="34"/>
  <c r="J177" i="34" s="1"/>
  <c r="C179" i="36" s="1"/>
  <c r="K179" i="36" s="1"/>
  <c r="I178" i="34"/>
  <c r="J178" i="34" s="1"/>
  <c r="C180" i="36" s="1"/>
  <c r="K180" i="36" s="1"/>
  <c r="I179" i="34"/>
  <c r="J179" i="34" s="1"/>
  <c r="C181" i="36" s="1"/>
  <c r="K181" i="36" s="1"/>
  <c r="I180" i="34"/>
  <c r="J180" i="34" s="1"/>
  <c r="C182" i="36" s="1"/>
  <c r="K182" i="36" s="1"/>
  <c r="I181" i="34"/>
  <c r="J181" i="34" s="1"/>
  <c r="C183" i="36" s="1"/>
  <c r="K183" i="36" s="1"/>
  <c r="I182" i="34"/>
  <c r="J182" i="34" s="1"/>
  <c r="C184" i="36" s="1"/>
  <c r="K184" i="36" s="1"/>
  <c r="I183" i="34"/>
  <c r="J183" i="34" s="1"/>
  <c r="C185" i="36" s="1"/>
  <c r="K185" i="36" s="1"/>
  <c r="I184" i="34"/>
  <c r="J184" i="34" s="1"/>
  <c r="C186" i="36" s="1"/>
  <c r="K186" i="36" s="1"/>
  <c r="I185" i="34"/>
  <c r="J185" i="34" s="1"/>
  <c r="C187" i="36" s="1"/>
  <c r="K187" i="36" s="1"/>
  <c r="I186" i="34"/>
  <c r="J186" i="34" s="1"/>
  <c r="C188" i="36" s="1"/>
  <c r="K188" i="36" s="1"/>
  <c r="I187" i="34"/>
  <c r="J187" i="34" s="1"/>
  <c r="C189" i="36" s="1"/>
  <c r="K189" i="36" s="1"/>
  <c r="I188" i="34"/>
  <c r="J188" i="34" s="1"/>
  <c r="C190" i="36" s="1"/>
  <c r="K190" i="36" s="1"/>
  <c r="I189" i="34"/>
  <c r="J189" i="34" s="1"/>
  <c r="C191" i="36" s="1"/>
  <c r="K191" i="36" s="1"/>
  <c r="I190" i="34"/>
  <c r="J190" i="34" s="1"/>
  <c r="I191" i="34"/>
  <c r="J191" i="34" s="1"/>
  <c r="E193" i="36" s="1"/>
  <c r="K193" i="36" s="1"/>
  <c r="I192" i="34"/>
  <c r="J192" i="34" s="1"/>
  <c r="E194" i="36" s="1"/>
  <c r="K194" i="36" s="1"/>
  <c r="I193" i="34"/>
  <c r="J193" i="34" s="1"/>
  <c r="E195" i="36" s="1"/>
  <c r="K195" i="36" s="1"/>
  <c r="I194" i="34"/>
  <c r="J194" i="34" s="1"/>
  <c r="E196" i="36" s="1"/>
  <c r="K196" i="36" s="1"/>
  <c r="I195" i="34"/>
  <c r="J195" i="34" s="1"/>
  <c r="E197" i="36" s="1"/>
  <c r="K197" i="36" s="1"/>
  <c r="I172" i="34"/>
  <c r="J172" i="34" s="1"/>
  <c r="J155" i="34"/>
  <c r="E157" i="36" s="1"/>
  <c r="J157" i="34"/>
  <c r="J156" i="34"/>
  <c r="J34" i="34"/>
  <c r="J33" i="34"/>
  <c r="J32" i="34"/>
  <c r="I113" i="34"/>
  <c r="J113" i="34" s="1"/>
  <c r="C115" i="36" s="1"/>
  <c r="K115" i="36" s="1"/>
  <c r="I114" i="34"/>
  <c r="J114" i="34" s="1"/>
  <c r="C116" i="36" s="1"/>
  <c r="K116" i="36" s="1"/>
  <c r="I115" i="34"/>
  <c r="J115" i="34" s="1"/>
  <c r="C117" i="36" s="1"/>
  <c r="K117" i="36" s="1"/>
  <c r="I116" i="34"/>
  <c r="J116" i="34" s="1"/>
  <c r="C118" i="36" s="1"/>
  <c r="K118" i="36" s="1"/>
  <c r="I117" i="34"/>
  <c r="J117" i="34" s="1"/>
  <c r="C119" i="36" s="1"/>
  <c r="K119" i="36" s="1"/>
  <c r="I118" i="34"/>
  <c r="J118" i="34" s="1"/>
  <c r="E120" i="36" s="1"/>
  <c r="I119" i="34"/>
  <c r="J119" i="34" s="1"/>
  <c r="E121" i="36" s="1"/>
  <c r="K121" i="36" s="1"/>
  <c r="I120" i="34"/>
  <c r="J120" i="34" s="1"/>
  <c r="E122" i="36" s="1"/>
  <c r="K122" i="36" s="1"/>
  <c r="I121" i="34"/>
  <c r="J121" i="34" s="1"/>
  <c r="E123" i="36" s="1"/>
  <c r="K123" i="36" s="1"/>
  <c r="I122" i="34"/>
  <c r="J122" i="34" s="1"/>
  <c r="E124" i="36" s="1"/>
  <c r="K124" i="36" s="1"/>
  <c r="I123" i="34"/>
  <c r="J123" i="34" s="1"/>
  <c r="E125" i="36" s="1"/>
  <c r="K125" i="36" s="1"/>
  <c r="I124" i="34"/>
  <c r="J124" i="34" s="1"/>
  <c r="E126" i="36" s="1"/>
  <c r="K126" i="36" s="1"/>
  <c r="I125" i="34"/>
  <c r="J125" i="34" s="1"/>
  <c r="E127" i="36" s="1"/>
  <c r="K127" i="36" s="1"/>
  <c r="I126" i="34"/>
  <c r="J126" i="34" s="1"/>
  <c r="E128" i="36" s="1"/>
  <c r="K128" i="36" s="1"/>
  <c r="I127" i="34"/>
  <c r="J127" i="34" s="1"/>
  <c r="E129" i="36" s="1"/>
  <c r="K129" i="36" s="1"/>
  <c r="I128" i="34"/>
  <c r="J128" i="34" s="1"/>
  <c r="E130" i="36" s="1"/>
  <c r="K130" i="36" s="1"/>
  <c r="I129" i="34"/>
  <c r="J129" i="34" s="1"/>
  <c r="E131" i="36" s="1"/>
  <c r="K131" i="36" s="1"/>
  <c r="I130" i="34"/>
  <c r="J130" i="34" s="1"/>
  <c r="E132" i="36" s="1"/>
  <c r="K132" i="36" s="1"/>
  <c r="I131" i="34"/>
  <c r="J131" i="34" s="1"/>
  <c r="G133" i="36" s="1"/>
  <c r="I132" i="34"/>
  <c r="J132" i="34" s="1"/>
  <c r="G134" i="36" s="1"/>
  <c r="K134" i="36" s="1"/>
  <c r="I133" i="34"/>
  <c r="J133" i="34" s="1"/>
  <c r="G135" i="36" s="1"/>
  <c r="K135" i="36" s="1"/>
  <c r="I134" i="34"/>
  <c r="J134" i="34" s="1"/>
  <c r="G136" i="36" s="1"/>
  <c r="K136" i="36" s="1"/>
  <c r="I135" i="34"/>
  <c r="J135" i="34" s="1"/>
  <c r="G137" i="36" s="1"/>
  <c r="K137" i="36" s="1"/>
  <c r="I136" i="34"/>
  <c r="J136" i="34" s="1"/>
  <c r="G138" i="36" s="1"/>
  <c r="K138" i="36" s="1"/>
  <c r="I137" i="34"/>
  <c r="J137" i="34" s="1"/>
  <c r="G139" i="36" s="1"/>
  <c r="K139" i="36" s="1"/>
  <c r="I138" i="34"/>
  <c r="J138" i="34" s="1"/>
  <c r="G140" i="36" s="1"/>
  <c r="K140" i="36" s="1"/>
  <c r="I139" i="34"/>
  <c r="J139" i="34" s="1"/>
  <c r="G141" i="36" s="1"/>
  <c r="K141" i="36" s="1"/>
  <c r="I140" i="34"/>
  <c r="J140" i="34" s="1"/>
  <c r="G142" i="36" s="1"/>
  <c r="K142" i="36" s="1"/>
  <c r="I141" i="34"/>
  <c r="J141" i="34" s="1"/>
  <c r="G143" i="36" s="1"/>
  <c r="K143" i="36" s="1"/>
  <c r="I142" i="34"/>
  <c r="J142" i="34" s="1"/>
  <c r="G144" i="36" s="1"/>
  <c r="K144" i="36" s="1"/>
  <c r="I143" i="34"/>
  <c r="J143" i="34" s="1"/>
  <c r="G145" i="36" s="1"/>
  <c r="K145" i="36" s="1"/>
  <c r="I144" i="34"/>
  <c r="J144" i="34" s="1"/>
  <c r="G146" i="36" s="1"/>
  <c r="K146" i="36" s="1"/>
  <c r="I145" i="34"/>
  <c r="J145" i="34" s="1"/>
  <c r="G147" i="36" s="1"/>
  <c r="K147" i="36" s="1"/>
  <c r="I146" i="34"/>
  <c r="J146" i="34" s="1"/>
  <c r="G148" i="36" s="1"/>
  <c r="K148" i="36" s="1"/>
  <c r="I147" i="34"/>
  <c r="J147" i="34" s="1"/>
  <c r="G149" i="36" s="1"/>
  <c r="K149" i="36" s="1"/>
  <c r="I148" i="34"/>
  <c r="J148" i="34" s="1"/>
  <c r="G150" i="36" s="1"/>
  <c r="K150" i="36" s="1"/>
  <c r="I149" i="34"/>
  <c r="J149" i="34" s="1"/>
  <c r="G151" i="36" s="1"/>
  <c r="K151" i="36" s="1"/>
  <c r="I150" i="34"/>
  <c r="J150" i="34" s="1"/>
  <c r="G152" i="36" s="1"/>
  <c r="K152" i="36" s="1"/>
  <c r="I151" i="34"/>
  <c r="J151" i="34" s="1"/>
  <c r="G153" i="36" s="1"/>
  <c r="K153" i="36" s="1"/>
  <c r="I152" i="34"/>
  <c r="J152" i="34" s="1"/>
  <c r="G154" i="36" s="1"/>
  <c r="K154" i="36" s="1"/>
  <c r="I153" i="34"/>
  <c r="J153" i="34" s="1"/>
  <c r="G155" i="36" s="1"/>
  <c r="K155" i="36" s="1"/>
  <c r="I112" i="34"/>
  <c r="J112" i="34" s="1"/>
  <c r="C114" i="36" s="1"/>
  <c r="J27" i="34"/>
  <c r="J28" i="34"/>
  <c r="J29" i="34"/>
  <c r="J30" i="34"/>
  <c r="I26" i="34"/>
  <c r="I104" i="34"/>
  <c r="J104" i="34" s="1"/>
  <c r="I105" i="34"/>
  <c r="J105" i="34" s="1"/>
  <c r="I106" i="34"/>
  <c r="J106" i="34" s="1"/>
  <c r="I107" i="34"/>
  <c r="J107" i="34" s="1"/>
  <c r="I108" i="34"/>
  <c r="J108" i="34" s="1"/>
  <c r="I109" i="34"/>
  <c r="J109" i="34" s="1"/>
  <c r="I110" i="34"/>
  <c r="J110" i="34" s="1"/>
  <c r="I90" i="34"/>
  <c r="J90" i="34" s="1"/>
  <c r="I91" i="34"/>
  <c r="J91" i="34" s="1"/>
  <c r="I92" i="34"/>
  <c r="J92" i="34" s="1"/>
  <c r="I93" i="34"/>
  <c r="J93" i="34" s="1"/>
  <c r="I94" i="34"/>
  <c r="J94" i="34" s="1"/>
  <c r="I95" i="34"/>
  <c r="J95" i="34" s="1"/>
  <c r="I96" i="34"/>
  <c r="J96" i="34" s="1"/>
  <c r="I97" i="34"/>
  <c r="J97" i="34" s="1"/>
  <c r="I98" i="34"/>
  <c r="J98" i="34" s="1"/>
  <c r="I99" i="34"/>
  <c r="J99" i="34" s="1"/>
  <c r="I100" i="34"/>
  <c r="J100" i="34" s="1"/>
  <c r="I101" i="34"/>
  <c r="J101" i="34" s="1"/>
  <c r="I102" i="34"/>
  <c r="J102" i="34" s="1"/>
  <c r="I103" i="34"/>
  <c r="J103" i="34" s="1"/>
  <c r="I71" i="34"/>
  <c r="J71" i="34" s="1"/>
  <c r="I72" i="34"/>
  <c r="J72" i="34" s="1"/>
  <c r="I73" i="34"/>
  <c r="J73" i="34" s="1"/>
  <c r="I74" i="34"/>
  <c r="J74" i="34" s="1"/>
  <c r="I75" i="34"/>
  <c r="J75" i="34" s="1"/>
  <c r="I76" i="34"/>
  <c r="J76" i="34" s="1"/>
  <c r="I77" i="34"/>
  <c r="J77" i="34" s="1"/>
  <c r="I78" i="34"/>
  <c r="J78" i="34" s="1"/>
  <c r="I79" i="34"/>
  <c r="J79" i="34" s="1"/>
  <c r="I80" i="34"/>
  <c r="J80" i="34" s="1"/>
  <c r="I81" i="34"/>
  <c r="J81" i="34" s="1"/>
  <c r="I82" i="34"/>
  <c r="J82" i="34" s="1"/>
  <c r="I83" i="34"/>
  <c r="J83" i="34" s="1"/>
  <c r="I84" i="34"/>
  <c r="J84" i="34" s="1"/>
  <c r="I85" i="34"/>
  <c r="J85" i="34" s="1"/>
  <c r="I86" i="34"/>
  <c r="J86" i="34" s="1"/>
  <c r="I87" i="34"/>
  <c r="J87" i="34" s="1"/>
  <c r="I88" i="34"/>
  <c r="J88" i="34" s="1"/>
  <c r="I89" i="34"/>
  <c r="J89" i="34" s="1"/>
  <c r="I65" i="34"/>
  <c r="J65" i="34" s="1"/>
  <c r="I66" i="34"/>
  <c r="J66" i="34" s="1"/>
  <c r="I67" i="34"/>
  <c r="J67" i="34" s="1"/>
  <c r="I68" i="34"/>
  <c r="J68" i="34" s="1"/>
  <c r="I69" i="34"/>
  <c r="J69" i="34" s="1"/>
  <c r="I70" i="34"/>
  <c r="J70" i="34" s="1"/>
  <c r="I50" i="34"/>
  <c r="J50" i="34" s="1"/>
  <c r="I51" i="34"/>
  <c r="J51" i="34" s="1"/>
  <c r="I52" i="34"/>
  <c r="J52" i="34" s="1"/>
  <c r="I53" i="34"/>
  <c r="J53" i="34" s="1"/>
  <c r="I54" i="34"/>
  <c r="J54" i="34" s="1"/>
  <c r="I55" i="34"/>
  <c r="J55" i="34" s="1"/>
  <c r="I56" i="34"/>
  <c r="J56" i="34" s="1"/>
  <c r="I57" i="34"/>
  <c r="J57" i="34" s="1"/>
  <c r="I58" i="34"/>
  <c r="J58" i="34" s="1"/>
  <c r="I59" i="34"/>
  <c r="J59" i="34" s="1"/>
  <c r="I60" i="34"/>
  <c r="J60" i="34" s="1"/>
  <c r="I61" i="34"/>
  <c r="J61" i="34" s="1"/>
  <c r="I62" i="34"/>
  <c r="J62" i="34" s="1"/>
  <c r="I63" i="34"/>
  <c r="J63" i="34" s="1"/>
  <c r="I64" i="34"/>
  <c r="J64" i="34" s="1"/>
  <c r="I49" i="34"/>
  <c r="J49" i="34" s="1"/>
  <c r="J9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8" i="34"/>
  <c r="I23" i="34" l="1"/>
  <c r="I25" i="36"/>
  <c r="G25" i="36"/>
  <c r="I19" i="34"/>
  <c r="E21" i="36"/>
  <c r="G21" i="36"/>
  <c r="I15" i="34"/>
  <c r="E17" i="36"/>
  <c r="G17" i="36"/>
  <c r="I11" i="34"/>
  <c r="C13" i="36"/>
  <c r="E13" i="36"/>
  <c r="C66" i="36"/>
  <c r="E66" i="36"/>
  <c r="C62" i="36"/>
  <c r="E62" i="36"/>
  <c r="E58" i="36"/>
  <c r="C58" i="36"/>
  <c r="C54" i="36"/>
  <c r="E54" i="36"/>
  <c r="G71" i="36"/>
  <c r="E71" i="36"/>
  <c r="J160" i="34"/>
  <c r="G162" i="36" s="1"/>
  <c r="J164" i="34"/>
  <c r="G166" i="36" s="1"/>
  <c r="E67" i="36"/>
  <c r="G67" i="36"/>
  <c r="I88" i="36"/>
  <c r="G88" i="36"/>
  <c r="E84" i="36"/>
  <c r="G84" i="36"/>
  <c r="E80" i="36"/>
  <c r="G80" i="36"/>
  <c r="E76" i="36"/>
  <c r="G76" i="36"/>
  <c r="I105" i="36"/>
  <c r="G105" i="36"/>
  <c r="I101" i="36"/>
  <c r="G101" i="36"/>
  <c r="I97" i="36"/>
  <c r="G97" i="36"/>
  <c r="I93" i="36"/>
  <c r="G93" i="36"/>
  <c r="G110" i="36"/>
  <c r="I110" i="36"/>
  <c r="G106" i="36"/>
  <c r="I106" i="36"/>
  <c r="I28" i="34"/>
  <c r="E30" i="36"/>
  <c r="I32" i="34"/>
  <c r="E34" i="36"/>
  <c r="I157" i="34"/>
  <c r="I159" i="36"/>
  <c r="J201" i="34"/>
  <c r="G203" i="36" s="1"/>
  <c r="J198" i="34"/>
  <c r="G200" i="36" s="1"/>
  <c r="E192" i="36"/>
  <c r="J204" i="34"/>
  <c r="G206" i="36" s="1"/>
  <c r="I22" i="34"/>
  <c r="G24" i="36"/>
  <c r="I24" i="36"/>
  <c r="I18" i="34"/>
  <c r="E20" i="36"/>
  <c r="G20" i="36"/>
  <c r="J207" i="34"/>
  <c r="J37" i="34"/>
  <c r="J41" i="34"/>
  <c r="E16" i="36"/>
  <c r="G16" i="36"/>
  <c r="I10" i="34"/>
  <c r="E12" i="36"/>
  <c r="C12" i="36"/>
  <c r="E65" i="36"/>
  <c r="C65" i="36"/>
  <c r="E61" i="36"/>
  <c r="C61" i="36"/>
  <c r="E57" i="36"/>
  <c r="C57" i="36"/>
  <c r="E53" i="36"/>
  <c r="C53" i="36"/>
  <c r="G70" i="36"/>
  <c r="E70" i="36"/>
  <c r="I91" i="36"/>
  <c r="G91" i="36"/>
  <c r="I87" i="36"/>
  <c r="G87" i="36"/>
  <c r="E83" i="36"/>
  <c r="G83" i="36"/>
  <c r="E79" i="36"/>
  <c r="G79" i="36"/>
  <c r="G75" i="36"/>
  <c r="E75" i="36"/>
  <c r="I104" i="36"/>
  <c r="G104" i="36"/>
  <c r="I100" i="36"/>
  <c r="G100" i="36"/>
  <c r="I96" i="36"/>
  <c r="G96" i="36"/>
  <c r="I92" i="36"/>
  <c r="G92" i="36"/>
  <c r="I109" i="36"/>
  <c r="G109" i="36"/>
  <c r="I27" i="34"/>
  <c r="C29" i="36"/>
  <c r="K133" i="36"/>
  <c r="G113" i="36"/>
  <c r="G35" i="36"/>
  <c r="I33" i="34"/>
  <c r="K157" i="36"/>
  <c r="E156" i="36"/>
  <c r="J206" i="34"/>
  <c r="J36" i="34"/>
  <c r="J40" i="34"/>
  <c r="E10" i="36"/>
  <c r="C10" i="36"/>
  <c r="J7" i="34"/>
  <c r="I21" i="34"/>
  <c r="I23" i="36"/>
  <c r="G23" i="36"/>
  <c r="I17" i="34"/>
  <c r="G19" i="36"/>
  <c r="E19" i="36"/>
  <c r="I13" i="34"/>
  <c r="C15" i="36"/>
  <c r="E15" i="36"/>
  <c r="I9" i="34"/>
  <c r="E11" i="36"/>
  <c r="C11" i="36"/>
  <c r="E64" i="36"/>
  <c r="C64" i="36"/>
  <c r="E60" i="36"/>
  <c r="C60" i="36"/>
  <c r="E56" i="36"/>
  <c r="C56" i="36"/>
  <c r="E52" i="36"/>
  <c r="C52" i="36"/>
  <c r="G69" i="36"/>
  <c r="E69" i="36"/>
  <c r="G90" i="36"/>
  <c r="I90" i="36"/>
  <c r="J165" i="34"/>
  <c r="I167" i="36" s="1"/>
  <c r="J161" i="34"/>
  <c r="I163" i="36" s="1"/>
  <c r="I86" i="36"/>
  <c r="G86" i="36"/>
  <c r="G82" i="36"/>
  <c r="E82" i="36"/>
  <c r="E78" i="36"/>
  <c r="G78" i="36"/>
  <c r="E74" i="36"/>
  <c r="G74" i="36"/>
  <c r="I103" i="36"/>
  <c r="G103" i="36"/>
  <c r="I99" i="36"/>
  <c r="G99" i="36"/>
  <c r="I95" i="36"/>
  <c r="G95" i="36"/>
  <c r="I112" i="36"/>
  <c r="G112" i="36"/>
  <c r="I108" i="36"/>
  <c r="G108" i="36"/>
  <c r="I30" i="34"/>
  <c r="E32" i="36"/>
  <c r="K32" i="36" s="1"/>
  <c r="K114" i="36"/>
  <c r="C113" i="36"/>
  <c r="K120" i="36"/>
  <c r="E113" i="36"/>
  <c r="I34" i="34"/>
  <c r="I36" i="36"/>
  <c r="J200" i="34"/>
  <c r="J197" i="34"/>
  <c r="C174" i="36"/>
  <c r="J171" i="34"/>
  <c r="J203" i="34"/>
  <c r="I24" i="34"/>
  <c r="G26" i="36"/>
  <c r="I26" i="36"/>
  <c r="J38" i="34"/>
  <c r="J42" i="34"/>
  <c r="J208" i="34"/>
  <c r="I22" i="36"/>
  <c r="G22" i="36"/>
  <c r="I16" i="34"/>
  <c r="G18" i="36"/>
  <c r="E18" i="36"/>
  <c r="I12" i="34"/>
  <c r="E14" i="36"/>
  <c r="C14" i="36"/>
  <c r="J163" i="34"/>
  <c r="E165" i="36" s="1"/>
  <c r="J159" i="34"/>
  <c r="E51" i="36"/>
  <c r="C51" i="36"/>
  <c r="E63" i="36"/>
  <c r="C63" i="36"/>
  <c r="C59" i="36"/>
  <c r="E59" i="36"/>
  <c r="C55" i="36"/>
  <c r="E55" i="36"/>
  <c r="E72" i="36"/>
  <c r="G72" i="36"/>
  <c r="E68" i="36"/>
  <c r="G68" i="36"/>
  <c r="I89" i="36"/>
  <c r="G89" i="36"/>
  <c r="G85" i="36"/>
  <c r="E85" i="36"/>
  <c r="G81" i="36"/>
  <c r="E81" i="36"/>
  <c r="G77" i="36"/>
  <c r="E77" i="36"/>
  <c r="G73" i="36"/>
  <c r="E73" i="36"/>
  <c r="G102" i="36"/>
  <c r="I102" i="36"/>
  <c r="G98" i="36"/>
  <c r="I98" i="36"/>
  <c r="G94" i="36"/>
  <c r="I94" i="36"/>
  <c r="G111" i="36"/>
  <c r="I111" i="36"/>
  <c r="I107" i="36"/>
  <c r="G107" i="36"/>
  <c r="I29" i="34"/>
  <c r="E31" i="36"/>
  <c r="K31" i="36" s="1"/>
  <c r="I156" i="34"/>
  <c r="G158" i="36"/>
  <c r="I14" i="34"/>
  <c r="J45" i="34"/>
  <c r="I155" i="34"/>
  <c r="J154" i="34"/>
  <c r="I8" i="34"/>
  <c r="J44" i="34"/>
  <c r="I20" i="34"/>
  <c r="J46" i="34"/>
  <c r="G48" i="36" s="1"/>
  <c r="I201" i="34"/>
  <c r="J167" i="34"/>
  <c r="J169" i="34"/>
  <c r="I171" i="36" s="1"/>
  <c r="I165" i="34"/>
  <c r="J168" i="34"/>
  <c r="J31" i="34"/>
  <c r="T2" i="39"/>
  <c r="O105" i="39"/>
  <c r="R105" i="39"/>
  <c r="T16" i="39"/>
  <c r="Y16" i="39" s="1"/>
  <c r="T21" i="39"/>
  <c r="Y21" i="39" s="1"/>
  <c r="T45" i="39"/>
  <c r="Y45" i="39" s="1"/>
  <c r="T90" i="39"/>
  <c r="Y90" i="39" s="1"/>
  <c r="T74" i="39"/>
  <c r="Y74" i="39" s="1"/>
  <c r="T58" i="39"/>
  <c r="Y58" i="39" s="1"/>
  <c r="T98" i="39"/>
  <c r="Y98" i="39" s="1"/>
  <c r="T82" i="39"/>
  <c r="Y82" i="39" s="1"/>
  <c r="T29" i="39"/>
  <c r="Y29" i="39" s="1"/>
  <c r="T94" i="39"/>
  <c r="Y94" i="39" s="1"/>
  <c r="T50" i="39"/>
  <c r="Y50" i="39" s="1"/>
  <c r="T49" i="39"/>
  <c r="Y49" i="39" s="1"/>
  <c r="T37" i="39"/>
  <c r="Y37" i="39" s="1"/>
  <c r="T102" i="39"/>
  <c r="Y102" i="39" s="1"/>
  <c r="T86" i="39"/>
  <c r="Y86" i="39" s="1"/>
  <c r="T70" i="39"/>
  <c r="Y70" i="39" s="1"/>
  <c r="T62" i="39"/>
  <c r="Y62" i="39" s="1"/>
  <c r="T53" i="39"/>
  <c r="Y53" i="39" s="1"/>
  <c r="T36" i="39"/>
  <c r="Y36" i="39" s="1"/>
  <c r="T35" i="39"/>
  <c r="Y35" i="39" s="1"/>
  <c r="T76" i="39"/>
  <c r="Y76" i="39" s="1"/>
  <c r="T66" i="39"/>
  <c r="Y66" i="39" s="1"/>
  <c r="T92" i="39"/>
  <c r="Y92" i="39" s="1"/>
  <c r="T57" i="39"/>
  <c r="Y57" i="39" s="1"/>
  <c r="T78" i="39"/>
  <c r="Y78" i="39" s="1"/>
  <c r="T54" i="39"/>
  <c r="Y54" i="39" s="1"/>
  <c r="T60" i="39"/>
  <c r="Y60" i="39" s="1"/>
  <c r="T5" i="39"/>
  <c r="Y5" i="39" s="1"/>
  <c r="T64" i="39"/>
  <c r="Y64" i="39" s="1"/>
  <c r="T4" i="39"/>
  <c r="Y4" i="39" s="1"/>
  <c r="J25" i="34"/>
  <c r="J111" i="34"/>
  <c r="J48" i="34"/>
  <c r="K107" i="36" l="1"/>
  <c r="K77" i="36"/>
  <c r="K85" i="36"/>
  <c r="K63" i="36"/>
  <c r="K22" i="36"/>
  <c r="K25" i="36"/>
  <c r="I198" i="34"/>
  <c r="I37" i="34"/>
  <c r="G39" i="36"/>
  <c r="I40" i="36"/>
  <c r="I38" i="34"/>
  <c r="K18" i="36"/>
  <c r="K108" i="36"/>
  <c r="K95" i="36"/>
  <c r="K103" i="36"/>
  <c r="K86" i="36"/>
  <c r="K52" i="36"/>
  <c r="K60" i="36"/>
  <c r="K11" i="36"/>
  <c r="K92" i="36"/>
  <c r="K100" i="36"/>
  <c r="K75" i="36"/>
  <c r="K91" i="36"/>
  <c r="K53" i="36"/>
  <c r="K61" i="36"/>
  <c r="K12" i="36"/>
  <c r="K93" i="36"/>
  <c r="K101" i="36"/>
  <c r="G44" i="36"/>
  <c r="K44" i="36" s="1"/>
  <c r="I42" i="34"/>
  <c r="I169" i="34"/>
  <c r="I160" i="34"/>
  <c r="G208" i="36"/>
  <c r="I208" i="36"/>
  <c r="E43" i="36"/>
  <c r="E41" i="36" s="1"/>
  <c r="I41" i="34"/>
  <c r="K111" i="36"/>
  <c r="K98" i="36"/>
  <c r="K72" i="36"/>
  <c r="K59" i="36"/>
  <c r="K112" i="36"/>
  <c r="K99" i="36"/>
  <c r="K82" i="36"/>
  <c r="K69" i="36"/>
  <c r="K56" i="36"/>
  <c r="K64" i="36"/>
  <c r="K19" i="36"/>
  <c r="K109" i="36"/>
  <c r="K96" i="36"/>
  <c r="K104" i="36"/>
  <c r="K87" i="36"/>
  <c r="K70" i="36"/>
  <c r="K57" i="36"/>
  <c r="K65" i="36"/>
  <c r="K97" i="36"/>
  <c r="K105" i="36"/>
  <c r="K88" i="36"/>
  <c r="K17" i="36"/>
  <c r="C9" i="36"/>
  <c r="I36" i="34"/>
  <c r="E38" i="36"/>
  <c r="C208" i="36"/>
  <c r="E208" i="36"/>
  <c r="K67" i="36"/>
  <c r="K66" i="36"/>
  <c r="K21" i="36"/>
  <c r="C42" i="36"/>
  <c r="K42" i="36" s="1"/>
  <c r="I40" i="34"/>
  <c r="K48" i="36"/>
  <c r="G45" i="36"/>
  <c r="I45" i="34"/>
  <c r="E47" i="36"/>
  <c r="E50" i="36"/>
  <c r="K163" i="36"/>
  <c r="I160" i="36"/>
  <c r="E9" i="36"/>
  <c r="K30" i="36"/>
  <c r="E27" i="36"/>
  <c r="K166" i="36"/>
  <c r="G164" i="36"/>
  <c r="K158" i="36"/>
  <c r="G156" i="36"/>
  <c r="J158" i="34"/>
  <c r="E161" i="36"/>
  <c r="E202" i="36"/>
  <c r="J199" i="34"/>
  <c r="K74" i="36"/>
  <c r="E173" i="36"/>
  <c r="K192" i="36"/>
  <c r="K110" i="36"/>
  <c r="K80" i="36"/>
  <c r="K162" i="36"/>
  <c r="G160" i="36"/>
  <c r="K54" i="36"/>
  <c r="K62" i="36"/>
  <c r="K13" i="36"/>
  <c r="K94" i="36"/>
  <c r="K102" i="36"/>
  <c r="K68" i="36"/>
  <c r="K55" i="36"/>
  <c r="E164" i="36"/>
  <c r="K165" i="36"/>
  <c r="I9" i="36"/>
  <c r="K36" i="36"/>
  <c r="I33" i="36"/>
  <c r="K15" i="36"/>
  <c r="J35" i="34"/>
  <c r="K29" i="36"/>
  <c r="C27" i="36"/>
  <c r="K16" i="36"/>
  <c r="K24" i="36"/>
  <c r="K200" i="36"/>
  <c r="G198" i="36"/>
  <c r="E33" i="36"/>
  <c r="K34" i="36"/>
  <c r="G50" i="36"/>
  <c r="K71" i="36"/>
  <c r="K58" i="36"/>
  <c r="E169" i="36"/>
  <c r="J166" i="34"/>
  <c r="I44" i="34"/>
  <c r="C46" i="36"/>
  <c r="E199" i="36"/>
  <c r="J196" i="34"/>
  <c r="K206" i="36"/>
  <c r="G204" i="36"/>
  <c r="K159" i="36"/>
  <c r="I156" i="36"/>
  <c r="I197" i="34"/>
  <c r="E205" i="36"/>
  <c r="J202" i="34"/>
  <c r="K167" i="36"/>
  <c r="I164" i="36"/>
  <c r="K79" i="36"/>
  <c r="G9" i="36"/>
  <c r="I164" i="34"/>
  <c r="K171" i="36"/>
  <c r="I168" i="36"/>
  <c r="I204" i="34"/>
  <c r="I46" i="34"/>
  <c r="I168" i="34"/>
  <c r="G170" i="36"/>
  <c r="I161" i="34"/>
  <c r="I200" i="34"/>
  <c r="K73" i="36"/>
  <c r="K81" i="36"/>
  <c r="K89" i="36"/>
  <c r="C50" i="36"/>
  <c r="C49" i="36" s="1"/>
  <c r="K51" i="36"/>
  <c r="K14" i="36"/>
  <c r="K26" i="36"/>
  <c r="K174" i="36"/>
  <c r="C173" i="36"/>
  <c r="C172" i="36" s="1"/>
  <c r="K113" i="36"/>
  <c r="B15" i="26" s="1"/>
  <c r="D15" i="26" s="1"/>
  <c r="K78" i="36"/>
  <c r="I50" i="36"/>
  <c r="K90" i="36"/>
  <c r="K23" i="36"/>
  <c r="K10" i="36"/>
  <c r="K35" i="36"/>
  <c r="G33" i="36"/>
  <c r="K83" i="36"/>
  <c r="K20" i="36"/>
  <c r="K203" i="36"/>
  <c r="G201" i="36"/>
  <c r="K106" i="36"/>
  <c r="K76" i="36"/>
  <c r="K84" i="36"/>
  <c r="J162" i="34"/>
  <c r="I203" i="34"/>
  <c r="I163" i="34"/>
  <c r="I167" i="34"/>
  <c r="I159" i="34"/>
  <c r="Y2" i="39"/>
  <c r="Y105" i="39" s="1"/>
  <c r="T105" i="39"/>
  <c r="J43" i="34"/>
  <c r="J39" i="34"/>
  <c r="G41" i="36" l="1"/>
  <c r="J205" i="34"/>
  <c r="K173" i="36"/>
  <c r="B21" i="26" s="1"/>
  <c r="K43" i="36"/>
  <c r="K41" i="36" s="1"/>
  <c r="B11" i="26" s="1"/>
  <c r="D11" i="26" s="1"/>
  <c r="G207" i="36"/>
  <c r="E207" i="36"/>
  <c r="I207" i="36"/>
  <c r="K40" i="36"/>
  <c r="I37" i="36"/>
  <c r="I8" i="36" s="1"/>
  <c r="K39" i="36"/>
  <c r="G37" i="36"/>
  <c r="G8" i="36" s="1"/>
  <c r="K164" i="36"/>
  <c r="B18" i="26" s="1"/>
  <c r="D18" i="26" s="1"/>
  <c r="G172" i="36"/>
  <c r="K156" i="36"/>
  <c r="B16" i="26" s="1"/>
  <c r="D16" i="26" s="1"/>
  <c r="C41" i="36"/>
  <c r="K208" i="36"/>
  <c r="C207" i="36"/>
  <c r="K38" i="36"/>
  <c r="E37" i="36"/>
  <c r="I49" i="36"/>
  <c r="K27" i="36"/>
  <c r="B8" i="26" s="1"/>
  <c r="D8" i="26" s="1"/>
  <c r="K161" i="36"/>
  <c r="K160" i="36" s="1"/>
  <c r="B17" i="26" s="1"/>
  <c r="D17" i="26" s="1"/>
  <c r="E160" i="36"/>
  <c r="K9" i="36"/>
  <c r="K170" i="36"/>
  <c r="G168" i="36"/>
  <c r="G49" i="36" s="1"/>
  <c r="K199" i="36"/>
  <c r="K198" i="36" s="1"/>
  <c r="B22" i="26" s="1"/>
  <c r="D22" i="26" s="1"/>
  <c r="E198" i="36"/>
  <c r="K169" i="36"/>
  <c r="E168" i="36"/>
  <c r="K33" i="36"/>
  <c r="B9" i="26" s="1"/>
  <c r="D9" i="26" s="1"/>
  <c r="K47" i="36"/>
  <c r="E45" i="36"/>
  <c r="K50" i="36"/>
  <c r="B14" i="26" s="1"/>
  <c r="K205" i="36"/>
  <c r="K204" i="36" s="1"/>
  <c r="B24" i="26" s="1"/>
  <c r="D24" i="26" s="1"/>
  <c r="E204" i="36"/>
  <c r="K46" i="36"/>
  <c r="C45" i="36"/>
  <c r="K202" i="36"/>
  <c r="K201" i="36" s="1"/>
  <c r="B23" i="26" s="1"/>
  <c r="D23" i="26" s="1"/>
  <c r="E201" i="36"/>
  <c r="J6" i="34"/>
  <c r="J47" i="34"/>
  <c r="J170" i="34"/>
  <c r="D49" i="34"/>
  <c r="D50" i="34" s="1"/>
  <c r="L51" i="36"/>
  <c r="L50" i="36" s="1"/>
  <c r="L49" i="36" s="1"/>
  <c r="L210" i="36" s="1"/>
  <c r="AS10" i="31"/>
  <c r="AP10" i="31"/>
  <c r="AN10" i="31"/>
  <c r="AM10" i="31"/>
  <c r="AW13" i="31"/>
  <c r="AX13" i="31" s="1"/>
  <c r="AV13" i="31"/>
  <c r="AU13" i="31"/>
  <c r="AR13" i="31"/>
  <c r="AO13" i="31"/>
  <c r="AQ14" i="31"/>
  <c r="AQ10" i="31" s="1"/>
  <c r="AS30" i="31"/>
  <c r="AU30" i="31" s="1"/>
  <c r="AP30" i="31"/>
  <c r="AR30" i="31" s="1"/>
  <c r="AR26" i="31" s="1"/>
  <c r="AW29" i="31"/>
  <c r="AV29" i="31"/>
  <c r="AU29" i="31"/>
  <c r="AR29" i="31"/>
  <c r="AO29" i="31"/>
  <c r="AO33" i="31"/>
  <c r="AP55" i="31"/>
  <c r="AR55" i="31" s="1"/>
  <c r="AT54" i="31"/>
  <c r="AN54" i="31"/>
  <c r="AQ54" i="31"/>
  <c r="AS54" i="31"/>
  <c r="AM54" i="31"/>
  <c r="AO56" i="31"/>
  <c r="AO55" i="31"/>
  <c r="AO54" i="31" s="1"/>
  <c r="AR56" i="31"/>
  <c r="AU56" i="31"/>
  <c r="AU55" i="31"/>
  <c r="AV44" i="31"/>
  <c r="AV43" i="31"/>
  <c r="AV42" i="31"/>
  <c r="AV47" i="31"/>
  <c r="AV46" i="31"/>
  <c r="AV45" i="31"/>
  <c r="AU53" i="31"/>
  <c r="AU52" i="31"/>
  <c r="AU51" i="31"/>
  <c r="AU50" i="31"/>
  <c r="AU48" i="31"/>
  <c r="AU45" i="31"/>
  <c r="AU44" i="31"/>
  <c r="AU43" i="31"/>
  <c r="AU42" i="31"/>
  <c r="AW45" i="31"/>
  <c r="AW44" i="31"/>
  <c r="AV53" i="31"/>
  <c r="AV52" i="31"/>
  <c r="AV51" i="31"/>
  <c r="AV50" i="31"/>
  <c r="AV49" i="31"/>
  <c r="AS41" i="31"/>
  <c r="AR52" i="31"/>
  <c r="AR50" i="31"/>
  <c r="AR49" i="31"/>
  <c r="AR47" i="31"/>
  <c r="AR45" i="31"/>
  <c r="AR44" i="31"/>
  <c r="AR42" i="31"/>
  <c r="AM41" i="31"/>
  <c r="AO53" i="31"/>
  <c r="AO51" i="31"/>
  <c r="AO49" i="31"/>
  <c r="AO47" i="31"/>
  <c r="AO46" i="31"/>
  <c r="AO45" i="31"/>
  <c r="AO44" i="31"/>
  <c r="AO43" i="31"/>
  <c r="AV40" i="31"/>
  <c r="AV39" i="31"/>
  <c r="AV38" i="31"/>
  <c r="AV37" i="31"/>
  <c r="AW40" i="31"/>
  <c r="AW39" i="31"/>
  <c r="AW38" i="31"/>
  <c r="AW37" i="31"/>
  <c r="AW36" i="31"/>
  <c r="AW35" i="31"/>
  <c r="AW34" i="31"/>
  <c r="AW33" i="31"/>
  <c r="AO38" i="31"/>
  <c r="AN31" i="31" s="1"/>
  <c r="AT31" i="31"/>
  <c r="AU40" i="31"/>
  <c r="AU39" i="31"/>
  <c r="AU38" i="31"/>
  <c r="AU37" i="31"/>
  <c r="AU36" i="31"/>
  <c r="AU34" i="31"/>
  <c r="AU33" i="31"/>
  <c r="AU32" i="31"/>
  <c r="AQ31" i="31"/>
  <c r="AR40" i="31"/>
  <c r="AR39" i="31"/>
  <c r="AR38" i="31"/>
  <c r="AR37" i="31"/>
  <c r="AR35" i="31"/>
  <c r="AR32" i="31"/>
  <c r="AO40" i="31"/>
  <c r="AO39" i="31"/>
  <c r="AO37" i="31"/>
  <c r="AO36" i="31"/>
  <c r="AO35" i="31"/>
  <c r="AO34" i="31"/>
  <c r="AT26" i="31"/>
  <c r="AU28" i="31"/>
  <c r="AU27" i="31"/>
  <c r="AQ26" i="31"/>
  <c r="AR28" i="31"/>
  <c r="AR27" i="31"/>
  <c r="AN26" i="31"/>
  <c r="AO30" i="31"/>
  <c r="AO28" i="31"/>
  <c r="AO27" i="31"/>
  <c r="AV56" i="31"/>
  <c r="AV55" i="31"/>
  <c r="AV28" i="31"/>
  <c r="AV27" i="31"/>
  <c r="AO24" i="31"/>
  <c r="AO23" i="31"/>
  <c r="AO21" i="31"/>
  <c r="AO20" i="31"/>
  <c r="AO18" i="31"/>
  <c r="AO17" i="31"/>
  <c r="AO14" i="31"/>
  <c r="AU23" i="31"/>
  <c r="AU22" i="31"/>
  <c r="AU20" i="31"/>
  <c r="AU19" i="31"/>
  <c r="AU17" i="31"/>
  <c r="AU16" i="31"/>
  <c r="AR24" i="31"/>
  <c r="AR22" i="31"/>
  <c r="AR21" i="31"/>
  <c r="AZ21" i="31" s="1"/>
  <c r="AR19" i="31"/>
  <c r="AR18" i="31"/>
  <c r="AR16" i="31"/>
  <c r="AW56" i="31"/>
  <c r="AW55" i="31"/>
  <c r="AX55" i="31" s="1"/>
  <c r="AX45" i="31"/>
  <c r="AX44" i="31"/>
  <c r="AX40" i="31"/>
  <c r="AX39" i="31"/>
  <c r="AW32" i="31"/>
  <c r="AW30" i="31"/>
  <c r="AW26" i="31" s="1"/>
  <c r="AW28" i="31"/>
  <c r="AW27" i="31"/>
  <c r="AX27" i="31" s="1"/>
  <c r="AW12" i="31"/>
  <c r="AW11" i="31"/>
  <c r="AV12" i="31"/>
  <c r="AV14" i="31"/>
  <c r="AV11" i="31"/>
  <c r="AU12" i="31"/>
  <c r="AU11" i="31"/>
  <c r="AR12" i="31"/>
  <c r="AR11" i="31"/>
  <c r="AO12" i="31"/>
  <c r="AO11" i="31"/>
  <c r="AO26" i="31"/>
  <c r="AX11" i="31"/>
  <c r="AQ53" i="31"/>
  <c r="AR53" i="31" s="1"/>
  <c r="AM26" i="31"/>
  <c r="AV48" i="31"/>
  <c r="AP41" i="31"/>
  <c r="AV16" i="31"/>
  <c r="AV18" i="31"/>
  <c r="AV17" i="31"/>
  <c r="AV24" i="31"/>
  <c r="AV36" i="31"/>
  <c r="AX36" i="31" s="1"/>
  <c r="AR36" i="31"/>
  <c r="B53" i="4"/>
  <c r="E53" i="4" s="1"/>
  <c r="E52" i="4"/>
  <c r="E51" i="4"/>
  <c r="K51" i="4" s="1"/>
  <c r="E49" i="4"/>
  <c r="E48" i="4"/>
  <c r="K48" i="4" s="1"/>
  <c r="E47" i="4"/>
  <c r="E46" i="4"/>
  <c r="K46" i="4" s="1"/>
  <c r="E45" i="4"/>
  <c r="I45" i="4" s="1"/>
  <c r="E44" i="4"/>
  <c r="K44" i="4" s="1"/>
  <c r="G43" i="4"/>
  <c r="E42" i="4"/>
  <c r="G42" i="4"/>
  <c r="D41" i="4"/>
  <c r="E41" i="4" s="1"/>
  <c r="E40" i="4"/>
  <c r="K40" i="4"/>
  <c r="E39" i="4"/>
  <c r="F39" i="4" s="1"/>
  <c r="E38" i="4"/>
  <c r="H38" i="4" s="1"/>
  <c r="L38" i="4" s="1"/>
  <c r="E36" i="4"/>
  <c r="B35" i="4"/>
  <c r="E35" i="4"/>
  <c r="G35" i="4" s="1"/>
  <c r="E34" i="4"/>
  <c r="E33" i="4"/>
  <c r="K33" i="4" s="1"/>
  <c r="E32" i="4"/>
  <c r="H32" i="4" s="1"/>
  <c r="E31" i="4"/>
  <c r="K31" i="4" s="1"/>
  <c r="E30" i="4"/>
  <c r="E29" i="4"/>
  <c r="K29" i="4" s="1"/>
  <c r="E28" i="4"/>
  <c r="E27" i="4"/>
  <c r="K27" i="4" s="1"/>
  <c r="E26" i="4"/>
  <c r="E25" i="4"/>
  <c r="G25" i="4" s="1"/>
  <c r="E24" i="4"/>
  <c r="E21" i="4"/>
  <c r="I21" i="4" s="1"/>
  <c r="E20" i="4"/>
  <c r="H20" i="4" s="1"/>
  <c r="E19" i="4"/>
  <c r="H19" i="4" s="1"/>
  <c r="E18" i="4"/>
  <c r="H18" i="4" s="1"/>
  <c r="E17" i="4"/>
  <c r="I17" i="4" s="1"/>
  <c r="E16" i="4"/>
  <c r="H16" i="4" s="1"/>
  <c r="E15" i="4"/>
  <c r="H15" i="4" s="1"/>
  <c r="E14" i="4"/>
  <c r="I14" i="4" s="1"/>
  <c r="E9" i="4"/>
  <c r="E8" i="4"/>
  <c r="H8" i="4" s="1"/>
  <c r="E7" i="4"/>
  <c r="F7" i="4" s="1"/>
  <c r="G6" i="4"/>
  <c r="H21" i="4"/>
  <c r="F26" i="4"/>
  <c r="J27" i="4"/>
  <c r="F29" i="4"/>
  <c r="I29" i="4"/>
  <c r="J31" i="4"/>
  <c r="F33" i="4"/>
  <c r="I33" i="4"/>
  <c r="I36" i="4"/>
  <c r="F38" i="4"/>
  <c r="F44" i="4"/>
  <c r="I44" i="4"/>
  <c r="J46" i="4"/>
  <c r="J47" i="4"/>
  <c r="F48" i="4"/>
  <c r="I48" i="4"/>
  <c r="F49" i="4"/>
  <c r="I51" i="4"/>
  <c r="F8" i="4"/>
  <c r="J14" i="4"/>
  <c r="G40" i="4"/>
  <c r="K42" i="4"/>
  <c r="J15" i="4"/>
  <c r="J17" i="4"/>
  <c r="J21" i="4"/>
  <c r="J40" i="4"/>
  <c r="I18" i="4"/>
  <c r="J51" i="4"/>
  <c r="J48" i="4"/>
  <c r="F46" i="4"/>
  <c r="H44" i="4"/>
  <c r="J33" i="4"/>
  <c r="F31" i="4"/>
  <c r="H29" i="4"/>
  <c r="I40" i="4"/>
  <c r="F51" i="4"/>
  <c r="H48" i="4"/>
  <c r="J44" i="4"/>
  <c r="H40" i="4"/>
  <c r="H33" i="4"/>
  <c r="J29" i="4"/>
  <c r="F27" i="4"/>
  <c r="G16" i="4"/>
  <c r="J42" i="4"/>
  <c r="J20" i="4"/>
  <c r="J8" i="4"/>
  <c r="H42" i="4"/>
  <c r="J34" i="4"/>
  <c r="I42" i="4"/>
  <c r="J16" i="4"/>
  <c r="H51" i="4"/>
  <c r="I46" i="4"/>
  <c r="I34" i="4"/>
  <c r="I31" i="4"/>
  <c r="I30" i="4"/>
  <c r="I27" i="4"/>
  <c r="F20" i="4"/>
  <c r="E13" i="4"/>
  <c r="I8" i="4"/>
  <c r="F52" i="4"/>
  <c r="G51" i="4"/>
  <c r="G50" i="4" s="1"/>
  <c r="H47" i="4"/>
  <c r="H46" i="4"/>
  <c r="F37" i="4"/>
  <c r="H31" i="4"/>
  <c r="H28" i="4"/>
  <c r="H27" i="4"/>
  <c r="I35" i="4"/>
  <c r="AS15" i="31"/>
  <c r="AS9" i="31" s="1"/>
  <c r="AV41" i="31"/>
  <c r="AV23" i="31"/>
  <c r="AV20" i="31"/>
  <c r="AV19" i="31"/>
  <c r="AV15" i="31" s="1"/>
  <c r="AZ22" i="31"/>
  <c r="AV22" i="31"/>
  <c r="AM15" i="31"/>
  <c r="AP15" i="31"/>
  <c r="AV21" i="31"/>
  <c r="AQ23" i="31"/>
  <c r="AW23" i="31" s="1"/>
  <c r="AX23" i="31" s="1"/>
  <c r="AT24" i="31"/>
  <c r="AW24" i="31" s="1"/>
  <c r="AX24" i="31" s="1"/>
  <c r="AM9" i="31"/>
  <c r="AT14" i="31"/>
  <c r="AT10" i="31" s="1"/>
  <c r="AN19" i="31"/>
  <c r="AW19" i="31" s="1"/>
  <c r="AX19" i="31" s="1"/>
  <c r="AQ20" i="31"/>
  <c r="AR20" i="31" s="1"/>
  <c r="AN16" i="31"/>
  <c r="AO16" i="31" s="1"/>
  <c r="AN22" i="31"/>
  <c r="AW22" i="31" s="1"/>
  <c r="AT21" i="31"/>
  <c r="AW21" i="31" s="1"/>
  <c r="AX21" i="31" s="1"/>
  <c r="AQ17" i="31"/>
  <c r="AR17" i="31" s="1"/>
  <c r="AT18" i="31"/>
  <c r="AU18" i="31" s="1"/>
  <c r="AP9" i="31"/>
  <c r="K37" i="36" l="1"/>
  <c r="B10" i="26" s="1"/>
  <c r="D10" i="26" s="1"/>
  <c r="C8" i="36"/>
  <c r="C210" i="36" s="1"/>
  <c r="B32" i="26" s="1"/>
  <c r="K209" i="36"/>
  <c r="K207" i="36" s="1"/>
  <c r="B25" i="26" s="1"/>
  <c r="D25" i="26" s="1"/>
  <c r="G210" i="36"/>
  <c r="D32" i="26" s="1"/>
  <c r="D37" i="26" s="1"/>
  <c r="K45" i="36"/>
  <c r="B12" i="26" s="1"/>
  <c r="D12" i="26" s="1"/>
  <c r="I210" i="36"/>
  <c r="E32" i="26" s="1"/>
  <c r="E34" i="26" s="1"/>
  <c r="E172" i="36"/>
  <c r="E8" i="36"/>
  <c r="E49" i="36"/>
  <c r="K168" i="36"/>
  <c r="B19" i="26" s="1"/>
  <c r="D19" i="26" s="1"/>
  <c r="B7" i="26"/>
  <c r="D21" i="26"/>
  <c r="B20" i="26"/>
  <c r="D20" i="26" s="1"/>
  <c r="AP26" i="31"/>
  <c r="AS26" i="31"/>
  <c r="AW17" i="31"/>
  <c r="AX17" i="31" s="1"/>
  <c r="AW20" i="31"/>
  <c r="AX20" i="31" s="1"/>
  <c r="AO19" i="31"/>
  <c r="AO22" i="31"/>
  <c r="AW14" i="31"/>
  <c r="AX14" i="31" s="1"/>
  <c r="AR14" i="31"/>
  <c r="AR10" i="31" s="1"/>
  <c r="AU14" i="31"/>
  <c r="AU10" i="31" s="1"/>
  <c r="AQ15" i="31"/>
  <c r="AQ9" i="31" s="1"/>
  <c r="AR23" i="31"/>
  <c r="AZ23" i="31" s="1"/>
  <c r="AW18" i="31"/>
  <c r="AX18" i="31" s="1"/>
  <c r="J210" i="34"/>
  <c r="D51" i="34"/>
  <c r="D52" i="34" s="1"/>
  <c r="D53" i="34" s="1"/>
  <c r="D54" i="34" s="1"/>
  <c r="D55" i="34" s="1"/>
  <c r="D56" i="34" s="1"/>
  <c r="D57" i="34" s="1"/>
  <c r="D58" i="34" s="1"/>
  <c r="D59" i="34" s="1"/>
  <c r="D60" i="34" s="1"/>
  <c r="D61" i="34" s="1"/>
  <c r="D62" i="34" s="1"/>
  <c r="D63" i="34" s="1"/>
  <c r="D64" i="34" s="1"/>
  <c r="D65" i="34" s="1"/>
  <c r="D66" i="34" s="1"/>
  <c r="D67" i="34" s="1"/>
  <c r="D68" i="34" s="1"/>
  <c r="D69" i="34" s="1"/>
  <c r="D70" i="34" s="1"/>
  <c r="D71" i="34" s="1"/>
  <c r="D72" i="34" s="1"/>
  <c r="D73" i="34" s="1"/>
  <c r="D74" i="34" s="1"/>
  <c r="D75" i="34" s="1"/>
  <c r="D76" i="34" s="1"/>
  <c r="D77" i="34" s="1"/>
  <c r="D78" i="34" s="1"/>
  <c r="D79" i="34" s="1"/>
  <c r="D80" i="34" s="1"/>
  <c r="D81" i="34" s="1"/>
  <c r="D82" i="34" s="1"/>
  <c r="D83" i="34" s="1"/>
  <c r="D84" i="34" s="1"/>
  <c r="D85" i="34" s="1"/>
  <c r="D86" i="34" s="1"/>
  <c r="D87" i="34" s="1"/>
  <c r="D88" i="34" s="1"/>
  <c r="D89" i="34" s="1"/>
  <c r="D90" i="34" s="1"/>
  <c r="D91" i="34" s="1"/>
  <c r="D92" i="34" s="1"/>
  <c r="D93" i="34" s="1"/>
  <c r="D94" i="34" s="1"/>
  <c r="D95" i="34" s="1"/>
  <c r="D96" i="34" s="1"/>
  <c r="D97" i="34" s="1"/>
  <c r="D98" i="34" s="1"/>
  <c r="D99" i="34" s="1"/>
  <c r="D100" i="34" s="1"/>
  <c r="D101" i="34" s="1"/>
  <c r="D102" i="34" s="1"/>
  <c r="D103" i="34" s="1"/>
  <c r="D104" i="34" s="1"/>
  <c r="D105" i="34" s="1"/>
  <c r="D106" i="34" s="1"/>
  <c r="D107" i="34" s="1"/>
  <c r="D108" i="34" s="1"/>
  <c r="D109" i="34" s="1"/>
  <c r="D110" i="34" s="1"/>
  <c r="D172" i="34" s="1"/>
  <c r="D173" i="34" s="1"/>
  <c r="D174" i="34" s="1"/>
  <c r="D175" i="34" s="1"/>
  <c r="D176" i="34" s="1"/>
  <c r="D177" i="34" s="1"/>
  <c r="D178" i="34" s="1"/>
  <c r="D179" i="34" s="1"/>
  <c r="D180" i="34" s="1"/>
  <c r="D181" i="34" s="1"/>
  <c r="D182" i="34" s="1"/>
  <c r="D183" i="34" s="1"/>
  <c r="D184" i="34" s="1"/>
  <c r="D185" i="34" s="1"/>
  <c r="D186" i="34" s="1"/>
  <c r="D187" i="34" s="1"/>
  <c r="D188" i="34" s="1"/>
  <c r="D189" i="34" s="1"/>
  <c r="D190" i="34" s="1"/>
  <c r="D191" i="34" s="1"/>
  <c r="D192" i="34" s="1"/>
  <c r="D193" i="34" s="1"/>
  <c r="D194" i="34" s="1"/>
  <c r="D195" i="34" s="1"/>
  <c r="AT46" i="31"/>
  <c r="AU46" i="31" s="1"/>
  <c r="AS35" i="31"/>
  <c r="AU35" i="31" s="1"/>
  <c r="AU31" i="31" s="1"/>
  <c r="AT49" i="31"/>
  <c r="AW49" i="31" s="1"/>
  <c r="AX49" i="31" s="1"/>
  <c r="AQ43" i="31"/>
  <c r="AW43" i="31" s="1"/>
  <c r="AX43" i="31" s="1"/>
  <c r="AN15" i="31"/>
  <c r="AN9" i="31" s="1"/>
  <c r="L42" i="4"/>
  <c r="L48" i="4"/>
  <c r="AW54" i="31"/>
  <c r="AP54" i="31"/>
  <c r="AX29" i="31"/>
  <c r="L31" i="4"/>
  <c r="L21" i="4"/>
  <c r="AU21" i="31"/>
  <c r="H14" i="4"/>
  <c r="AW16" i="31"/>
  <c r="AX16" i="31" s="1"/>
  <c r="AT47" i="31"/>
  <c r="AN52" i="31"/>
  <c r="AO52" i="31" s="1"/>
  <c r="I53" i="4"/>
  <c r="K53" i="4"/>
  <c r="AN50" i="31"/>
  <c r="I41" i="4"/>
  <c r="H41" i="4"/>
  <c r="E37" i="4"/>
  <c r="G41" i="4"/>
  <c r="G37" i="4" s="1"/>
  <c r="AN48" i="31"/>
  <c r="AN42" i="31"/>
  <c r="L29" i="4"/>
  <c r="L8" i="4"/>
  <c r="G23" i="4"/>
  <c r="G22" i="4" s="1"/>
  <c r="AX28" i="31"/>
  <c r="F14" i="4"/>
  <c r="I16" i="4"/>
  <c r="L16" i="4" s="1"/>
  <c r="J18" i="4"/>
  <c r="L18" i="4" s="1"/>
  <c r="I20" i="4"/>
  <c r="L20" i="4" s="1"/>
  <c r="AX22" i="31"/>
  <c r="L46" i="4"/>
  <c r="H39" i="4"/>
  <c r="AX56" i="31"/>
  <c r="AX54" i="31" s="1"/>
  <c r="AU26" i="31"/>
  <c r="AW31" i="31"/>
  <c r="AX38" i="31"/>
  <c r="AT15" i="31"/>
  <c r="AT9" i="31" s="1"/>
  <c r="L14" i="4"/>
  <c r="L44" i="4"/>
  <c r="J7" i="4"/>
  <c r="H17" i="4"/>
  <c r="L17" i="4" s="1"/>
  <c r="AO10" i="31"/>
  <c r="AU54" i="31"/>
  <c r="AW53" i="31"/>
  <c r="AX53" i="31" s="1"/>
  <c r="J24" i="4"/>
  <c r="H24" i="4"/>
  <c r="K24" i="4"/>
  <c r="I24" i="4"/>
  <c r="E23" i="4"/>
  <c r="F47" i="4"/>
  <c r="K47" i="4"/>
  <c r="AP34" i="31"/>
  <c r="L40" i="4"/>
  <c r="I47" i="4"/>
  <c r="I25" i="4"/>
  <c r="H25" i="4"/>
  <c r="F30" i="4"/>
  <c r="K30" i="4"/>
  <c r="J30" i="4"/>
  <c r="H30" i="4"/>
  <c r="AU24" i="31"/>
  <c r="AQ51" i="31"/>
  <c r="H35" i="4"/>
  <c r="L35" i="4" s="1"/>
  <c r="L27" i="4"/>
  <c r="I37" i="4"/>
  <c r="F24" i="4"/>
  <c r="F9" i="4"/>
  <c r="F6" i="4" s="1"/>
  <c r="I9" i="4"/>
  <c r="H9" i="4"/>
  <c r="J9" i="4"/>
  <c r="E6" i="4"/>
  <c r="G15" i="4"/>
  <c r="G13" i="4" s="1"/>
  <c r="G5" i="4" s="1"/>
  <c r="G4" i="4" s="1"/>
  <c r="I15" i="4"/>
  <c r="F19" i="4"/>
  <c r="J19" i="4"/>
  <c r="J13" i="4" s="1"/>
  <c r="I19" i="4"/>
  <c r="L19" i="4" s="1"/>
  <c r="I28" i="4"/>
  <c r="K28" i="4"/>
  <c r="F28" i="4"/>
  <c r="J28" i="4"/>
  <c r="F36" i="4"/>
  <c r="K36" i="4"/>
  <c r="J36" i="4"/>
  <c r="H36" i="4"/>
  <c r="L36" i="4" s="1"/>
  <c r="J41" i="4"/>
  <c r="K41" i="4"/>
  <c r="K37" i="4" s="1"/>
  <c r="I52" i="4"/>
  <c r="I50" i="4" s="1"/>
  <c r="K52" i="4"/>
  <c r="K50" i="4" s="1"/>
  <c r="H52" i="4"/>
  <c r="E50" i="4"/>
  <c r="J52" i="4"/>
  <c r="L33" i="4"/>
  <c r="J37" i="4"/>
  <c r="J32" i="4"/>
  <c r="K32" i="4"/>
  <c r="I32" i="4"/>
  <c r="F32" i="4"/>
  <c r="J45" i="4"/>
  <c r="K45" i="4"/>
  <c r="H45" i="4"/>
  <c r="F45" i="4"/>
  <c r="F43" i="4" s="1"/>
  <c r="E43" i="4"/>
  <c r="AV10" i="31"/>
  <c r="AX12" i="31"/>
  <c r="AP33" i="31"/>
  <c r="AV30" i="31"/>
  <c r="AX30" i="31" s="1"/>
  <c r="AX26" i="31" s="1"/>
  <c r="L51" i="4"/>
  <c r="I7" i="4"/>
  <c r="H7" i="4"/>
  <c r="J26" i="4"/>
  <c r="K26" i="4"/>
  <c r="I26" i="4"/>
  <c r="H26" i="4"/>
  <c r="H34" i="4"/>
  <c r="K34" i="4"/>
  <c r="F34" i="4"/>
  <c r="H49" i="4"/>
  <c r="K49" i="4"/>
  <c r="J49" i="4"/>
  <c r="I49" i="4"/>
  <c r="F53" i="4"/>
  <c r="F50" i="4" s="1"/>
  <c r="H53" i="4"/>
  <c r="J53" i="4"/>
  <c r="AV54" i="31"/>
  <c r="AX37" i="31"/>
  <c r="AR54" i="31"/>
  <c r="K172" i="36" l="1"/>
  <c r="K8" i="36"/>
  <c r="E210" i="36"/>
  <c r="E37" i="26"/>
  <c r="B13" i="26"/>
  <c r="D7" i="26"/>
  <c r="B6" i="26"/>
  <c r="AO15" i="31"/>
  <c r="AO9" i="31" s="1"/>
  <c r="AW10" i="31"/>
  <c r="AX10" i="31" s="1"/>
  <c r="AR15" i="31"/>
  <c r="AR9" i="31" s="1"/>
  <c r="AX15" i="31"/>
  <c r="AU15" i="31"/>
  <c r="AU9" i="31" s="1"/>
  <c r="AM32" i="31"/>
  <c r="AO32" i="31" s="1"/>
  <c r="AO31" i="31" s="1"/>
  <c r="AW46" i="31"/>
  <c r="AX46" i="31" s="1"/>
  <c r="AS31" i="31"/>
  <c r="AS25" i="31" s="1"/>
  <c r="AS58" i="31" s="1"/>
  <c r="AV35" i="31"/>
  <c r="AX35" i="31" s="1"/>
  <c r="AU49" i="31"/>
  <c r="AT41" i="31"/>
  <c r="AT25" i="31" s="1"/>
  <c r="AT58" i="31" s="1"/>
  <c r="AQ41" i="31"/>
  <c r="AQ25" i="31" s="1"/>
  <c r="AQ58" i="31" s="1"/>
  <c r="AR43" i="31"/>
  <c r="AN41" i="31"/>
  <c r="AN25" i="31" s="1"/>
  <c r="AN58" i="31" s="1"/>
  <c r="AW15" i="31"/>
  <c r="F13" i="4"/>
  <c r="J6" i="4"/>
  <c r="L34" i="4"/>
  <c r="L49" i="4"/>
  <c r="K43" i="4"/>
  <c r="AW52" i="31"/>
  <c r="AX52" i="31" s="1"/>
  <c r="AW50" i="31"/>
  <c r="AX50" i="31" s="1"/>
  <c r="AO50" i="31"/>
  <c r="AW47" i="31"/>
  <c r="AX47" i="31" s="1"/>
  <c r="AU47" i="31"/>
  <c r="L32" i="4"/>
  <c r="L28" i="4"/>
  <c r="L47" i="4"/>
  <c r="L39" i="4"/>
  <c r="H37" i="4"/>
  <c r="L37" i="4" s="1"/>
  <c r="AW42" i="31"/>
  <c r="AX42" i="31" s="1"/>
  <c r="AO42" i="31"/>
  <c r="L45" i="4"/>
  <c r="J50" i="4"/>
  <c r="L41" i="4"/>
  <c r="L30" i="4"/>
  <c r="L25" i="4"/>
  <c r="I23" i="4"/>
  <c r="H13" i="4"/>
  <c r="AW48" i="31"/>
  <c r="AX48" i="31" s="1"/>
  <c r="AO48" i="31"/>
  <c r="E22" i="4"/>
  <c r="J23" i="4"/>
  <c r="L26" i="4"/>
  <c r="L7" i="4"/>
  <c r="H6" i="4"/>
  <c r="AV9" i="31"/>
  <c r="B12" i="4"/>
  <c r="E12" i="4" s="1"/>
  <c r="B11" i="4"/>
  <c r="E11" i="4" s="1"/>
  <c r="B10" i="4"/>
  <c r="E10" i="4" s="1"/>
  <c r="AV26" i="31"/>
  <c r="I43" i="4"/>
  <c r="I6" i="4"/>
  <c r="F23" i="4"/>
  <c r="F22" i="4" s="1"/>
  <c r="AW51" i="31"/>
  <c r="AX51" i="31" s="1"/>
  <c r="AR51" i="31"/>
  <c r="H43" i="4"/>
  <c r="K23" i="4"/>
  <c r="K22" i="4" s="1"/>
  <c r="K4" i="4" s="1"/>
  <c r="L53" i="4"/>
  <c r="AV33" i="31"/>
  <c r="AP31" i="31"/>
  <c r="AP25" i="31" s="1"/>
  <c r="AP58" i="31" s="1"/>
  <c r="AR33" i="31"/>
  <c r="J43" i="4"/>
  <c r="L52" i="4"/>
  <c r="L50" i="4" s="1"/>
  <c r="H50" i="4"/>
  <c r="I13" i="4"/>
  <c r="L13" i="4" s="1"/>
  <c r="L9" i="4"/>
  <c r="L15" i="4"/>
  <c r="AV34" i="31"/>
  <c r="AX34" i="31" s="1"/>
  <c r="AR34" i="31"/>
  <c r="L24" i="4"/>
  <c r="H23" i="4"/>
  <c r="B26" i="26" l="1"/>
  <c r="K211" i="36"/>
  <c r="C32" i="26"/>
  <c r="C34" i="26" s="1"/>
  <c r="D39" i="26"/>
  <c r="B38" i="26"/>
  <c r="AW9" i="31"/>
  <c r="AX9" i="31"/>
  <c r="AM31" i="31"/>
  <c r="AM25" i="31" s="1"/>
  <c r="AM58" i="31" s="1"/>
  <c r="AV32" i="31"/>
  <c r="AX32" i="31" s="1"/>
  <c r="AU41" i="31"/>
  <c r="AU25" i="31" s="1"/>
  <c r="AU58" i="31" s="1"/>
  <c r="AR41" i="31"/>
  <c r="AX41" i="31"/>
  <c r="AX59" i="31" s="1"/>
  <c r="I22" i="4"/>
  <c r="AO41" i="31"/>
  <c r="AO25" i="31" s="1"/>
  <c r="AO58" i="31" s="1"/>
  <c r="AW41" i="31"/>
  <c r="AW25" i="31" s="1"/>
  <c r="J10" i="4"/>
  <c r="I10" i="4"/>
  <c r="H10" i="4"/>
  <c r="AX33" i="31"/>
  <c r="J11" i="4"/>
  <c r="I11" i="4"/>
  <c r="F11" i="4"/>
  <c r="H11" i="4"/>
  <c r="L43" i="4"/>
  <c r="J12" i="4"/>
  <c r="H12" i="4"/>
  <c r="I12" i="4"/>
  <c r="F12" i="4"/>
  <c r="C5" i="4" s="1"/>
  <c r="J22" i="4"/>
  <c r="H22" i="4"/>
  <c r="L23" i="4"/>
  <c r="AR31" i="31"/>
  <c r="E5" i="4"/>
  <c r="E4" i="4" s="1"/>
  <c r="L6" i="4"/>
  <c r="C37" i="26" l="1"/>
  <c r="C39" i="26" s="1"/>
  <c r="F32" i="26"/>
  <c r="F37" i="26" s="1"/>
  <c r="F39" i="26" s="1"/>
  <c r="D34" i="26"/>
  <c r="AW58" i="31"/>
  <c r="AW59" i="31" s="1"/>
  <c r="AV31" i="31"/>
  <c r="AV25" i="31" s="1"/>
  <c r="AV58" i="31" s="1"/>
  <c r="AX31" i="31"/>
  <c r="AX25" i="31" s="1"/>
  <c r="AX58" i="31" s="1"/>
  <c r="AM60" i="31"/>
  <c r="AR25" i="31"/>
  <c r="AR58" i="31" s="1"/>
  <c r="AU60" i="31" s="1"/>
  <c r="F5" i="4"/>
  <c r="F4" i="4" s="1"/>
  <c r="I5" i="4"/>
  <c r="I4" i="4" s="1"/>
  <c r="L10" i="4"/>
  <c r="L12" i="4"/>
  <c r="H5" i="4"/>
  <c r="J5" i="4"/>
  <c r="J4" i="4" s="1"/>
  <c r="L22" i="4"/>
  <c r="L11" i="4"/>
  <c r="AV59" i="31" l="1"/>
  <c r="H4" i="4"/>
  <c r="L4" i="4" s="1"/>
  <c r="L5" i="4"/>
  <c r="D6" i="26" l="1"/>
  <c r="K49" i="36"/>
  <c r="K210" i="36" s="1"/>
  <c r="B37" i="26" l="1"/>
  <c r="B34" i="26" l="1"/>
  <c r="F34" i="26" s="1"/>
  <c r="K214" i="36"/>
  <c r="B39" i="26"/>
  <c r="E39" i="26"/>
  <c r="D14" i="26" l="1"/>
  <c r="D26" i="26" l="1"/>
  <c r="E20" i="26" s="1"/>
  <c r="D13" i="26"/>
  <c r="E13" i="26" l="1"/>
  <c r="E25" i="26"/>
  <c r="E6" i="26"/>
</calcChain>
</file>

<file path=xl/comments1.xml><?xml version="1.0" encoding="utf-8"?>
<comments xmlns="http://schemas.openxmlformats.org/spreadsheetml/2006/main">
  <authors>
    <author>jgarciava</author>
  </authors>
  <commentList>
    <comment ref="K80" authorId="0">
      <text>
        <r>
          <rPr>
            <b/>
            <sz val="9"/>
            <color indexed="81"/>
            <rFont val="Tahoma"/>
            <family val="2"/>
          </rPr>
          <t>jgarciava:</t>
        </r>
        <r>
          <rPr>
            <sz val="9"/>
            <color indexed="81"/>
            <rFont val="Tahoma"/>
            <family val="2"/>
          </rPr>
          <t xml:space="preserve">
en procesos de compra</t>
        </r>
      </text>
    </comment>
  </commentList>
</comments>
</file>

<file path=xl/sharedStrings.xml><?xml version="1.0" encoding="utf-8"?>
<sst xmlns="http://schemas.openxmlformats.org/spreadsheetml/2006/main" count="2910" uniqueCount="1158">
  <si>
    <t>Fuente de Financiamiento y porcentaje</t>
  </si>
  <si>
    <t>Fechas estimadas</t>
  </si>
  <si>
    <t>Comentarios</t>
  </si>
  <si>
    <t xml:space="preserve">BID %   </t>
  </si>
  <si>
    <t xml:space="preserve">Local / Otro % </t>
  </si>
  <si>
    <t>Publicación de Anuncio Específico de Adquisición</t>
  </si>
  <si>
    <t>Terminación del Contrato</t>
  </si>
  <si>
    <t xml:space="preserve">Un Paquete de material no gastable para maestros  Educación Inicial. </t>
  </si>
  <si>
    <t xml:space="preserve">Un Paquete de material gastable para 1º 2º y 3º grado (Matemática). </t>
  </si>
  <si>
    <t>Un juego de materiales de lenguaje (Inicial).</t>
  </si>
  <si>
    <t xml:space="preserve">Un juego de materiales de 1o , 2o y 3o grado  lenguaje. </t>
  </si>
  <si>
    <t>Diseño, edición e impresión de cuadernillos de lenguaje para Inicial, 1º,2º y 3º.</t>
  </si>
  <si>
    <t>Diseño, edición e impresión de cuadernos de ejercicios para matemática para  Inicial, 1º,2º y 3º.</t>
  </si>
  <si>
    <t>Paquete de materiales por sección para la capacitación de maestros, directores y supervisores</t>
  </si>
  <si>
    <t>Guias para docentes (2 por grado )</t>
  </si>
  <si>
    <t>Paquete Didactico para facilitadores</t>
  </si>
  <si>
    <t>Asistencia técnica para el desarrollo de la estrategia pedagógica y acompañamiento al equipo técnico</t>
  </si>
  <si>
    <t xml:space="preserve">Diseño del plan Maestro de capacitación para los 4 años </t>
  </si>
  <si>
    <t>Elaboración de módulos para capacitación a docentes.</t>
  </si>
  <si>
    <t>Diseño y Aplicación de las pruebas.</t>
  </si>
  <si>
    <t>Evaluación final del proyecto, incluye EGMA y EGRA</t>
  </si>
  <si>
    <t>Año 1</t>
  </si>
  <si>
    <t>Año 2</t>
  </si>
  <si>
    <t>Año 3</t>
  </si>
  <si>
    <t>Año 4</t>
  </si>
  <si>
    <t>Componente 1: Espacios educativos y de gestión</t>
  </si>
  <si>
    <t>Tabla de costos</t>
  </si>
  <si>
    <t>TOTAL</t>
  </si>
  <si>
    <t>Costo Unitario</t>
  </si>
  <si>
    <t>Unidad de medida</t>
  </si>
  <si>
    <t>Cantidades</t>
  </si>
  <si>
    <t>Costo total</t>
  </si>
  <si>
    <t>BID</t>
  </si>
  <si>
    <t>Contrapartida</t>
  </si>
  <si>
    <t>Total</t>
  </si>
  <si>
    <t>Edificaciones escolares y de gestión</t>
  </si>
  <si>
    <t>El Peñón</t>
  </si>
  <si>
    <t>obra</t>
  </si>
  <si>
    <t>Lajas Blancas</t>
  </si>
  <si>
    <t>Ustupo</t>
  </si>
  <si>
    <t>Diseños</t>
  </si>
  <si>
    <t>diseño</t>
  </si>
  <si>
    <t xml:space="preserve">Supervisión de obras </t>
  </si>
  <si>
    <t>supervisión</t>
  </si>
  <si>
    <t>Mobiliario</t>
  </si>
  <si>
    <t>contrato</t>
  </si>
  <si>
    <t>Equipamiento</t>
  </si>
  <si>
    <t>Laboratorios</t>
  </si>
  <si>
    <t>equipo</t>
  </si>
  <si>
    <t>Bibliotecas escolares</t>
  </si>
  <si>
    <t>bibloteca</t>
  </si>
  <si>
    <t>Computadoras</t>
  </si>
  <si>
    <t>computadora</t>
  </si>
  <si>
    <t>Juegos de láminas para las aulas</t>
  </si>
  <si>
    <t>juego</t>
  </si>
  <si>
    <t>Material deportivo</t>
  </si>
  <si>
    <t>set</t>
  </si>
  <si>
    <t>Equipo de oficina</t>
  </si>
  <si>
    <t>Equipo médico (enfermería)</t>
  </si>
  <si>
    <t>Tres talleres de capacitación de 5 días para 60 directores</t>
  </si>
  <si>
    <t>días</t>
  </si>
  <si>
    <t>Componente 2: Mejoramiento de los aprendizajes</t>
  </si>
  <si>
    <t xml:space="preserve">Subcomponente 2.1 Desarrollo y dotaciòn de Materiales educativos </t>
  </si>
  <si>
    <t>Asistencia Tecnica</t>
  </si>
  <si>
    <t xml:space="preserve">Un Paquete de material gastable para maestro de Educación Inicial.  </t>
  </si>
  <si>
    <t xml:space="preserve">Paquete de aula </t>
  </si>
  <si>
    <t>Un Paquete de  material no gastable para 1º, 2º y 3º grado lenguaje</t>
  </si>
  <si>
    <t>Adquisición y distribución de bibliotcas de aula</t>
  </si>
  <si>
    <t>Libros</t>
  </si>
  <si>
    <t>Guías</t>
  </si>
  <si>
    <t xml:space="preserve"> Distribuciòn de Material </t>
  </si>
  <si>
    <t>Viajes</t>
  </si>
  <si>
    <t xml:space="preserve">Paquete </t>
  </si>
  <si>
    <t>Subcomponente 2.2 Capacitación de docentes y directores</t>
  </si>
  <si>
    <t>Consultoria</t>
  </si>
  <si>
    <t xml:space="preserve">Taller de capacitación para 50 facilitadores por 10 dìas  </t>
  </si>
  <si>
    <t xml:space="preserve">Taller de capacitación para Maestros, Directores y Supervisores, para un total de 600 participantes por 15 dìas  </t>
  </si>
  <si>
    <t>secciones</t>
  </si>
  <si>
    <t xml:space="preserve">Subcomponente 2.3 Seguimiento y Evaluación Educativa </t>
  </si>
  <si>
    <t>Visitas de seguimiento de los equipos nacionales (3 comarcas y prov. Panamá)</t>
  </si>
  <si>
    <t>visitas</t>
  </si>
  <si>
    <t>Visitas de seguimiento de los equipos regionales (3 comarcas y prov. Panamá)</t>
  </si>
  <si>
    <t>Visitas de monitoreo a los centros educativos de los supervisors regionales</t>
  </si>
  <si>
    <t>Materiales de apoyo para las visitas</t>
  </si>
  <si>
    <t>un paquete</t>
  </si>
  <si>
    <t>Evaluación</t>
  </si>
  <si>
    <t>Admon, Auditoria, Monitoreo y Evaluación</t>
  </si>
  <si>
    <t xml:space="preserve">Administración </t>
  </si>
  <si>
    <t>Global</t>
  </si>
  <si>
    <t xml:space="preserve">Auditoria </t>
  </si>
  <si>
    <t>Imprevistos</t>
  </si>
  <si>
    <t>Método de Adquisición 2</t>
  </si>
  <si>
    <t>Status 4   (pendiente, en proceso, adjudicado, cancelado)</t>
  </si>
  <si>
    <t>MINISTERIO DE EDUCACION</t>
  </si>
  <si>
    <t>ACTIVIDADES</t>
  </si>
  <si>
    <t>LOCAL</t>
  </si>
  <si>
    <t>%</t>
  </si>
  <si>
    <t>TOTALES</t>
  </si>
  <si>
    <t>AÑOS</t>
  </si>
  <si>
    <t>AÑO 2013</t>
  </si>
  <si>
    <t>PRODUCTO</t>
  </si>
  <si>
    <t>FONDOS</t>
  </si>
  <si>
    <t>NOV</t>
  </si>
  <si>
    <t>DIC</t>
  </si>
  <si>
    <t>EN</t>
  </si>
  <si>
    <t>FEB</t>
  </si>
  <si>
    <t>MAR</t>
  </si>
  <si>
    <t>ABR</t>
  </si>
  <si>
    <t>MAY</t>
  </si>
  <si>
    <t>JUN</t>
  </si>
  <si>
    <t>JUL</t>
  </si>
  <si>
    <t>AGOS</t>
  </si>
  <si>
    <t>SEPT</t>
  </si>
  <si>
    <t>OCT</t>
  </si>
  <si>
    <t>APORTE EXTERNO</t>
  </si>
  <si>
    <t>APORTE LOCAL</t>
  </si>
  <si>
    <t>GRAN TOTAL</t>
  </si>
  <si>
    <t>Año</t>
  </si>
  <si>
    <t>Categ. adquisición</t>
  </si>
  <si>
    <t>Fecha de apertura de oferta</t>
  </si>
  <si>
    <t>Fecha de contratación</t>
  </si>
  <si>
    <t>Descripción del Contrato de Adquisiciones</t>
  </si>
  <si>
    <t>Porcentaje</t>
  </si>
  <si>
    <t>CONSOLIDADO POR COMPONENTE Y CATEGORIA DE GASTO, MONTO DE PRESTAMO  Y CONTRAPARTIDA LOCAL</t>
  </si>
  <si>
    <t>COMPONENTES</t>
  </si>
  <si>
    <t>PLAN OPERATIVO ANUAL</t>
  </si>
  <si>
    <t>Actividades</t>
  </si>
  <si>
    <t>Costo Unitario (US$ miles)</t>
  </si>
  <si>
    <t>Pendiente</t>
  </si>
  <si>
    <t>LPI</t>
  </si>
  <si>
    <t>Obra</t>
  </si>
  <si>
    <t>Bienes</t>
  </si>
  <si>
    <t>Ex-ante</t>
  </si>
  <si>
    <t>AÑO  2014</t>
  </si>
  <si>
    <t>AÑO 2015</t>
  </si>
  <si>
    <t>AÑO 2014</t>
  </si>
  <si>
    <t>HASTA DIC 2016</t>
  </si>
  <si>
    <t>Consultoría</t>
  </si>
  <si>
    <t>FUENTE DE FINANCIAMIENTO</t>
  </si>
  <si>
    <t>PLAN DE DESEMBOLSOS</t>
  </si>
  <si>
    <t>PROYECTO: PROGRAMA APOYO AL PLAN DECENAL II (DR-L1056)</t>
  </si>
  <si>
    <t>Sistematización del modelo de atención - Lenguaje 1o y 4o</t>
  </si>
  <si>
    <t>Sistematización del modelo de atención - Matemáticas 1o y 4o</t>
  </si>
  <si>
    <t>Evaluacion de los aprendizajes del primer ciclo de básica y las escuelas multigrado</t>
  </si>
  <si>
    <t>Componente 1. Escuelas Efectivas para la Calidad Educativa</t>
  </si>
  <si>
    <t>Componente 2. Ampliación y equipamiento de infraestructura escolar</t>
  </si>
  <si>
    <t>Subcomponente 2.1. Rehabilitación de Escuelas para Jornada Extendida</t>
  </si>
  <si>
    <t>Subcomponente 2.2. Ampliación y equipamiento de aulas de educación básica e inicial</t>
  </si>
  <si>
    <t>Readecuación de infraestructura: 20 cocinas, 20 baños y 20 comedores</t>
  </si>
  <si>
    <t>Readecuación de infraestructura: 25 cocinas, 25 baños y 25 comedores</t>
  </si>
  <si>
    <t>Adecuación de los diseños de 66 planteles, estudios de suelo y levantamiento topográfico</t>
  </si>
  <si>
    <t>Adecuación de los diseños de 110 planteles, estudios de suelo y levantamiento topográfico</t>
  </si>
  <si>
    <t xml:space="preserve">Construcción de 110 aulas de educación inicial y básica </t>
  </si>
  <si>
    <t>Supervisión de 66 obra</t>
  </si>
  <si>
    <t>Supervisión de 110 obras</t>
  </si>
  <si>
    <t>Construcción de 66 aulas de educación inicial y básica</t>
  </si>
  <si>
    <t>Diseño de 210 planteles de educación media, estudio de suelo y levantamiento topográfico</t>
  </si>
  <si>
    <t>Diseño de 114 planteles de educación media, estudio de suelo y levantamiento topográfico</t>
  </si>
  <si>
    <t>Construcción de 114 aulas de educación media</t>
  </si>
  <si>
    <t xml:space="preserve">Construcción de 210 aulas de educación media </t>
  </si>
  <si>
    <t>Supervisión de la obra de 114 planteles</t>
  </si>
  <si>
    <t>Supervisión de la obra de 210 planteles</t>
  </si>
  <si>
    <t>Contratación de mobiliario para 114 aulas</t>
  </si>
  <si>
    <t>Contratación de mobiliario para210 aulas</t>
  </si>
  <si>
    <t>Equipamiento de 34  laboratorios de computación</t>
  </si>
  <si>
    <t>Equipamiento de 17  laboratorios de computación</t>
  </si>
  <si>
    <t>Equipamiento de 34 laboratorios de ciencias</t>
  </si>
  <si>
    <t>Equipamiento 17 laboratorios de ciencias</t>
  </si>
  <si>
    <t xml:space="preserve"> 1.1. Mejora de los aprendizajes en lectoescritura y matemáticas</t>
  </si>
  <si>
    <t xml:space="preserve"> 1.2. Gestión e innovación educativa </t>
  </si>
  <si>
    <t>ENE</t>
  </si>
  <si>
    <t xml:space="preserve"> 2.3. Ampliación de aulas de educación media</t>
  </si>
  <si>
    <t>COSTOS FINANCIEROS</t>
  </si>
  <si>
    <t>3. ADMINISTRACIÓN, MONITOREO Y EVALUACION</t>
  </si>
  <si>
    <t>Modelo de atención</t>
  </si>
  <si>
    <t>Informes  de Evaluación</t>
  </si>
  <si>
    <t>Estudios</t>
  </si>
  <si>
    <t>Centros  educativos con dos o más tandas</t>
  </si>
  <si>
    <t>Centros educativos con cocinas y baños readecuados</t>
  </si>
  <si>
    <t>Diseños de planteles</t>
  </si>
  <si>
    <t>Aulas construidas</t>
  </si>
  <si>
    <t>Obras de aulas supervisadas</t>
  </si>
  <si>
    <t>Aulas equipadas</t>
  </si>
  <si>
    <t>Diseño de planteles elaborados</t>
  </si>
  <si>
    <t>Aulas de planteles construidos</t>
  </si>
  <si>
    <t>Contrucción de aulas de planteles supervisadas</t>
  </si>
  <si>
    <t>Aulas de planteles equipadas</t>
  </si>
  <si>
    <t>Laboratorios de computación equipados</t>
  </si>
  <si>
    <t>Laboratorios de ciencias equipados</t>
  </si>
  <si>
    <t xml:space="preserve">TOTAL GENERAL DEL PROYECTO </t>
  </si>
  <si>
    <t>Correlativo</t>
  </si>
  <si>
    <t>Integración de tandas en 10 centros educativos con dos tandas o más</t>
  </si>
  <si>
    <t>Integración de tandas en 20 centros educativos con dos tandas o más</t>
  </si>
  <si>
    <t>Fortalecimiento de la escuela de directores (2 estudios)</t>
  </si>
  <si>
    <t>Fortalecimiento de la escuela de directores (1 estudio)</t>
  </si>
  <si>
    <t>Fortalecimiento del modelo de Jornada Extendida (2 estudios)</t>
  </si>
  <si>
    <t>Fortalecimiento del modelo de Jornada Extendida (1 estudio)</t>
  </si>
  <si>
    <t>Mobiliario para 1,600 multigrado</t>
  </si>
  <si>
    <t xml:space="preserve">Mobiliario para 66 aulas </t>
  </si>
  <si>
    <t xml:space="preserve">Mobiliario para 110 aulas </t>
  </si>
  <si>
    <t>Revisión (ex-ante o          ex-post)</t>
  </si>
  <si>
    <t>AGO</t>
  </si>
  <si>
    <t>SEP</t>
  </si>
  <si>
    <t xml:space="preserve">Administración, monitoreo y evaluación  </t>
  </si>
  <si>
    <t xml:space="preserve">Estudios </t>
  </si>
  <si>
    <t xml:space="preserve">Evaluación diagnóstica de la infraestructura escolar en 1,100 centros educativos para determinar la vulnerabilidad sísmica </t>
  </si>
  <si>
    <t>Adquisición e incorporación de recursos educativos  para  la mejora de los aprendizajes de los niños y niñas del Nivel Básico,  de manera tal que su experiencia formativa sea enriquecida desde la práctica de aula , tales como Rincones Tecnológicos, organización de Rincones de Aprendizaje, entre otros .</t>
  </si>
  <si>
    <t>Local</t>
  </si>
  <si>
    <t>Limon</t>
  </si>
  <si>
    <t>Guacimo</t>
  </si>
  <si>
    <t>San José</t>
  </si>
  <si>
    <t>Santa Ana</t>
  </si>
  <si>
    <t>Leon Cortes</t>
  </si>
  <si>
    <t>Cartago</t>
  </si>
  <si>
    <t>Turrialba</t>
  </si>
  <si>
    <t>El Guarco</t>
  </si>
  <si>
    <t>Oreamuno</t>
  </si>
  <si>
    <t>San Jose</t>
  </si>
  <si>
    <t>Puntarenas</t>
  </si>
  <si>
    <t>Osa</t>
  </si>
  <si>
    <t>Curridabat</t>
  </si>
  <si>
    <t>Heredia</t>
  </si>
  <si>
    <t>Perez Zeledon</t>
  </si>
  <si>
    <t>Coronado</t>
  </si>
  <si>
    <t>Limón</t>
  </si>
  <si>
    <t>Guanacaste</t>
  </si>
  <si>
    <t>La Cruz</t>
  </si>
  <si>
    <t>Nandayure</t>
  </si>
  <si>
    <t>Desamparados</t>
  </si>
  <si>
    <t>Provincia</t>
  </si>
  <si>
    <t>Canton</t>
  </si>
  <si>
    <t>Tipo</t>
  </si>
  <si>
    <t>Alajuelita</t>
  </si>
  <si>
    <t>Belen</t>
  </si>
  <si>
    <t>Alajuela</t>
  </si>
  <si>
    <t>Goicoechea</t>
  </si>
  <si>
    <t>Grecia</t>
  </si>
  <si>
    <t>Garabito</t>
  </si>
  <si>
    <t>Corredores</t>
  </si>
  <si>
    <t>Puriscal</t>
  </si>
  <si>
    <t>Sarapiqui</t>
  </si>
  <si>
    <t>Liberia</t>
  </si>
  <si>
    <t>San Carlos</t>
  </si>
  <si>
    <t>San Mateo</t>
  </si>
  <si>
    <t>Aguirre</t>
  </si>
  <si>
    <t>Buenos Aires</t>
  </si>
  <si>
    <t>Siquirres</t>
  </si>
  <si>
    <t>León Cortes</t>
  </si>
  <si>
    <t>Talamanca</t>
  </si>
  <si>
    <t>Pococí</t>
  </si>
  <si>
    <t>Upala</t>
  </si>
  <si>
    <t>Turrubares</t>
  </si>
  <si>
    <t>Orotina</t>
  </si>
  <si>
    <t>Acosta</t>
  </si>
  <si>
    <t>Heredía</t>
  </si>
  <si>
    <t>Sarapiquí</t>
  </si>
  <si>
    <t>San Ramon</t>
  </si>
  <si>
    <t>CD</t>
  </si>
  <si>
    <t>Terreno</t>
  </si>
  <si>
    <t>Subtotal</t>
  </si>
  <si>
    <t>Costo estimado de la Adquisición (US$ miles)</t>
  </si>
  <si>
    <t>Construcción de centros</t>
  </si>
  <si>
    <t>Adquisición de terrenos</t>
  </si>
  <si>
    <t>Componente 1. Construcción y equipamiento de escuelas primarias, escuelas de educación especial e institutos de enseñanza básica general en áreas urbano-marginales</t>
  </si>
  <si>
    <t>Componente 2. Construcción y equipamiento de colegios de secundaria en áreas rurales y urbano-marginales</t>
  </si>
  <si>
    <t>Mobiliario y equipo</t>
  </si>
  <si>
    <t>Varias</t>
  </si>
  <si>
    <t>1 Mobiliario y Equipo escuelas etapa 1</t>
  </si>
  <si>
    <t>2 Mobiliario y Equipo escuelas etapa 2</t>
  </si>
  <si>
    <t>3 Mobiliario y Equpo escuelas etapa 3</t>
  </si>
  <si>
    <t>2 Terreno Escuela Finca La Caja</t>
  </si>
  <si>
    <t>2 Terreno Un.Ped.Sotero Gonzalez B.</t>
  </si>
  <si>
    <t>3 Terreno Escuela Emilio Robert Brouca</t>
  </si>
  <si>
    <t>3 Terreno Escuela Finca Seis-Once</t>
  </si>
  <si>
    <t>3 Terreno Escuela La Hermosa</t>
  </si>
  <si>
    <t>1 Construcción Centro. De Ens. Esp. De Santa Ana</t>
  </si>
  <si>
    <t>1 Construcción Escuela La Gran Samaria</t>
  </si>
  <si>
    <t>1 Construcción Escuela Laboratorio Turrialba</t>
  </si>
  <si>
    <t>1 Construcción Escuela Las Nubes</t>
  </si>
  <si>
    <t>1 Construcción Escuela Nuevo Amanecer</t>
  </si>
  <si>
    <t xml:space="preserve">2 Construcción Centro De Ens. Esp. Guapiles </t>
  </si>
  <si>
    <t>2 Construcción Escuela Conventillos</t>
  </si>
  <si>
    <t>2 Construcción Escuela Finca La Caja</t>
  </si>
  <si>
    <t>2 Construcción Escuela Granadilla Norte</t>
  </si>
  <si>
    <t>2 Construcción Escuela Santa Cecilia</t>
  </si>
  <si>
    <t>2 Construcción Un.Ped.Sotero Gonzalez B.</t>
  </si>
  <si>
    <t>3 Construcción Escuela Azul</t>
  </si>
  <si>
    <t>3 Construcción Escuela Emilio Robert Brouca</t>
  </si>
  <si>
    <t>3 Construcción Escuela Finca Seis-Once</t>
  </si>
  <si>
    <t>3 Construcción Escuela La Hermosa</t>
  </si>
  <si>
    <t>3 Construcción IEGB Colonia Del Valle</t>
  </si>
  <si>
    <t>Supervisión de obras</t>
  </si>
  <si>
    <t>1 Supervisión escuelas etapa 1</t>
  </si>
  <si>
    <t>2 Supervisión escuelas etapa 2</t>
  </si>
  <si>
    <t>3 Supervisión escuelas etapa 3</t>
  </si>
  <si>
    <t>Componente 3. Construcción de espacios culturales y deportivos en centros de alta densidad estudiantil</t>
  </si>
  <si>
    <t>Construcción de canchas multiusos</t>
  </si>
  <si>
    <t>Santa Cruz</t>
  </si>
  <si>
    <t>Matina</t>
  </si>
  <si>
    <t>Golfito</t>
  </si>
  <si>
    <t>Dota</t>
  </si>
  <si>
    <t>Nicoya</t>
  </si>
  <si>
    <t>Barva</t>
  </si>
  <si>
    <t>Tilaran</t>
  </si>
  <si>
    <t>Guatuso</t>
  </si>
  <si>
    <t>Abangares</t>
  </si>
  <si>
    <t>Los Chiles</t>
  </si>
  <si>
    <t>Escazú</t>
  </si>
  <si>
    <t>Hojancha</t>
  </si>
  <si>
    <t>Carrillo</t>
  </si>
  <si>
    <t>Jimenez</t>
  </si>
  <si>
    <t>1 Supervisión canchas etapa 1</t>
  </si>
  <si>
    <t>2 Supervisión canchas etapa 2</t>
  </si>
  <si>
    <t>1 Estudios y diseños escuelas etapa 1</t>
  </si>
  <si>
    <t>Estudios topográficos y diseños constructivos</t>
  </si>
  <si>
    <t>2 Estudios y diseños escuelas etapa 2</t>
  </si>
  <si>
    <t>3 Estudios y diseños escuelas etapa 3</t>
  </si>
  <si>
    <t>1 Supervisión colegios etapa 1</t>
  </si>
  <si>
    <t>2 Supervisión colegios etapa 2</t>
  </si>
  <si>
    <t>3 Supervisión colegios etapa 3</t>
  </si>
  <si>
    <t>1 Mobiliario y Equipo colegios etapa 1</t>
  </si>
  <si>
    <t>2 Mobiliario y Equipo colegios etapa 2</t>
  </si>
  <si>
    <t>3 Mobiliario y Equpo colegios etapa 3</t>
  </si>
  <si>
    <t>1 Construcción Colegio Guarari</t>
  </si>
  <si>
    <t>1 Construcción Colegio Mata De Platano</t>
  </si>
  <si>
    <t>1 Construcción Colegio Occidental</t>
  </si>
  <si>
    <t>1 Construcción Colegio Puente De Piedra</t>
  </si>
  <si>
    <t xml:space="preserve">1 Construcción Liceo De Cuajiniquil </t>
  </si>
  <si>
    <t>1 Construcción Liceo Pacto Del Jocote</t>
  </si>
  <si>
    <t>1 Construcción Liceo Rural Banderas</t>
  </si>
  <si>
    <t>1 Construcción Liceo Rural La Gata</t>
  </si>
  <si>
    <t>1 Construcción Liceo Rural Labrador</t>
  </si>
  <si>
    <t>1 Construcción Liceo Rural Londres De Aguirre</t>
  </si>
  <si>
    <t>1 Construcción Liceo Rural Zapatón</t>
  </si>
  <si>
    <t>1 Construcción T.V. Boca Tapada</t>
  </si>
  <si>
    <t>1 Construcción T.V. El Jardín</t>
  </si>
  <si>
    <t>1 Construcción T.V. Las Marías</t>
  </si>
  <si>
    <t>1 Construcción T.V. Mastatal</t>
  </si>
  <si>
    <t>1 Construcción C.T.P. San Rafael</t>
  </si>
  <si>
    <t>2 Construcción Liceo De Cascajal</t>
  </si>
  <si>
    <t>2 Construcción Liceo De Tierra Blanca</t>
  </si>
  <si>
    <t>2 Construcción Liceo De Tobosi El Guarco</t>
  </si>
  <si>
    <t>2 Construcción Liceo Deportivo Grecia</t>
  </si>
  <si>
    <t>2 Construcción Liceo El Paraiso</t>
  </si>
  <si>
    <t>2 Construcción Liceo Felix Mata Valle</t>
  </si>
  <si>
    <t>2 Construcción Liceo Rural Cañon De El Guarco</t>
  </si>
  <si>
    <t>2 Construcción Liceo Rural Cartagena</t>
  </si>
  <si>
    <t>2 Construcción Liceo Rural El Venado</t>
  </si>
  <si>
    <t>2 Construcción Liceo Rural Los Almendros</t>
  </si>
  <si>
    <t>2 Construcción Liceo Rural Paraiso</t>
  </si>
  <si>
    <t>2 Construcción Liceo Rural Santa Rosa</t>
  </si>
  <si>
    <t>2 Construcción T.V. Barra Parismina</t>
  </si>
  <si>
    <t>2 Construcción T.V. De Mexico</t>
  </si>
  <si>
    <t>2 Construcción T.V. La Ceiba</t>
  </si>
  <si>
    <t>2 Construcción T.V. Lanas</t>
  </si>
  <si>
    <t>2 Construcción T.V. Piedras Azules</t>
  </si>
  <si>
    <t>2 Construcción T.V. San Juan</t>
  </si>
  <si>
    <t>2 Construcción T.V.Las Brisas</t>
  </si>
  <si>
    <t>3 Construcción Colegio Juntas De Caoba</t>
  </si>
  <si>
    <t>3 Construcción Colegio Quebrada Ganado</t>
  </si>
  <si>
    <t>3 Construcción Liceo Corredores (Nuevo)</t>
  </si>
  <si>
    <t>3 Construcción Liceo De Puriscal (Nuevo)</t>
  </si>
  <si>
    <t>3 Construcción Liceo De San José Del Río</t>
  </si>
  <si>
    <t>3 Construcción Liceo Guacimal</t>
  </si>
  <si>
    <t>3 Construcción Liceo Los Ángeles</t>
  </si>
  <si>
    <t>3 Construcción Liceo Quebrada Grande</t>
  </si>
  <si>
    <t>3 Construcción Liceo San Antonio Del  Humo</t>
  </si>
  <si>
    <t>3 Construcción Liceo Siquirres</t>
  </si>
  <si>
    <t>3 Construcción Liceo Rural De Tarcoles</t>
  </si>
  <si>
    <t>3 Construcción Liceo Rural Islas Del Chirripo</t>
  </si>
  <si>
    <t>3 Construcción Liceo Rural San Carlos Pacuarito</t>
  </si>
  <si>
    <t>3 Construcción Liceo Rural San Isidro</t>
  </si>
  <si>
    <t>3 Construcción Liceo Rural Yorkin</t>
  </si>
  <si>
    <t>3 Construcción T.V. De Puerto Viejo</t>
  </si>
  <si>
    <t>3 Construcción T.V. El Llano</t>
  </si>
  <si>
    <t>3 Construcción T.V. Ida San Luis</t>
  </si>
  <si>
    <t>3 Construcción T.V. Las Ceibas</t>
  </si>
  <si>
    <t>3 Construcción T.V. Las Colonias</t>
  </si>
  <si>
    <t>3 Construcción T.V. Los Jazmines B.</t>
  </si>
  <si>
    <t>3 Construcción T.V. San Julián</t>
  </si>
  <si>
    <t>3 Construcción T.V. Valle Verde</t>
  </si>
  <si>
    <t>3 Construcción C.T.P. Alajuelita</t>
  </si>
  <si>
    <t>3 Construcción C.T.P. Belen</t>
  </si>
  <si>
    <t>3 Construcción C.T.P. Hatillo</t>
  </si>
  <si>
    <t>3 Construcción C.T.P. La Carpio</t>
  </si>
  <si>
    <t xml:space="preserve">1 Terreno Liceo De Cuajiniquil </t>
  </si>
  <si>
    <t>1 Terreno Liceo Rural Labrador</t>
  </si>
  <si>
    <t>1 Terreno Liceo Rural Londres De Aguirre</t>
  </si>
  <si>
    <t>1 Terreno Liceo Rural Zapatón</t>
  </si>
  <si>
    <t>1 Terreno T.V. Boca Tapada</t>
  </si>
  <si>
    <t>1 Terreno T.V. Mastatal</t>
  </si>
  <si>
    <t>2 Terreno T.V. Piedras Azules</t>
  </si>
  <si>
    <t>2 Terreno T.V. San Juan</t>
  </si>
  <si>
    <t>2 Terreno T.V.Las Brisas</t>
  </si>
  <si>
    <t>2 Terreno T.V. De Mexico</t>
  </si>
  <si>
    <t>2 Terreno T.V. La Ceiba</t>
  </si>
  <si>
    <t>2 Terreno T.V. Lanas</t>
  </si>
  <si>
    <t>2 Terreno Liceo De Cascajal</t>
  </si>
  <si>
    <t>2 Terreno Liceo De Tierra Blanca</t>
  </si>
  <si>
    <t>2 Terreno Liceo Deportivo Grecia</t>
  </si>
  <si>
    <t>2 Terreno Liceo Felix Mata Valle</t>
  </si>
  <si>
    <t>2 Terreno Liceo Rural Cañon De El Guarco</t>
  </si>
  <si>
    <t>2 Terreno Liceo Rural Cartagena</t>
  </si>
  <si>
    <t>2 Terreno Liceo Rural Los Almendros</t>
  </si>
  <si>
    <t>3 Terreno Liceo Corredores (Nuevo)</t>
  </si>
  <si>
    <t>3 Terreno Liceo De Puriscal (Nuevo)</t>
  </si>
  <si>
    <t>3 Terreno Liceo Guacimal</t>
  </si>
  <si>
    <t>3 Terreno Liceo San Antonio Del  Humo</t>
  </si>
  <si>
    <t>3 Terreno Liceo Siquirres</t>
  </si>
  <si>
    <t>3 Terreno Liceo Rural De Tarcoles</t>
  </si>
  <si>
    <t>3 Terreno Liceo Rural Islas Del Chirripo</t>
  </si>
  <si>
    <t>3 Terreno Liceo Rural San Carlos Pacuarito</t>
  </si>
  <si>
    <t>3 Terreno Liceo Rural San Isidro</t>
  </si>
  <si>
    <t>3 Terreno Liceo Rural Yorkin</t>
  </si>
  <si>
    <t>3 T.V. Liceo De Puerto Viejo</t>
  </si>
  <si>
    <t>3 T.V. Liceo El Llano</t>
  </si>
  <si>
    <t>3 T.V. Liceo Ida San Luis</t>
  </si>
  <si>
    <t>3 T.V. Liceo Las Ceibas</t>
  </si>
  <si>
    <t>3 T.V. Liceo Las Colonias</t>
  </si>
  <si>
    <t>3 T.V. Liceo Los Jazmines B.</t>
  </si>
  <si>
    <t>3 T.V. Liceo San Julián</t>
  </si>
  <si>
    <t>3 T.V. Liceo Valle Verde</t>
  </si>
  <si>
    <t>3 C.T.P. Liceo Alajuelita</t>
  </si>
  <si>
    <t>3 C.T.P. Liceo Belen</t>
  </si>
  <si>
    <t>3 C.T.P. Liceo Hatillo</t>
  </si>
  <si>
    <t>3 C.T.P. Liceo La Carpio</t>
  </si>
  <si>
    <t>3 Terreno Colegio Quebrada Ganado</t>
  </si>
  <si>
    <t>1 Estudios y diseños colegios etapa 1</t>
  </si>
  <si>
    <t>2 Estudios y diseños colegios etapa 2</t>
  </si>
  <si>
    <t>3 Estudios y diseños colegios etapa 3</t>
  </si>
  <si>
    <t>Zonaje</t>
  </si>
  <si>
    <t>3 Zonaje colegios etapa 3</t>
  </si>
  <si>
    <t>1 Zonaje colegios etapa 1</t>
  </si>
  <si>
    <t>2 Zonaje colegios etapa 2</t>
  </si>
  <si>
    <t>1 Construcción Canchas C.T.P De Bataán</t>
  </si>
  <si>
    <t>1 Construcción Canchas C.T.P De Puerto Jimenez</t>
  </si>
  <si>
    <t>1 Construcción Canchas C.T.P Jose Daniel Flores</t>
  </si>
  <si>
    <t>1 Construcción Canchas C.T.P Nicoya</t>
  </si>
  <si>
    <t>1 Construcción Canchas C.T.P San Pedro De Barva</t>
  </si>
  <si>
    <t>1 Construcción Canchas C.T.P Tronadora</t>
  </si>
  <si>
    <t>1 Construcción Canchas Colegio De Jimenez</t>
  </si>
  <si>
    <t>1 Construcción Canchas Colegio Katira</t>
  </si>
  <si>
    <t>1 Construcción Canchas Colegio Liverpool</t>
  </si>
  <si>
    <t>1 Construcción Canchas Colegio San Rafael</t>
  </si>
  <si>
    <t>1 Construcción Canchas Colegio Venecia</t>
  </si>
  <si>
    <t>1 Construcción Canchas Liceo De Pavón</t>
  </si>
  <si>
    <t>1 Construcción Canchas Liceo De Purral</t>
  </si>
  <si>
    <t>1 Construcción Canchas Liceo Nuevo De Limón</t>
  </si>
  <si>
    <t>1 Construcción Canchas Liceo Santa Marta</t>
  </si>
  <si>
    <t>1 Construcción Canchas Escuela Pbro Yanuario Quesada</t>
  </si>
  <si>
    <t>2 Construcción Canchas C.T.P. Liberia</t>
  </si>
  <si>
    <t>2 Construcción Canchas C.T.P. Nandayure</t>
  </si>
  <si>
    <t>2 Construcción Canchas C.T.P. Sardinal</t>
  </si>
  <si>
    <t>2 Construcción Canchas C.T.P.Ricardo Castro Beer</t>
  </si>
  <si>
    <t>2 Construcción Canchas C.T.P. De Hojancha</t>
  </si>
  <si>
    <t>2 Construcción Canchas Colegio Tucurrique</t>
  </si>
  <si>
    <t>1 Construcción Canchas C.T.P 27 De Abril</t>
  </si>
  <si>
    <t>1 Construcción Canchas C.T.P Carrizal</t>
  </si>
  <si>
    <t>3 Zonaje escuelas etapa 3</t>
  </si>
  <si>
    <t>1 Zonaje escuelas etapa 1</t>
  </si>
  <si>
    <t>2 Zonaje escuelas etapa 2</t>
  </si>
  <si>
    <t>1 Estudios y diseños canchas etapa 1</t>
  </si>
  <si>
    <t>2 Estudios y diseños canchas etapa 2</t>
  </si>
  <si>
    <t>1 Zonaje canchas etapa 1</t>
  </si>
  <si>
    <t>2 Zonaje canchas etapa 2</t>
  </si>
  <si>
    <t>#</t>
  </si>
  <si>
    <t xml:space="preserve">Código </t>
  </si>
  <si>
    <t xml:space="preserve">Nombre de la Institucion </t>
  </si>
  <si>
    <t xml:space="preserve">Canton </t>
  </si>
  <si>
    <t xml:space="preserve">Distrito </t>
  </si>
  <si>
    <t xml:space="preserve">POBLADO </t>
  </si>
  <si>
    <t>Circuito</t>
  </si>
  <si>
    <t>Direccion Regional</t>
  </si>
  <si>
    <t>Matrícula actual</t>
  </si>
  <si>
    <t>Monto base estimado Infraestructura           (en colones). Precios a Nov. 2010</t>
  </si>
  <si>
    <t>Inflación</t>
  </si>
  <si>
    <t xml:space="preserve">Monto de infraestructura ajustado por  inflación. </t>
  </si>
  <si>
    <t>Honorarios Profesionales (18%)</t>
  </si>
  <si>
    <t xml:space="preserve">Monto de terrenos ajustado por  inflación. </t>
  </si>
  <si>
    <t xml:space="preserve">Monto de equipamiento ajustado por  inflación. </t>
  </si>
  <si>
    <t>Zonaje (8%)</t>
  </si>
  <si>
    <t>Monto estimado de equipamiento (en colones). A nov. 2010</t>
  </si>
  <si>
    <t>Infraestructura a construir</t>
  </si>
  <si>
    <t>Matrícula proyectada</t>
  </si>
  <si>
    <t>Terreno $</t>
  </si>
  <si>
    <t>Equipamiento $</t>
  </si>
  <si>
    <t>Total $</t>
  </si>
  <si>
    <t>Requiere Compra del Terreno.</t>
  </si>
  <si>
    <t>Estado actual de funcionamiento del Centro Educativo.</t>
  </si>
  <si>
    <t>Etapa</t>
  </si>
  <si>
    <t>Nivel</t>
  </si>
  <si>
    <t>4202</t>
  </si>
  <si>
    <t>C.T.P. 27 DE ABRIL</t>
  </si>
  <si>
    <t>GUANACASTE</t>
  </si>
  <si>
    <t>SANTA CRUZ</t>
  </si>
  <si>
    <t>VEINTISIETE DE ABRIL</t>
  </si>
  <si>
    <t>LOS JOBOS</t>
  </si>
  <si>
    <t>Cancha Multiusos</t>
  </si>
  <si>
    <t>NO</t>
  </si>
  <si>
    <t>"</t>
  </si>
  <si>
    <t>APERTURA</t>
  </si>
  <si>
    <t>COLEGIO GUARARI</t>
  </si>
  <si>
    <t>HEREDIA</t>
  </si>
  <si>
    <t>SAN FRANCISCO</t>
  </si>
  <si>
    <t>GUARARI</t>
  </si>
  <si>
    <t>Centro Educativo Completo</t>
  </si>
  <si>
    <t>Actualmente existe un Colegio Nocturno de Guarari que labora en unas aulas prestadas por la Escuela de Guarari. Requiere la constriucción de nuevas instalaciones.</t>
  </si>
  <si>
    <t>COLEGIO MATA DE PLATANO</t>
  </si>
  <si>
    <t>SAN JOSE</t>
  </si>
  <si>
    <t>GOICOECHEA</t>
  </si>
  <si>
    <t>MATA DE PLATANO</t>
  </si>
  <si>
    <t>EL CARMEN</t>
  </si>
  <si>
    <t>SAN JOSÉ</t>
  </si>
  <si>
    <t>Labora en un edificio prestado en mal estado, ya que no cuenta con planta fisica propia. Las condiciones en que labora no son las adecuadas.</t>
  </si>
  <si>
    <t>C.T.P. CARRIZAL</t>
  </si>
  <si>
    <t>ALAJUELA</t>
  </si>
  <si>
    <t>CARRIZAL</t>
  </si>
  <si>
    <t>QUIZARRASES</t>
  </si>
  <si>
    <t>Se deben construir canchas multiuso con el propositivo de promover el ejercicio y el esparcimiento en los centros educativos. Estos centros educativos cumplen con la condición de contar con  un área suficiente para la construcción de dicha infraestructura, a su ves estos terrenos tienen la posibilidad de acceso directo a la calle pública.</t>
  </si>
  <si>
    <t>C.T.P. DE BATAÁN</t>
  </si>
  <si>
    <t>LIMON</t>
  </si>
  <si>
    <t>MATINA</t>
  </si>
  <si>
    <t>BATAN</t>
  </si>
  <si>
    <t>BATAÁN</t>
  </si>
  <si>
    <t>LIMÓN</t>
  </si>
  <si>
    <t>4220</t>
  </si>
  <si>
    <t>C.T.P. DE PUERTO JIMENEZ</t>
  </si>
  <si>
    <t>PUNTARENAS</t>
  </si>
  <si>
    <t>GOLFITO</t>
  </si>
  <si>
    <t>PUERTO JIMENEZ</t>
  </si>
  <si>
    <t>COTO</t>
  </si>
  <si>
    <t>4186</t>
  </si>
  <si>
    <t>C.T.P. JOSE DANIEL FLORES</t>
  </si>
  <si>
    <t>DOTA</t>
  </si>
  <si>
    <t>SANTA MARIA</t>
  </si>
  <si>
    <t>SANTOS</t>
  </si>
  <si>
    <t>6137</t>
  </si>
  <si>
    <t>COLEGIO OCCIDENTAL</t>
  </si>
  <si>
    <t>CARTAGO</t>
  </si>
  <si>
    <t>OCCIDENTAL</t>
  </si>
  <si>
    <t>ANTIGUAS INST. CUC</t>
  </si>
  <si>
    <t>MEP  alquila locales</t>
  </si>
  <si>
    <t>C.T.P. NICOYA</t>
  </si>
  <si>
    <t>NICOYA</t>
  </si>
  <si>
    <t>EL INVU</t>
  </si>
  <si>
    <t>6133</t>
  </si>
  <si>
    <t>COLEGIO PUENTE DE PIEDRA</t>
  </si>
  <si>
    <t>GRECIA</t>
  </si>
  <si>
    <t>PUENTE PIEDRA</t>
  </si>
  <si>
    <t>RINCON DE SALAS</t>
  </si>
  <si>
    <t>Labora en un Gimnasio prestado ya que no cuenta con planta fisica propia. Las condiciones en que labora no son las adecuadas.</t>
  </si>
  <si>
    <t>C.T.P. SAN PEDRO DE BARVA</t>
  </si>
  <si>
    <t>BARVA</t>
  </si>
  <si>
    <t>SAN PEDRO</t>
  </si>
  <si>
    <t>SI (Terreno en proceso de compra)</t>
  </si>
  <si>
    <t>6034</t>
  </si>
  <si>
    <t>C.T.P. TRONADORA</t>
  </si>
  <si>
    <t>TILARAN</t>
  </si>
  <si>
    <t>TRONADORA</t>
  </si>
  <si>
    <t>CAÑAS</t>
  </si>
  <si>
    <t>SI (Terreno a nombre la municipalidad de Tilaran).</t>
  </si>
  <si>
    <t>COLEGIO DE JIMENEZ</t>
  </si>
  <si>
    <t>POCOCÍ</t>
  </si>
  <si>
    <t>JIMENEZ</t>
  </si>
  <si>
    <t>GUÁPILES</t>
  </si>
  <si>
    <t>4149</t>
  </si>
  <si>
    <t>COLEGIO KATIRA</t>
  </si>
  <si>
    <t>GUATUSO</t>
  </si>
  <si>
    <t>BUENAVISTA</t>
  </si>
  <si>
    <t>KATIRA</t>
  </si>
  <si>
    <t>UPALA</t>
  </si>
  <si>
    <t xml:space="preserve">LICEO DE CUAJINIQUIL </t>
  </si>
  <si>
    <t>LA CRUZ</t>
  </si>
  <si>
    <t>SANTA ELENA</t>
  </si>
  <si>
    <t>CUAJINIQUIL</t>
  </si>
  <si>
    <t>LIBERIA</t>
  </si>
  <si>
    <t>SI</t>
  </si>
  <si>
    <t>Labora en un salón comunal ya que no cuenta con planta fisica propia. Las condiciones en que labora no son las adecuadas.</t>
  </si>
  <si>
    <t>COLEGIO LIVERPOOL</t>
  </si>
  <si>
    <t>RIO BLANCO</t>
  </si>
  <si>
    <t>LIVERPOOL</t>
  </si>
  <si>
    <t>COLEGIO SAN RAFAEL</t>
  </si>
  <si>
    <t>ABANGARES</t>
  </si>
  <si>
    <t>SIERRA</t>
  </si>
  <si>
    <t>SAN RAFAEL</t>
  </si>
  <si>
    <t>5567</t>
  </si>
  <si>
    <t>COLEGIO VENECIA</t>
  </si>
  <si>
    <t>CARRANDI</t>
  </si>
  <si>
    <t>VENECIA</t>
  </si>
  <si>
    <t>CENTRO. DE ENS. ESP. DE SANTA ANA</t>
  </si>
  <si>
    <t>SANTA ANA</t>
  </si>
  <si>
    <t>POZOS</t>
  </si>
  <si>
    <t>LINDORA</t>
  </si>
  <si>
    <t>Labora en parte de las instalaciones del Centro de Rehabilitación de Santa Ana, sin embargo, es necesario devolver las instalaciones que se utilizan.</t>
  </si>
  <si>
    <t>ESCUELA  SAN ISIDRO</t>
  </si>
  <si>
    <t>LEON CORTES</t>
  </si>
  <si>
    <t>SAN ISIDRO</t>
  </si>
  <si>
    <t>LOS SANTOS</t>
  </si>
  <si>
    <t>El centro educativo se encuentra contiguo a un corte, el cual presenta problemas de inestabilidad. Es necesario reubicarlo en forma urgente</t>
  </si>
  <si>
    <t>LICEO DE PAVÓN</t>
  </si>
  <si>
    <t>LOS CHILES</t>
  </si>
  <si>
    <t>EL AMPARO</t>
  </si>
  <si>
    <t>PAVON</t>
  </si>
  <si>
    <t>SAN CARLOS</t>
  </si>
  <si>
    <t>5998</t>
  </si>
  <si>
    <t>LICEO PACTO DEL JOCOTE</t>
  </si>
  <si>
    <t>PACTO DEL JOCOTE</t>
  </si>
  <si>
    <t>5975</t>
  </si>
  <si>
    <t>LICEO RURAL BANDERAS</t>
  </si>
  <si>
    <t>POCOSOL</t>
  </si>
  <si>
    <t>BANDERAS DE POCOSOL</t>
  </si>
  <si>
    <t>Trabajan en el salon comunal</t>
  </si>
  <si>
    <t>LICEO DE PURRAL</t>
  </si>
  <si>
    <t>PURRAL</t>
  </si>
  <si>
    <t>BELLA VISTA</t>
  </si>
  <si>
    <t>SAN JOSÉ NORTE</t>
  </si>
  <si>
    <t>LICEO NUEVO DE LIMÓN</t>
  </si>
  <si>
    <t>LA COLINA</t>
  </si>
  <si>
    <t>5858</t>
  </si>
  <si>
    <t>LICEO RURAL LA GATA</t>
  </si>
  <si>
    <t>SARAPIQUI</t>
  </si>
  <si>
    <t>PUERTO VIEJO</t>
  </si>
  <si>
    <t>LA GATA</t>
  </si>
  <si>
    <t>5984</t>
  </si>
  <si>
    <t>LICEO RURAL LABRADOR</t>
  </si>
  <si>
    <t>SAN MATEO</t>
  </si>
  <si>
    <t>JESUS MARIA</t>
  </si>
  <si>
    <t>LABRADOR</t>
  </si>
  <si>
    <t>Labora en un salón comunal ya que no cuenta con planta fisica propia. Las condiciones en que labora no son las adecuadas</t>
  </si>
  <si>
    <t>5871</t>
  </si>
  <si>
    <t>LICEO RURAL LONDRES DE AGUIRRE</t>
  </si>
  <si>
    <t>AGUIRRE</t>
  </si>
  <si>
    <t>NARANJITO</t>
  </si>
  <si>
    <t>LONDRES CENTRO</t>
  </si>
  <si>
    <t>Labora en un edificio prestado en pesimo estado, ya que no cuenta con planta fisica propia. Las condiciones en que labora no son las adecuadas.</t>
  </si>
  <si>
    <t>LICEO RURAL ZAPATÓN</t>
  </si>
  <si>
    <t>PURISCAL</t>
  </si>
  <si>
    <t>CHIRES</t>
  </si>
  <si>
    <t>ZAPATON</t>
  </si>
  <si>
    <t>LICEO SANTA MARTA</t>
  </si>
  <si>
    <t>BUENOS AIRES</t>
  </si>
  <si>
    <t>BRUNKA</t>
  </si>
  <si>
    <t>SANTA MARTA</t>
  </si>
  <si>
    <t>GRANDE DE TERRABA</t>
  </si>
  <si>
    <t>ESCUELA PBRO YANUARIO QUESADA</t>
  </si>
  <si>
    <t>ESCAZÚ</t>
  </si>
  <si>
    <t>C.T.P. DE HOJANCHA</t>
  </si>
  <si>
    <t>HOJANCHA</t>
  </si>
  <si>
    <t>LA LIBERTAD</t>
  </si>
  <si>
    <t>2139</t>
  </si>
  <si>
    <t>ESCUELA LA GRAN SAMARIA</t>
  </si>
  <si>
    <t>GRAN SAMARIA</t>
  </si>
  <si>
    <t>Urge la construcción de un nuevo servicio educativo ya que el existente se encuentra saturado y en muy mal estado.</t>
  </si>
  <si>
    <t>ESCUELA LABORATORIO TURRIALBA</t>
  </si>
  <si>
    <t>TURRIALBA</t>
  </si>
  <si>
    <t>LA HACIENDITA</t>
  </si>
  <si>
    <t>Labora en aulas prestadas por la Sede del Atlantico de la UCR.</t>
  </si>
  <si>
    <t>ESCUELA LAS NUBES</t>
  </si>
  <si>
    <t>CORONADO</t>
  </si>
  <si>
    <t>LAS NUBES</t>
  </si>
  <si>
    <t>Requiere su reubicación por ubicarse en un terreno con alta vulnerabilidad mismo que tiene problemas de inestabilidad, ademas la infraestructura ya se encuentra saturada.</t>
  </si>
  <si>
    <t>ESCUELA NUEVO AMANECER</t>
  </si>
  <si>
    <t>GUACIMO</t>
  </si>
  <si>
    <t>POCORA</t>
  </si>
  <si>
    <t>POCORA SUR</t>
  </si>
  <si>
    <t>GUAPILES</t>
  </si>
  <si>
    <t>El centro educativo se ubica en un sitio que anteriormente era un relleno, por lo tanto presenta problemas serios de carácter estructural. Requiere ser reubicado en forma inmediata.</t>
  </si>
  <si>
    <t xml:space="preserve">CENTRO DE ENS. ESP. GUAPILES </t>
  </si>
  <si>
    <t>EL COLEGIO</t>
  </si>
  <si>
    <t>NO (Se ubica en un terreno que esta  a nombre de la asociación de desarrollo</t>
  </si>
  <si>
    <t>Requiere su reubicación (reconstrucción) debido a que la infraestructura existente no cumple con las caracteristicas minimas para un centro educativo de esta naturaleza, además la infraestructura en donde se ubican se encuentra en mal estado y es insuficiente.</t>
  </si>
  <si>
    <t>ESCUELA CONVENTILLOS</t>
  </si>
  <si>
    <t>EL GUARCO</t>
  </si>
  <si>
    <t>CONVENTILLOS</t>
  </si>
  <si>
    <t>Labora en unas instalaciones arrendadas ya que no cuenta con planta fisica propia. Las condiciones en que labora no son las adecuadas</t>
  </si>
  <si>
    <t>0443</t>
  </si>
  <si>
    <t>ESCUELA FINCA LA CAJA</t>
  </si>
  <si>
    <t>URUCA</t>
  </si>
  <si>
    <t>ESCUELA GRANADILLA NORTE</t>
  </si>
  <si>
    <t>CURRIDABAT</t>
  </si>
  <si>
    <t>GRANADILLA</t>
  </si>
  <si>
    <t>GRANADILLA NORTE</t>
  </si>
  <si>
    <t>Urge la construcción de un nuevo servicio educativo en este lugar debido a que el existente se encuentra saturado y en  mal estado.</t>
  </si>
  <si>
    <t>2321</t>
  </si>
  <si>
    <t>ESCUELA SANTA CECILIA</t>
  </si>
  <si>
    <t>SANTA CECILIA</t>
  </si>
  <si>
    <t>Urge la construcción de un nuevo servicio educativo en este lugar debido a que el existente se encuentra saturado.</t>
  </si>
  <si>
    <t>5870</t>
  </si>
  <si>
    <t>UN.PED.SOTERO GONZALEZ B.</t>
  </si>
  <si>
    <t>DESAMPARADOS</t>
  </si>
  <si>
    <t>SAN JUAN DE DIOS</t>
  </si>
  <si>
    <t>Labora en una sección de la escuela de a comunidad, ya que no cuenta con planta fisica propia. Las condiciones en que labora no son las adecuadas.</t>
  </si>
  <si>
    <t>1942</t>
  </si>
  <si>
    <t>ESCUELA AZUL</t>
  </si>
  <si>
    <t>LA ISABEL</t>
  </si>
  <si>
    <t>AZUL</t>
  </si>
  <si>
    <t xml:space="preserve">NO </t>
  </si>
  <si>
    <t>Requiere su reubicación por ubicarse en un terreno de alta vulnerabilidad ya que el oleoducto de RECOPE atraviesa el terreno en donde se emplaza su planta fisica.</t>
  </si>
  <si>
    <t>1879</t>
  </si>
  <si>
    <t>ESCUELA EMILIO ROBERT BROUCA</t>
  </si>
  <si>
    <t>OREAMUNO</t>
  </si>
  <si>
    <t>POTRERO CERRADO</t>
  </si>
  <si>
    <t>SAN JUAN DE CHICUÁ</t>
  </si>
  <si>
    <t>Requiere su reubicación por ubicarse en un terreno con alta vulnerabilidad mismo que tiene serios problemas de estabilidad</t>
  </si>
  <si>
    <t>C.T.P. LIBERIA</t>
  </si>
  <si>
    <t>BARRIO EL CAPULIN</t>
  </si>
  <si>
    <t>ESCUELA FINCA SEIS-ONCE</t>
  </si>
  <si>
    <t>OSA</t>
  </si>
  <si>
    <t>PALMAR</t>
  </si>
  <si>
    <t>FINCA SEIS-ONCE</t>
  </si>
  <si>
    <r>
      <t xml:space="preserve">22 </t>
    </r>
    <r>
      <rPr>
        <sz val="8"/>
        <color theme="1"/>
        <rFont val="Calibri"/>
        <family val="2"/>
        <scheme val="minor"/>
      </rPr>
      <t>(126)</t>
    </r>
  </si>
  <si>
    <t>Escuela esta en muy mal estado, se debe hacer  la construcción totalmente nueva.</t>
  </si>
  <si>
    <t>0870</t>
  </si>
  <si>
    <t>ESCUELA LA HERMOSA</t>
  </si>
  <si>
    <t>PEREZ ZELEDON</t>
  </si>
  <si>
    <t>GENERAL</t>
  </si>
  <si>
    <t>LA HERMOSA</t>
  </si>
  <si>
    <t>Este centro educativo se ubica contigo al río General, presenta un alto grado de vulnerabilidad</t>
  </si>
  <si>
    <t>5293</t>
  </si>
  <si>
    <t>T.V. BOCA TAPADA</t>
  </si>
  <si>
    <t>PITAL</t>
  </si>
  <si>
    <t>BOCA TAPADA</t>
  </si>
  <si>
    <t>5129</t>
  </si>
  <si>
    <t>T.V. EL JARDÍN</t>
  </si>
  <si>
    <t>PARAMO</t>
  </si>
  <si>
    <t>VILLA MILLS</t>
  </si>
  <si>
    <t xml:space="preserve">PEREZ ZELEDON </t>
  </si>
  <si>
    <t>T.V. LAS MARÍAS</t>
  </si>
  <si>
    <t>HEREDÍA</t>
  </si>
  <si>
    <t>SARAPIQUÍ</t>
  </si>
  <si>
    <t>LAS MARÍAS</t>
  </si>
  <si>
    <t>Labora en un Gimnasio prestado ya que no cuenta con planta fisica propia.</t>
  </si>
  <si>
    <t>C.T.P. NANDAYURE</t>
  </si>
  <si>
    <t>NANDAYURE</t>
  </si>
  <si>
    <t>CARMONA</t>
  </si>
  <si>
    <t>5582</t>
  </si>
  <si>
    <t>T.V. MASTATAL</t>
  </si>
  <si>
    <t>MASTATAL</t>
  </si>
  <si>
    <t>4206</t>
  </si>
  <si>
    <t>C.T.P. SARDINAL</t>
  </si>
  <si>
    <t>CARRILLO</t>
  </si>
  <si>
    <t>SARDINAL</t>
  </si>
  <si>
    <t>C.T.P. SAN RAFAEL</t>
  </si>
  <si>
    <r>
      <t xml:space="preserve">1000 </t>
    </r>
    <r>
      <rPr>
        <sz val="8"/>
        <color theme="1"/>
        <rFont val="Calibri"/>
        <family val="2"/>
        <scheme val="minor"/>
      </rPr>
      <t>(1300)</t>
    </r>
  </si>
  <si>
    <t>Urge la construcción de un nuevo servicio educativo en este lugar debido a que el existente, y que es un liceo académico se encuentra saturado.</t>
  </si>
  <si>
    <t>LICEO DE CASCAJAL</t>
  </si>
  <si>
    <t>CASCAJAL</t>
  </si>
  <si>
    <t>Labora en edificios prestados por la Escuela Pio XII ya que no cuenta con planta fisica propia. Las condiciones en que labora no son las adecuadas.</t>
  </si>
  <si>
    <t>LICEO DE TIERRA BLANCA</t>
  </si>
  <si>
    <t>TIERRA BLANCA</t>
  </si>
  <si>
    <t>Labora en un salón parroquial ya que no cuenta con planta fisica propia. Las condiciones en que labora no son las adecuadas.</t>
  </si>
  <si>
    <t>LICEO DE TOBOSI EL GUARCO</t>
  </si>
  <si>
    <t>TOBOSI</t>
  </si>
  <si>
    <t>Labora en un salón parroquial ya que no cuenta con planta fisica propia. Las condiciones en que labora no son las adecuadas. Se paga alquiler</t>
  </si>
  <si>
    <t>6020</t>
  </si>
  <si>
    <t>LICEO DEPORTIVO GRECIA</t>
  </si>
  <si>
    <t>SAN ROQUE</t>
  </si>
  <si>
    <t>Labora en unas aulas provisionales que se construyeron en un terreno municipal en prestamo mientras se compra el terreno definitivo.</t>
  </si>
  <si>
    <t>LICEO EL PARAISO</t>
  </si>
  <si>
    <t>LA VIRGEN</t>
  </si>
  <si>
    <t>EL PARAISO</t>
  </si>
  <si>
    <t>Construyeron infraestructura sin permiso del DIEE, dado que el terreno esta en riesgo juridico, se require que con el fidecomiso se compre un nuevo terreno</t>
  </si>
  <si>
    <t>LICEO FELIX MATA VALLE</t>
  </si>
  <si>
    <t>CORRALILLO</t>
  </si>
  <si>
    <t>LLANO DE ANGELES</t>
  </si>
  <si>
    <t>5968</t>
  </si>
  <si>
    <t>LICEO RURAL CAÑON DE EL GUARCO</t>
  </si>
  <si>
    <t>CAÑON GUARCO</t>
  </si>
  <si>
    <t>Labora en aulas prestadas por la Asociación de Desarrollo</t>
  </si>
  <si>
    <t>C.T.P.RICARDO CASTRO BEER</t>
  </si>
  <si>
    <t>OROTINA</t>
  </si>
  <si>
    <t>KILOMETRO</t>
  </si>
  <si>
    <t>5659</t>
  </si>
  <si>
    <t>LICEO RURAL CARTAGENA</t>
  </si>
  <si>
    <t>RIO JIMENEZ</t>
  </si>
  <si>
    <t>CARTAGENA</t>
  </si>
  <si>
    <t>Labora en un salón de la escuela que se encuentra en pesimo estado, ya que no cuenta con planta fisica propia. Las condiciones en que labora no son las adecuadas.</t>
  </si>
  <si>
    <t>5854</t>
  </si>
  <si>
    <t>LICEO RURAL EL VENADO</t>
  </si>
  <si>
    <t>VENADO</t>
  </si>
  <si>
    <t>EL VENADO</t>
  </si>
  <si>
    <t>Labora en Salon comunal</t>
  </si>
  <si>
    <t>6267</t>
  </si>
  <si>
    <t>LICEO RURAL LOS ALMENDROS</t>
  </si>
  <si>
    <t>CUTRIS</t>
  </si>
  <si>
    <t>ALMENDROS</t>
  </si>
  <si>
    <t>5981</t>
  </si>
  <si>
    <t>LICEO RURAL PARAISO</t>
  </si>
  <si>
    <t>CHANGUENA</t>
  </si>
  <si>
    <t>PARAISO</t>
  </si>
  <si>
    <t>Labora en edificio prestado en mal estado ya que no cuenta con planta fisica propia.</t>
  </si>
  <si>
    <t>5969</t>
  </si>
  <si>
    <t>LICEO RURAL SANTA ROSA</t>
  </si>
  <si>
    <t>SANTA ROSA</t>
  </si>
  <si>
    <t>5170</t>
  </si>
  <si>
    <t>T.V. BARRA PARISMINA</t>
  </si>
  <si>
    <t>SIQUIRRES</t>
  </si>
  <si>
    <t>PARíSMINA</t>
  </si>
  <si>
    <t>5669</t>
  </si>
  <si>
    <t>T.V. DE MEXICO</t>
  </si>
  <si>
    <t>DELICIAS</t>
  </si>
  <si>
    <t>MEXICO</t>
  </si>
  <si>
    <t>5839</t>
  </si>
  <si>
    <t>T.V. LA CEIBA</t>
  </si>
  <si>
    <t>CEIBA</t>
  </si>
  <si>
    <t>LA CEIBA</t>
  </si>
  <si>
    <t>Labora en 2 aulas prestadas</t>
  </si>
  <si>
    <t>T.V. LANAS</t>
  </si>
  <si>
    <t>MERCEDES SUR</t>
  </si>
  <si>
    <t>LANAS</t>
  </si>
  <si>
    <t>El centro educativo labora en un local prestado en mal estado. Las condiciones en que labora no son las adecuadas.</t>
  </si>
  <si>
    <t>5674</t>
  </si>
  <si>
    <t>T.V. PIEDRAS AZULES</t>
  </si>
  <si>
    <t>PIEDRAS AZULES</t>
  </si>
  <si>
    <t>Labora en un salón propiedad de la escuela ya que no cuenta con planta fisica propia. Las condiciones en que labora no son las adecuadas.</t>
  </si>
  <si>
    <t>5976</t>
  </si>
  <si>
    <t>T.V. SAN JUAN</t>
  </si>
  <si>
    <t>SAN RAMON</t>
  </si>
  <si>
    <t>PEÑAS BLANCAS</t>
  </si>
  <si>
    <t>SAN JUAN PEÑAS BLANC</t>
  </si>
  <si>
    <t>Labora en tres aulas prestadas por la escuela</t>
  </si>
  <si>
    <t>5588</t>
  </si>
  <si>
    <t>T.V.LAS BRISAS</t>
  </si>
  <si>
    <t>BRISAS DE LA GARITA</t>
  </si>
  <si>
    <t>Labora en un galerón de madera prestado ya que no cuenta con planta fisica propia. Las condiciones en que labora no son las adecuadas.</t>
  </si>
  <si>
    <t>5590</t>
  </si>
  <si>
    <t>COLEGIO JUNTAS DE CAOBA</t>
  </si>
  <si>
    <t>JUNTAS DEL CAOBA</t>
  </si>
  <si>
    <t>COLEGIO QUEBRADA GANADO</t>
  </si>
  <si>
    <t>GARABITO</t>
  </si>
  <si>
    <t>TARCOLES</t>
  </si>
  <si>
    <t>QUEBRADA GANADO</t>
  </si>
  <si>
    <r>
      <t xml:space="preserve">201 </t>
    </r>
    <r>
      <rPr>
        <sz val="8"/>
        <color theme="1"/>
        <rFont val="Calibri"/>
        <family val="2"/>
        <scheme val="minor"/>
      </rPr>
      <t>(183)</t>
    </r>
  </si>
  <si>
    <t>Labora en aulas comunales y en la plaza de toros ya que no cuenta con planta fisica propia. Las condiciones en que labora no son las adecuadas.</t>
  </si>
  <si>
    <t>LICEO CORREDORES (NUEVO)</t>
  </si>
  <si>
    <t>CORREDORES</t>
  </si>
  <si>
    <t>(POR DEFINIR)</t>
  </si>
  <si>
    <t>_</t>
  </si>
  <si>
    <t>LICEO DE PURISCAL (NUEVO)</t>
  </si>
  <si>
    <t>SANTIAGO</t>
  </si>
  <si>
    <t>LICEO DE SAN JOSÉ DEL RÍO</t>
  </si>
  <si>
    <t>SAN JOSE DE RIO</t>
  </si>
  <si>
    <t>SI (Terreno en disputa en un juzgado agrario, no se puede establecer como será el voto del jusgado si a favor o en contra del Liceo)</t>
  </si>
  <si>
    <t>LICEO GUACIMAL</t>
  </si>
  <si>
    <t>GUACIMAL</t>
  </si>
  <si>
    <t>Labora en un salón comunal ya que no cuenta con planta fisica propia. Eventualmente utiliza instaalciones dela escuela del lugarLas condiciones en que labora no son las adecuadas.</t>
  </si>
  <si>
    <t>LICEO LOS ÁNGELES</t>
  </si>
  <si>
    <t>PORVENIR</t>
  </si>
  <si>
    <t>LOS ANGELES</t>
  </si>
  <si>
    <t>4071</t>
  </si>
  <si>
    <t>COLEGIO TUCURRIQUE</t>
  </si>
  <si>
    <t>TUCURRIQUE</t>
  </si>
  <si>
    <t>6222</t>
  </si>
  <si>
    <t>LICEO QUEBRADA GRANDE</t>
  </si>
  <si>
    <t>QUEBRADA GRANDE</t>
  </si>
  <si>
    <t>LICEO SAN ANTONIO DEL  HUMO</t>
  </si>
  <si>
    <t>ROXANA</t>
  </si>
  <si>
    <t>SAN ANTONIO</t>
  </si>
  <si>
    <r>
      <t xml:space="preserve">203 </t>
    </r>
    <r>
      <rPr>
        <sz val="8"/>
        <color theme="1"/>
        <rFont val="Calibri"/>
        <family val="2"/>
        <scheme val="minor"/>
      </rPr>
      <t>(289)</t>
    </r>
  </si>
  <si>
    <t>Trabaja en aulas de la asociaición de desarrollo</t>
  </si>
  <si>
    <t>LICEO SIQUIRRES</t>
  </si>
  <si>
    <t>5709</t>
  </si>
  <si>
    <t>LICEO RURAL DE TARCOLES</t>
  </si>
  <si>
    <t xml:space="preserve">SI </t>
  </si>
  <si>
    <t>5970</t>
  </si>
  <si>
    <t>LICEO RURAL ISLAS DEL CHIRRIPO</t>
  </si>
  <si>
    <t>HORQUETAS</t>
  </si>
  <si>
    <t>FINCA 10 RIO FRIO</t>
  </si>
  <si>
    <t>Labora en Salón prestado en mal estado ya que no cuenta con planta fisica propia.</t>
  </si>
  <si>
    <t>5972</t>
  </si>
  <si>
    <t>LICEO RURAL SAN CARLOS PACUARITO</t>
  </si>
  <si>
    <t>PACUARITO</t>
  </si>
  <si>
    <t>Labora en un salón comunal en pesimo estado, ya que no cuenta con planta fisica propia. Las condiciones en que labora no son las adecuadas.</t>
  </si>
  <si>
    <t>LICEO RURAL SAN ISIDRO</t>
  </si>
  <si>
    <t>LEÓN CORTES</t>
  </si>
  <si>
    <t>SAN ISIDRO CENTRO</t>
  </si>
  <si>
    <r>
      <t xml:space="preserve">107 </t>
    </r>
    <r>
      <rPr>
        <sz val="8"/>
        <color theme="1"/>
        <rFont val="Calibri"/>
        <family val="2"/>
        <scheme val="minor"/>
      </rPr>
      <t>(102)</t>
    </r>
  </si>
  <si>
    <t>6045</t>
  </si>
  <si>
    <t>LICEO RURAL YORKIN</t>
  </si>
  <si>
    <t>TALAMANCA</t>
  </si>
  <si>
    <t>TELIRE</t>
  </si>
  <si>
    <t>YORKIN</t>
  </si>
  <si>
    <t>Labora en edificos de madera que requieren su reconstrucción total.</t>
  </si>
  <si>
    <t>5662</t>
  </si>
  <si>
    <t>T.V. DE PUERTO VIEJO</t>
  </si>
  <si>
    <t>BRATSI</t>
  </si>
  <si>
    <t>SI (Terreno en ZMT, no se puede otorgar concesión, únicamente permiso de uso).</t>
  </si>
  <si>
    <t>6044</t>
  </si>
  <si>
    <t>T.V. EL LLANO</t>
  </si>
  <si>
    <t>TURRUBARES</t>
  </si>
  <si>
    <t>SAN JUAN DE MATA</t>
  </si>
  <si>
    <t>EL LLANO</t>
  </si>
  <si>
    <t>Labora en edificios prestados ya que no cuenta con planta fisica propia.</t>
  </si>
  <si>
    <t>5673</t>
  </si>
  <si>
    <t>T.V. IDA SAN LUIS</t>
  </si>
  <si>
    <t>DOS RIOS</t>
  </si>
  <si>
    <t>SAN LUIS DE DOS RIOS</t>
  </si>
  <si>
    <t>Labora en aulas prestadas por asociación de desarrollo</t>
  </si>
  <si>
    <t>5121</t>
  </si>
  <si>
    <t>T.V. LAS CEIBAS</t>
  </si>
  <si>
    <t>ACOSTA</t>
  </si>
  <si>
    <t>CANGREGAL</t>
  </si>
  <si>
    <t>EL LLANO DE LA MESA</t>
  </si>
  <si>
    <t>5734</t>
  </si>
  <si>
    <t>T.V. LAS COLONIAS</t>
  </si>
  <si>
    <t>COLONIA LA ESPERANZA</t>
  </si>
  <si>
    <t>5596</t>
  </si>
  <si>
    <t>T.V. LOS JAZMINES B.</t>
  </si>
  <si>
    <t>LOS JAZMINES B.</t>
  </si>
  <si>
    <t>Labora en aulas provicionales en mal estado.</t>
  </si>
  <si>
    <t>5587</t>
  </si>
  <si>
    <t>T.V. SAN JULIÁN</t>
  </si>
  <si>
    <t>SAN JULIÁN</t>
  </si>
  <si>
    <t>5672</t>
  </si>
  <si>
    <t>T.V. VALLE VERDE</t>
  </si>
  <si>
    <t>AGUAS CLARAS</t>
  </si>
  <si>
    <t>COLONIA BLANCA</t>
  </si>
  <si>
    <t>C.T.P. ALAJUELITA</t>
  </si>
  <si>
    <t>ALAJUELITA</t>
  </si>
  <si>
    <t>Urge la construcción de un nuevo servicio educativo en esta modalidad que fortalezca la educación técnica de la zona y que por ende satisfaga las necesidades de mano de obra calificada del lugar.</t>
  </si>
  <si>
    <t>C.T.P. BELEN</t>
  </si>
  <si>
    <t>BELEN</t>
  </si>
  <si>
    <t>C.T.P. HATILLO</t>
  </si>
  <si>
    <t>C.T.P. LA CARPIO</t>
  </si>
  <si>
    <t>IEGB COLONIA DEL VALLE</t>
  </si>
  <si>
    <t>BEJUCO</t>
  </si>
  <si>
    <t>COLONIA DEL VALLE</t>
  </si>
  <si>
    <t>1 Construcción Escuela San Isidro</t>
  </si>
  <si>
    <t>1 Administración (agencia de contrataciones)</t>
  </si>
  <si>
    <t>2 Administración (agencia de contrataciones)</t>
  </si>
  <si>
    <t>3 Administración (agencia de contrataciones)</t>
  </si>
  <si>
    <t>Administración y monitoreo</t>
  </si>
  <si>
    <t>AÑO 2016</t>
  </si>
  <si>
    <t>Ex-post</t>
  </si>
  <si>
    <t>SBCC</t>
  </si>
  <si>
    <t>Costos Financieros, auditoría e imprevistos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</si>
  <si>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</si>
  <si>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</si>
  <si>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</si>
  <si>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</si>
  <si>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</si>
  <si>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</si>
  <si>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</si>
  <si>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</si>
  <si>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</si>
  <si>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</si>
  <si>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</si>
  <si>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</si>
  <si>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</si>
  <si>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</si>
  <si>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</si>
  <si>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</si>
  <si>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</si>
  <si>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</si>
  <si>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</si>
  <si>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</si>
  <si>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</si>
  <si>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</si>
  <si>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</si>
  <si>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</si>
  <si>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</si>
  <si>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</si>
  <si>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</si>
  <si>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</si>
  <si>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</si>
  <si>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</si>
  <si>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</si>
  <si>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</si>
  <si>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</si>
  <si>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</si>
  <si>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</si>
  <si>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</si>
  <si>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</si>
  <si>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</si>
  <si>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</si>
  <si>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</si>
  <si>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</si>
  <si>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</si>
  <si>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</si>
  <si>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</si>
  <si>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</si>
  <si>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</si>
  <si>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</si>
  <si>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</si>
  <si>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</si>
  <si>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</si>
  <si>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</si>
  <si>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</si>
  <si>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</si>
  <si>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</si>
  <si>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</si>
  <si>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</si>
  <si>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</si>
  <si>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</si>
  <si>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</si>
  <si>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</si>
  <si>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</si>
  <si>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</si>
  <si>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</si>
  <si>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</si>
  <si>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</si>
  <si>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</si>
  <si>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</si>
  <si>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</si>
  <si>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</si>
  <si>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</si>
  <si>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</si>
  <si>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</si>
  <si>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</si>
  <si>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</si>
  <si>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</si>
  <si>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</si>
  <si>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</si>
  <si>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</si>
  <si>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</si>
  <si>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</si>
  <si>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</si>
  <si>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</si>
  <si>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</si>
  <si>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</si>
  <si>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</si>
  <si>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</si>
  <si>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</si>
  <si>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</si>
  <si>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</si>
  <si>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</si>
  <si>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</si>
  <si>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</si>
  <si>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</si>
  <si>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</si>
  <si>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</si>
  <si>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</si>
  <si>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</si>
  <si>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</si>
  <si>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</si>
  <si>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</si>
  <si>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</si>
  <si>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</si>
  <si>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</si>
  <si>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</si>
  <si>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</si>
  <si>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</si>
  <si>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</si>
  <si>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</si>
  <si>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</si>
  <si>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</si>
  <si>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</si>
  <si>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</si>
  <si>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</si>
  <si>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</si>
  <si>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</si>
  <si>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</si>
  <si>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</si>
  <si>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</si>
  <si>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</si>
  <si>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</si>
  <si>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</si>
  <si>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</si>
  <si>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</si>
  <si>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</si>
  <si>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</si>
  <si>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</si>
  <si>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</si>
  <si>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</si>
  <si>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</si>
  <si>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</si>
  <si>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</si>
  <si>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</si>
  <si>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</si>
  <si>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</si>
  <si>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</si>
  <si>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</si>
  <si>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</si>
  <si>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</si>
  <si>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</si>
  <si>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</si>
  <si>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</si>
  <si>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</si>
  <si>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</si>
  <si>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</si>
  <si>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</si>
  <si>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</si>
  <si>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</si>
  <si>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</si>
  <si>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</si>
  <si>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</si>
  <si>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</si>
  <si>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</si>
  <si>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</si>
  <si>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</si>
  <si>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</si>
  <si>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</si>
  <si>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</si>
  <si>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</si>
  <si>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</si>
  <si>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</si>
  <si>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</si>
  <si>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</si>
  <si>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</si>
  <si>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</si>
  <si>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</si>
  <si>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</si>
  <si>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</si>
  <si>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</si>
  <si>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</si>
  <si>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</si>
  <si>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</si>
  <si>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</si>
  <si>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</si>
  <si>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</si>
  <si>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</si>
  <si>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</si>
  <si>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1</t>
  </si>
  <si>
    <t>2</t>
  </si>
  <si>
    <t>3</t>
  </si>
  <si>
    <t>5</t>
  </si>
  <si>
    <t>3.28</t>
  </si>
  <si>
    <t>3.29</t>
  </si>
  <si>
    <t>3.30</t>
  </si>
  <si>
    <t>1,2,3 y 4</t>
  </si>
  <si>
    <t>4.1</t>
  </si>
  <si>
    <t>4.2</t>
  </si>
  <si>
    <t>4.3</t>
  </si>
  <si>
    <t>4.4</t>
  </si>
  <si>
    <t>PROYECTO: Desarrollo y Equipamiento de Infraestructura Educativa (CR-L1053)</t>
  </si>
  <si>
    <t>Costos financieros e imprevisots</t>
  </si>
  <si>
    <t>Costos financieros, administración, monitoreo e imprevistos</t>
  </si>
  <si>
    <t>SCC</t>
  </si>
  <si>
    <t>SCC - Selección calificaciones de consultores</t>
  </si>
  <si>
    <t>SBCC - Selección basada en calidad y costo</t>
  </si>
  <si>
    <t>CD - Compra directa</t>
  </si>
  <si>
    <t>Comp 2</t>
  </si>
  <si>
    <t>Comp 3</t>
  </si>
  <si>
    <t>Comp 1</t>
  </si>
  <si>
    <t>Otros</t>
  </si>
  <si>
    <t>Método de adquisición</t>
  </si>
  <si>
    <t>REPÚBLICA DE COSTA RICA</t>
  </si>
  <si>
    <t>PLAN GLOBAL DE CONTRATACIONES - AÑO 1 -4</t>
  </si>
  <si>
    <t>PLAN DE EJECUCIÓN DEL PROYECTO</t>
  </si>
  <si>
    <t>Cambio US$/CCR</t>
  </si>
  <si>
    <t>Categoría del Gasto</t>
  </si>
  <si>
    <t>LPI - Licitación pública internacional*</t>
  </si>
  <si>
    <t>*Los procesos de LPI se consolidarán por regiones cuando sean sacados a licitación.</t>
  </si>
  <si>
    <t>COSTEO DE PRODUCTOS MATRIZ DE RESULTADOS</t>
  </si>
  <si>
    <t>Componente 1: Construcción y equipamiento de escuelas primarias, escuelas de educación especial e institutos de enseñanza básica general</t>
  </si>
  <si>
    <t>Productos</t>
  </si>
  <si>
    <t>Costo escuelas de primaria construidas y equipadas.</t>
  </si>
  <si>
    <t>Costo unidades pedagógicas (educación general básica completa, 1º a 9º) construidas y equipadas.</t>
  </si>
  <si>
    <t>Costo centros de educación especial construidos y equipados.</t>
  </si>
  <si>
    <t>Número de cupos adicionales creados en escuelas existentes.</t>
  </si>
  <si>
    <t>N/A</t>
  </si>
  <si>
    <t>Componente 2: Construcción y equipamiento de colegios de secundaria en áreas rurales y urbano marginales</t>
  </si>
  <si>
    <t>Costo liceos rurales que reemplazan centros de telesecundaria construidos y equipados.</t>
  </si>
  <si>
    <t>Costo colegios técnicos profesionales construidos y equipados.</t>
  </si>
  <si>
    <t>Costo colegios de secundaria construidos y equipados.</t>
  </si>
  <si>
    <t>Número de cupos adicionales creados en colegios existentes y nuevos centros.</t>
  </si>
  <si>
    <t>Componente 3: Construcción de espacios culturales y deportivos</t>
  </si>
  <si>
    <t>Costo canchas multiusos construidas.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</si>
</sst>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_);[Red]\(&quot;$&quot;#,##0\)"/>
    <numFmt numFmtId="43" formatCode="_(* #,##0.00_);_(* \(#,##0.00\);_(* &quot;-&quot;??_);_(@_)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 * #,##0_ ;_ * \-#,##0_ ;_ * &quot;-&quot;??_ ;_ @_ "/>
    <numFmt numFmtId="167" formatCode="m/d/yy;@"/>
    <numFmt numFmtId="168" formatCode="_(* #,##0_);_(* \(#,##0\);_(* &quot;-&quot;??_);_(@_)"/>
    <numFmt numFmtId="169" formatCode="&quot;$&quot;#,##0.00"/>
    <numFmt numFmtId="170" formatCode="_-[$$-409]* #,##0_ ;_-[$$-409]* \-#,##0\ ;_-[$$-409]* &quot;-&quot;??_ ;_-@_ "/>
    <numFmt numFmtId="171" formatCode="_-[$$-409]* #,##0.00_ ;_-[$$-409]* \-#,##0.00\ ;_-[$$-409]* &quot;-&quot;??_ ;_-@_ "/>
    <numFmt numFmtId="172" formatCode="[$USD]\ #,##0.00"/>
    <numFmt numFmtId="173" formatCode="[$$-440A]#,##0"/>
    <numFmt numFmtId="174" formatCode="_([$$-409]* #,##0.00_);_([$$-409]* \(#,##0.00\);_([$$-409]* &quot;-&quot;??_);_(@_)"/>
    <numFmt numFmtId="175" formatCode="_(&quot;₡&quot;* #,##0.00_);_(&quot;₡&quot;* \(#,##0.00\);_(&quot;₡&quot;* &quot;-&quot;??_);_(@_)"/>
    <numFmt numFmtId="176" formatCode="_([$€]* #,##0.00_);_([$€]* \(#,##0.00\);_([$€]* &quot;-&quot;??_);_(@_)"/>
    <numFmt numFmtId="177" formatCode="00"/>
  </numFmts>
  <fonts count="10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b/>
      <i/>
      <sz val="11"/>
      <color indexed="8"/>
      <name val="Calibri"/>
      <family val="2"/>
    </font>
    <font>
      <b/>
      <i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sz val="11"/>
      <color indexed="9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 val="double"/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u val="double"/>
      <sz val="11"/>
      <color theme="0"/>
      <name val="Calibri"/>
      <family val="2"/>
    </font>
    <font>
      <b/>
      <sz val="9"/>
      <color theme="0"/>
      <name val="Arial Narrow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color theme="0"/>
      <name val="Arial Narrow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6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0"/>
      <name val="Times New Roman"/>
      <family val="1"/>
    </font>
    <font>
      <b/>
      <sz val="14"/>
      <color theme="1"/>
      <name val="Times New Roman"/>
      <family val="1"/>
    </font>
    <font>
      <sz val="10"/>
      <color theme="0"/>
      <name val="Times New Roman"/>
      <family val="1"/>
    </font>
    <font>
      <b/>
      <u val="double"/>
      <sz val="10"/>
      <color rgb="FF000000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sz val="9"/>
      <color indexed="9"/>
      <name val="Times New Roman"/>
      <family val="1"/>
    </font>
    <font>
      <sz val="9"/>
      <color theme="1"/>
      <name val="Times New Roman"/>
      <family val="1"/>
    </font>
    <font>
      <b/>
      <sz val="9"/>
      <color indexed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/>
      <name val="Times New Roman"/>
      <family val="1"/>
    </font>
    <font>
      <b/>
      <sz val="11"/>
      <color indexed="8"/>
      <name val="Times New Roman"/>
      <family val="1"/>
    </font>
    <font>
      <b/>
      <sz val="9"/>
      <color indexed="8"/>
      <name val="Times New Roman"/>
      <family val="1"/>
    </font>
    <font>
      <b/>
      <u val="double"/>
      <sz val="9"/>
      <color indexed="8"/>
      <name val="Times New Roman"/>
      <family val="1"/>
    </font>
    <font>
      <b/>
      <sz val="14"/>
      <color theme="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02">
    <xf numFmtId="0" fontId="0" fillId="0" borderId="0"/>
    <xf numFmtId="0" fontId="40" fillId="4" borderId="0" applyNumberFormat="0" applyBorder="0" applyAlignment="0" applyProtection="0"/>
    <xf numFmtId="43" fontId="3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1" fillId="0" borderId="0"/>
    <xf numFmtId="0" fontId="39" fillId="0" borderId="0"/>
    <xf numFmtId="0" fontId="39" fillId="0" borderId="0"/>
    <xf numFmtId="0" fontId="77" fillId="0" borderId="0" applyNumberFormat="0" applyFill="0" applyBorder="0" applyAlignment="0" applyProtection="0"/>
    <xf numFmtId="0" fontId="78" fillId="0" borderId="27" applyNumberFormat="0" applyFill="0" applyAlignment="0" applyProtection="0"/>
    <xf numFmtId="0" fontId="79" fillId="0" borderId="28" applyNumberFormat="0" applyFill="0" applyAlignment="0" applyProtection="0"/>
    <xf numFmtId="0" fontId="80" fillId="0" borderId="29" applyNumberFormat="0" applyFill="0" applyAlignment="0" applyProtection="0"/>
    <xf numFmtId="0" fontId="80" fillId="0" borderId="0" applyNumberFormat="0" applyFill="0" applyBorder="0" applyAlignment="0" applyProtection="0"/>
    <xf numFmtId="0" fontId="81" fillId="12" borderId="0" applyNumberFormat="0" applyBorder="0" applyAlignment="0" applyProtection="0"/>
    <xf numFmtId="0" fontId="82" fillId="13" borderId="0" applyNumberFormat="0" applyBorder="0" applyAlignment="0" applyProtection="0"/>
    <xf numFmtId="0" fontId="83" fillId="14" borderId="0" applyNumberFormat="0" applyBorder="0" applyAlignment="0" applyProtection="0"/>
    <xf numFmtId="0" fontId="84" fillId="15" borderId="30" applyNumberFormat="0" applyAlignment="0" applyProtection="0"/>
    <xf numFmtId="0" fontId="85" fillId="16" borderId="31" applyNumberFormat="0" applyAlignment="0" applyProtection="0"/>
    <xf numFmtId="0" fontId="86" fillId="16" borderId="30" applyNumberFormat="0" applyAlignment="0" applyProtection="0"/>
    <xf numFmtId="0" fontId="87" fillId="0" borderId="32" applyNumberFormat="0" applyFill="0" applyAlignment="0" applyProtection="0"/>
    <xf numFmtId="0" fontId="41" fillId="17" borderId="33" applyNumberFormat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2" fillId="0" borderId="35" applyNumberFormat="0" applyFill="0" applyAlignment="0" applyProtection="0"/>
    <xf numFmtId="0" fontId="40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0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  <xf numFmtId="175" fontId="39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" fillId="18" borderId="34" applyNumberFormat="0" applyFont="0" applyAlignment="0" applyProtection="0"/>
    <xf numFmtId="9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5" fontId="39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" fillId="18" borderId="34" applyNumberFormat="0" applyFont="0" applyAlignment="0" applyProtection="0"/>
    <xf numFmtId="9" fontId="39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</cellStyleXfs>
  <cellXfs count="594">
    <xf numFmtId="0" fontId="0" fillId="0" borderId="0" xfId="0"/>
    <xf numFmtId="0" fontId="0" fillId="0" borderId="0" xfId="0" applyFont="1" applyFill="1" applyBorder="1"/>
    <xf numFmtId="168" fontId="3" fillId="0" borderId="0" xfId="2" applyNumberFormat="1" applyFont="1" applyFill="1" applyBorder="1"/>
    <xf numFmtId="43" fontId="3" fillId="0" borderId="0" xfId="2" applyFont="1" applyFill="1" applyBorder="1"/>
    <xf numFmtId="168" fontId="3" fillId="0" borderId="0" xfId="2" applyNumberFormat="1" applyFont="1" applyFill="1"/>
    <xf numFmtId="0" fontId="0" fillId="0" borderId="0" xfId="0" applyFont="1" applyFill="1"/>
    <xf numFmtId="0" fontId="4" fillId="0" borderId="0" xfId="0" applyFont="1" applyFill="1" applyBorder="1"/>
    <xf numFmtId="168" fontId="5" fillId="0" borderId="0" xfId="2" applyNumberFormat="1" applyFont="1" applyFill="1" applyBorder="1" applyAlignment="1">
      <alignment horizontal="center" vertical="justify"/>
    </xf>
    <xf numFmtId="43" fontId="5" fillId="0" borderId="0" xfId="2" applyFont="1" applyFill="1" applyBorder="1" applyAlignment="1">
      <alignment horizontal="center" vertical="justify"/>
    </xf>
    <xf numFmtId="169" fontId="5" fillId="0" borderId="0" xfId="0" applyNumberFormat="1" applyFont="1" applyFill="1" applyBorder="1" applyAlignment="1">
      <alignment horizontal="center" vertical="justify"/>
    </xf>
    <xf numFmtId="168" fontId="5" fillId="0" borderId="0" xfId="2" applyNumberFormat="1" applyFont="1" applyFill="1" applyAlignment="1">
      <alignment horizontal="center" vertical="justify"/>
    </xf>
    <xf numFmtId="168" fontId="5" fillId="0" borderId="0" xfId="2" applyNumberFormat="1" applyFont="1" applyFill="1" applyAlignment="1">
      <alignment horizontal="center"/>
    </xf>
    <xf numFmtId="0" fontId="6" fillId="0" borderId="0" xfId="0" applyFont="1" applyFill="1" applyBorder="1"/>
    <xf numFmtId="168" fontId="7" fillId="0" borderId="0" xfId="2" applyNumberFormat="1" applyFont="1" applyFill="1" applyBorder="1" applyAlignment="1">
      <alignment horizontal="center" vertical="justify"/>
    </xf>
    <xf numFmtId="43" fontId="7" fillId="0" borderId="0" xfId="2" applyFont="1" applyFill="1" applyBorder="1" applyAlignment="1">
      <alignment horizontal="center" vertical="justify"/>
    </xf>
    <xf numFmtId="169" fontId="7" fillId="0" borderId="0" xfId="0" applyNumberFormat="1" applyFont="1" applyFill="1" applyBorder="1" applyAlignment="1">
      <alignment horizontal="center" vertical="justify"/>
    </xf>
    <xf numFmtId="43" fontId="7" fillId="0" borderId="0" xfId="2" applyNumberFormat="1" applyFont="1" applyFill="1" applyBorder="1" applyAlignment="1">
      <alignment horizontal="center" vertical="justify"/>
    </xf>
    <xf numFmtId="168" fontId="7" fillId="0" borderId="0" xfId="2" applyNumberFormat="1" applyFont="1" applyFill="1"/>
    <xf numFmtId="0" fontId="7" fillId="0" borderId="0" xfId="0" applyFont="1" applyFill="1"/>
    <xf numFmtId="0" fontId="8" fillId="0" borderId="0" xfId="0" applyFont="1" applyFill="1" applyBorder="1" applyAlignment="1">
      <alignment wrapText="1"/>
    </xf>
    <xf numFmtId="43" fontId="0" fillId="0" borderId="0" xfId="0" applyNumberFormat="1" applyFont="1" applyFill="1" applyBorder="1"/>
    <xf numFmtId="168" fontId="5" fillId="0" borderId="0" xfId="2" applyNumberFormat="1" applyFont="1" applyFill="1" applyBorder="1"/>
    <xf numFmtId="0" fontId="9" fillId="0" borderId="0" xfId="0" applyFont="1" applyFill="1" applyBorder="1" applyAlignment="1">
      <alignment wrapText="1"/>
    </xf>
    <xf numFmtId="168" fontId="10" fillId="0" borderId="0" xfId="2" applyNumberFormat="1" applyFont="1" applyFill="1" applyBorder="1"/>
    <xf numFmtId="43" fontId="10" fillId="0" borderId="0" xfId="2" applyFont="1" applyFill="1" applyBorder="1"/>
    <xf numFmtId="0" fontId="10" fillId="0" borderId="0" xfId="0" applyFont="1" applyFill="1" applyBorder="1"/>
    <xf numFmtId="0" fontId="4" fillId="0" borderId="0" xfId="0" applyFont="1" applyFill="1" applyBorder="1" applyAlignment="1">
      <alignment wrapText="1"/>
    </xf>
    <xf numFmtId="168" fontId="10" fillId="0" borderId="0" xfId="2" applyNumberFormat="1" applyFont="1" applyFill="1"/>
    <xf numFmtId="0" fontId="10" fillId="0" borderId="0" xfId="0" applyFont="1" applyFill="1"/>
    <xf numFmtId="168" fontId="11" fillId="0" borderId="0" xfId="2" applyNumberFormat="1" applyFont="1" applyFill="1"/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8" fontId="1" fillId="0" borderId="0" xfId="2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8" fontId="3" fillId="0" borderId="0" xfId="2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vertical="top" wrapText="1"/>
    </xf>
    <xf numFmtId="168" fontId="1" fillId="0" borderId="0" xfId="2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68" fontId="2" fillId="0" borderId="0" xfId="2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8" fontId="1" fillId="0" borderId="0" xfId="2" applyNumberFormat="1" applyFont="1" applyFill="1" applyBorder="1" applyAlignment="1">
      <alignment horizontal="center" vertical="top" wrapText="1"/>
    </xf>
    <xf numFmtId="43" fontId="1" fillId="0" borderId="0" xfId="2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3" fontId="14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17" fillId="0" borderId="0" xfId="0" applyFont="1" applyAlignment="1">
      <alignment vertical="top"/>
    </xf>
    <xf numFmtId="0" fontId="16" fillId="0" borderId="1" xfId="14" applyFont="1" applyBorder="1"/>
    <xf numFmtId="0" fontId="23" fillId="0" borderId="1" xfId="14" applyFont="1" applyBorder="1" applyAlignment="1">
      <alignment horizontal="center" vertical="center" wrapText="1"/>
    </xf>
    <xf numFmtId="0" fontId="22" fillId="0" borderId="1" xfId="14" applyFont="1" applyFill="1" applyBorder="1" applyAlignment="1">
      <alignment horizontal="center" vertical="center" wrapText="1"/>
    </xf>
    <xf numFmtId="0" fontId="22" fillId="0" borderId="2" xfId="14" applyFont="1" applyFill="1" applyBorder="1" applyAlignment="1">
      <alignment horizontal="center" vertical="center" wrapText="1"/>
    </xf>
    <xf numFmtId="0" fontId="24" fillId="0" borderId="1" xfId="14" applyFont="1" applyBorder="1"/>
    <xf numFmtId="0" fontId="24" fillId="0" borderId="1" xfId="14" applyFont="1" applyFill="1" applyBorder="1"/>
    <xf numFmtId="0" fontId="22" fillId="0" borderId="1" xfId="14" applyFont="1" applyFill="1" applyBorder="1" applyAlignment="1">
      <alignment wrapText="1"/>
    </xf>
    <xf numFmtId="4" fontId="23" fillId="0" borderId="1" xfId="14" applyNumberFormat="1" applyFont="1" applyFill="1" applyBorder="1" applyAlignment="1">
      <alignment horizontal="right" wrapText="1"/>
    </xf>
    <xf numFmtId="0" fontId="23" fillId="0" borderId="0" xfId="14" applyFont="1" applyBorder="1"/>
    <xf numFmtId="0" fontId="24" fillId="0" borderId="0" xfId="14" applyFont="1" applyBorder="1"/>
    <xf numFmtId="0" fontId="24" fillId="2" borderId="1" xfId="14" applyFont="1" applyFill="1" applyBorder="1"/>
    <xf numFmtId="0" fontId="22" fillId="0" borderId="0" xfId="14" applyFont="1" applyBorder="1" applyAlignment="1">
      <alignment horizontal="left"/>
    </xf>
    <xf numFmtId="0" fontId="24" fillId="0" borderId="0" xfId="14" applyFont="1" applyFill="1" applyBorder="1"/>
    <xf numFmtId="0" fontId="0" fillId="0" borderId="0" xfId="0" applyFill="1"/>
    <xf numFmtId="3" fontId="0" fillId="0" borderId="0" xfId="0" applyNumberFormat="1" applyFill="1"/>
    <xf numFmtId="0" fontId="43" fillId="0" borderId="1" xfId="14" applyFont="1" applyFill="1" applyBorder="1" applyAlignment="1">
      <alignment horizontal="left" wrapText="1"/>
    </xf>
    <xf numFmtId="0" fontId="42" fillId="0" borderId="0" xfId="0" applyFont="1" applyFill="1" applyBorder="1"/>
    <xf numFmtId="170" fontId="44" fillId="0" borderId="0" xfId="0" applyNumberFormat="1" applyFont="1"/>
    <xf numFmtId="170" fontId="26" fillId="0" borderId="2" xfId="14" applyNumberFormat="1" applyFont="1" applyFill="1" applyBorder="1" applyAlignment="1">
      <alignment wrapText="1"/>
    </xf>
    <xf numFmtId="0" fontId="45" fillId="6" borderId="1" xfId="0" applyFont="1" applyFill="1" applyBorder="1" applyAlignment="1">
      <alignment wrapText="1"/>
    </xf>
    <xf numFmtId="0" fontId="43" fillId="0" borderId="1" xfId="14" applyFont="1" applyFill="1" applyBorder="1" applyAlignment="1">
      <alignment horizontal="left" vertical="center" wrapText="1"/>
    </xf>
    <xf numFmtId="0" fontId="22" fillId="7" borderId="1" xfId="14" applyFont="1" applyFill="1" applyBorder="1" applyAlignment="1">
      <alignment horizontal="left" wrapText="1"/>
    </xf>
    <xf numFmtId="0" fontId="22" fillId="7" borderId="1" xfId="14" applyFont="1" applyFill="1" applyBorder="1" applyAlignment="1">
      <alignment wrapText="1"/>
    </xf>
    <xf numFmtId="0" fontId="24" fillId="7" borderId="1" xfId="14" applyFont="1" applyFill="1" applyBorder="1"/>
    <xf numFmtId="170" fontId="48" fillId="0" borderId="1" xfId="14" applyNumberFormat="1" applyFont="1" applyFill="1" applyBorder="1" applyAlignment="1">
      <alignment wrapText="1"/>
    </xf>
    <xf numFmtId="170" fontId="22" fillId="7" borderId="2" xfId="14" applyNumberFormat="1" applyFont="1" applyFill="1" applyBorder="1" applyAlignment="1">
      <alignment horizontal="left" wrapText="1"/>
    </xf>
    <xf numFmtId="170" fontId="22" fillId="0" borderId="2" xfId="14" applyNumberFormat="1" applyFont="1" applyFill="1" applyBorder="1" applyAlignment="1">
      <alignment horizontal="left" wrapText="1"/>
    </xf>
    <xf numFmtId="170" fontId="43" fillId="0" borderId="2" xfId="14" applyNumberFormat="1" applyFont="1" applyFill="1" applyBorder="1" applyAlignment="1">
      <alignment horizontal="right" wrapText="1"/>
    </xf>
    <xf numFmtId="170" fontId="43" fillId="0" borderId="1" xfId="14" applyNumberFormat="1" applyFont="1" applyFill="1" applyBorder="1" applyAlignment="1">
      <alignment horizontal="right" wrapText="1"/>
    </xf>
    <xf numFmtId="170" fontId="43" fillId="0" borderId="1" xfId="14" applyNumberFormat="1" applyFont="1" applyFill="1" applyBorder="1"/>
    <xf numFmtId="170" fontId="22" fillId="0" borderId="1" xfId="14" applyNumberFormat="1" applyFont="1" applyFill="1" applyBorder="1" applyAlignment="1">
      <alignment horizontal="left" wrapText="1"/>
    </xf>
    <xf numFmtId="170" fontId="22" fillId="0" borderId="1" xfId="14" applyNumberFormat="1" applyFont="1" applyFill="1" applyBorder="1" applyAlignment="1">
      <alignment wrapText="1"/>
    </xf>
    <xf numFmtId="170" fontId="22" fillId="7" borderId="1" xfId="14" applyNumberFormat="1" applyFont="1" applyFill="1" applyBorder="1" applyAlignment="1">
      <alignment wrapText="1"/>
    </xf>
    <xf numFmtId="170" fontId="43" fillId="0" borderId="1" xfId="14" applyNumberFormat="1" applyFont="1" applyFill="1" applyBorder="1" applyAlignment="1">
      <alignment horizontal="left" wrapText="1"/>
    </xf>
    <xf numFmtId="170" fontId="22" fillId="7" borderId="1" xfId="14" applyNumberFormat="1" applyFont="1" applyFill="1" applyBorder="1" applyAlignment="1">
      <alignment horizontal="left" wrapText="1"/>
    </xf>
    <xf numFmtId="170" fontId="24" fillId="0" borderId="1" xfId="14" applyNumberFormat="1" applyFont="1" applyFill="1" applyBorder="1"/>
    <xf numFmtId="170" fontId="23" fillId="0" borderId="1" xfId="14" applyNumberFormat="1" applyFont="1" applyFill="1" applyBorder="1" applyAlignment="1">
      <alignment horizontal="right" wrapText="1"/>
    </xf>
    <xf numFmtId="170" fontId="23" fillId="0" borderId="1" xfId="14" applyNumberFormat="1" applyFont="1" applyFill="1" applyBorder="1"/>
    <xf numFmtId="170" fontId="48" fillId="0" borderId="1" xfId="14" applyNumberFormat="1" applyFont="1" applyFill="1" applyBorder="1" applyAlignment="1">
      <alignment horizontal="left" wrapText="1"/>
    </xf>
    <xf numFmtId="170" fontId="23" fillId="0" borderId="1" xfId="3" applyNumberFormat="1" applyFont="1" applyFill="1" applyBorder="1" applyAlignment="1">
      <alignment wrapText="1"/>
    </xf>
    <xf numFmtId="170" fontId="23" fillId="0" borderId="1" xfId="14" applyNumberFormat="1" applyFont="1" applyFill="1" applyBorder="1" applyAlignment="1">
      <alignment wrapText="1"/>
    </xf>
    <xf numFmtId="170" fontId="23" fillId="0" borderId="1" xfId="14" applyNumberFormat="1" applyFont="1" applyBorder="1"/>
    <xf numFmtId="170" fontId="43" fillId="0" borderId="1" xfId="14" applyNumberFormat="1" applyFont="1" applyFill="1" applyBorder="1" applyAlignment="1">
      <alignment vertical="center" wrapText="1"/>
    </xf>
    <xf numFmtId="170" fontId="43" fillId="0" borderId="2" xfId="14" applyNumberFormat="1" applyFont="1" applyFill="1" applyBorder="1" applyAlignment="1">
      <alignment vertical="center" wrapText="1"/>
    </xf>
    <xf numFmtId="170" fontId="28" fillId="0" borderId="4" xfId="0" applyNumberFormat="1" applyFont="1" applyBorder="1"/>
    <xf numFmtId="170" fontId="28" fillId="0" borderId="2" xfId="0" applyNumberFormat="1" applyFont="1" applyBorder="1"/>
    <xf numFmtId="171" fontId="43" fillId="0" borderId="1" xfId="0" applyNumberFormat="1" applyFont="1" applyFill="1" applyBorder="1"/>
    <xf numFmtId="170" fontId="49" fillId="8" borderId="1" xfId="14" applyNumberFormat="1" applyFont="1" applyFill="1" applyBorder="1"/>
    <xf numFmtId="170" fontId="49" fillId="8" borderId="5" xfId="14" applyNumberFormat="1" applyFont="1" applyFill="1" applyBorder="1"/>
    <xf numFmtId="170" fontId="43" fillId="0" borderId="2" xfId="14" applyNumberFormat="1" applyFont="1" applyBorder="1" applyAlignment="1">
      <alignment horizontal="left"/>
    </xf>
    <xf numFmtId="170" fontId="49" fillId="9" borderId="1" xfId="14" applyNumberFormat="1" applyFont="1" applyFill="1" applyBorder="1" applyAlignment="1">
      <alignment horizontal="left"/>
    </xf>
    <xf numFmtId="0" fontId="22" fillId="0" borderId="1" xfId="14" applyFont="1" applyBorder="1" applyAlignment="1">
      <alignment horizontal="center" vertical="center" wrapText="1"/>
    </xf>
    <xf numFmtId="0" fontId="50" fillId="10" borderId="6" xfId="14" applyFont="1" applyFill="1" applyBorder="1" applyAlignment="1">
      <alignment horizontal="left" wrapText="1"/>
    </xf>
    <xf numFmtId="0" fontId="22" fillId="0" borderId="5" xfId="14" applyFont="1" applyBorder="1" applyAlignment="1">
      <alignment horizontal="center" vertical="center" wrapText="1"/>
    </xf>
    <xf numFmtId="0" fontId="22" fillId="0" borderId="7" xfId="14" applyFont="1" applyBorder="1" applyAlignment="1">
      <alignment horizontal="center" vertical="center" wrapText="1"/>
    </xf>
    <xf numFmtId="0" fontId="22" fillId="0" borderId="8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22" fillId="0" borderId="11" xfId="14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170" fontId="22" fillId="7" borderId="6" xfId="14" applyNumberFormat="1" applyFont="1" applyFill="1" applyBorder="1" applyAlignment="1">
      <alignment horizontal="center" wrapText="1"/>
    </xf>
    <xf numFmtId="170" fontId="22" fillId="7" borderId="2" xfId="14" applyNumberFormat="1" applyFont="1" applyFill="1" applyBorder="1" applyAlignment="1">
      <alignment horizontal="center" wrapText="1"/>
    </xf>
    <xf numFmtId="0" fontId="22" fillId="0" borderId="1" xfId="14" applyFont="1" applyFill="1" applyBorder="1" applyAlignment="1">
      <alignment horizontal="left" wrapText="1"/>
    </xf>
    <xf numFmtId="170" fontId="51" fillId="8" borderId="1" xfId="14" applyNumberFormat="1" applyFont="1" applyFill="1" applyBorder="1" applyAlignment="1">
      <alignment horizontal="left" wrapText="1"/>
    </xf>
    <xf numFmtId="170" fontId="50" fillId="10" borderId="1" xfId="14" applyNumberFormat="1" applyFont="1" applyFill="1" applyBorder="1" applyAlignment="1">
      <alignment horizontal="left" wrapText="1"/>
    </xf>
    <xf numFmtId="170" fontId="51" fillId="8" borderId="1" xfId="14" applyNumberFormat="1" applyFont="1" applyFill="1" applyBorder="1" applyAlignment="1">
      <alignment horizontal="left" vertical="center" wrapText="1"/>
    </xf>
    <xf numFmtId="170" fontId="43" fillId="0" borderId="1" xfId="14" applyNumberFormat="1" applyFont="1" applyFill="1" applyBorder="1" applyAlignment="1">
      <alignment horizontal="left" vertical="center" wrapText="1"/>
    </xf>
    <xf numFmtId="170" fontId="47" fillId="0" borderId="1" xfId="0" applyNumberFormat="1" applyFont="1" applyFill="1" applyBorder="1" applyAlignment="1">
      <alignment horizontal="left" vertical="top" wrapText="1"/>
    </xf>
    <xf numFmtId="170" fontId="47" fillId="0" borderId="1" xfId="0" applyNumberFormat="1" applyFont="1" applyBorder="1" applyAlignment="1">
      <alignment horizontal="left" vertical="top" wrapText="1"/>
    </xf>
    <xf numFmtId="170" fontId="47" fillId="0" borderId="1" xfId="0" applyNumberFormat="1" applyFont="1" applyBorder="1" applyAlignment="1">
      <alignment horizontal="left" wrapText="1"/>
    </xf>
    <xf numFmtId="0" fontId="47" fillId="0" borderId="1" xfId="0" applyFont="1" applyBorder="1" applyAlignment="1">
      <alignment horizontal="left" wrapText="1"/>
    </xf>
    <xf numFmtId="4" fontId="22" fillId="0" borderId="1" xfId="14" applyNumberFormat="1" applyFont="1" applyFill="1" applyBorder="1"/>
    <xf numFmtId="17" fontId="22" fillId="7" borderId="2" xfId="14" applyNumberFormat="1" applyFont="1" applyFill="1" applyBorder="1" applyAlignment="1">
      <alignment horizontal="left" wrapText="1"/>
    </xf>
    <xf numFmtId="4" fontId="23" fillId="0" borderId="0" xfId="14" applyNumberFormat="1" applyFont="1" applyBorder="1"/>
    <xf numFmtId="0" fontId="29" fillId="0" borderId="6" xfId="14" applyFont="1" applyBorder="1" applyAlignment="1">
      <alignment horizontal="center" vertical="center" wrapText="1"/>
    </xf>
    <xf numFmtId="170" fontId="22" fillId="7" borderId="6" xfId="14" applyNumberFormat="1" applyFont="1" applyFill="1" applyBorder="1" applyAlignment="1">
      <alignment horizontal="center" wrapText="1"/>
    </xf>
    <xf numFmtId="0" fontId="26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 wrapText="1"/>
    </xf>
    <xf numFmtId="0" fontId="19" fillId="6" borderId="1" xfId="0" applyFont="1" applyFill="1" applyBorder="1" applyAlignment="1">
      <alignment vertical="center" wrapText="1"/>
    </xf>
    <xf numFmtId="0" fontId="25" fillId="6" borderId="1" xfId="0" applyFont="1" applyFill="1" applyBorder="1" applyAlignment="1">
      <alignment wrapText="1"/>
    </xf>
    <xf numFmtId="0" fontId="45" fillId="6" borderId="1" xfId="0" applyFont="1" applyFill="1" applyBorder="1" applyAlignment="1">
      <alignment horizontal="left" vertical="top" wrapText="1"/>
    </xf>
    <xf numFmtId="0" fontId="52" fillId="0" borderId="1" xfId="0" applyFont="1" applyBorder="1" applyAlignment="1">
      <alignment vertical="center" wrapText="1"/>
    </xf>
    <xf numFmtId="0" fontId="53" fillId="6" borderId="1" xfId="0" applyFont="1" applyFill="1" applyBorder="1" applyAlignment="1">
      <alignment wrapText="1"/>
    </xf>
    <xf numFmtId="0" fontId="52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>
      <alignment vertical="top" wrapText="1"/>
    </xf>
    <xf numFmtId="171" fontId="47" fillId="0" borderId="1" xfId="0" applyNumberFormat="1" applyFont="1" applyFill="1" applyBorder="1" applyAlignment="1">
      <alignment wrapText="1"/>
    </xf>
    <xf numFmtId="0" fontId="0" fillId="0" borderId="0" xfId="0" applyFill="1" applyBorder="1"/>
    <xf numFmtId="0" fontId="15" fillId="0" borderId="0" xfId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wrapText="1"/>
    </xf>
    <xf numFmtId="170" fontId="46" fillId="0" borderId="0" xfId="0" applyNumberFormat="1" applyFont="1" applyFill="1" applyBorder="1" applyAlignment="1">
      <alignment horizontal="right" wrapText="1"/>
    </xf>
    <xf numFmtId="10" fontId="46" fillId="0" borderId="0" xfId="0" applyNumberFormat="1" applyFont="1" applyFill="1" applyBorder="1" applyAlignment="1">
      <alignment horizontal="right" wrapText="1"/>
    </xf>
    <xf numFmtId="170" fontId="55" fillId="0" borderId="0" xfId="0" applyNumberFormat="1" applyFont="1" applyFill="1" applyBorder="1" applyAlignment="1">
      <alignment horizontal="right" wrapText="1"/>
    </xf>
    <xf numFmtId="10" fontId="55" fillId="0" borderId="0" xfId="0" applyNumberFormat="1" applyFont="1" applyFill="1" applyBorder="1" applyAlignment="1">
      <alignment horizontal="right" wrapText="1"/>
    </xf>
    <xf numFmtId="0" fontId="55" fillId="0" borderId="0" xfId="0" applyFont="1" applyFill="1" applyBorder="1" applyAlignment="1">
      <alignment vertical="top" wrapText="1"/>
    </xf>
    <xf numFmtId="0" fontId="55" fillId="0" borderId="0" xfId="0" applyFont="1" applyFill="1" applyBorder="1" applyAlignment="1">
      <alignment wrapText="1"/>
    </xf>
    <xf numFmtId="0" fontId="46" fillId="0" borderId="0" xfId="0" applyFont="1" applyFill="1" applyBorder="1" applyAlignment="1">
      <alignment horizontal="justify" wrapText="1"/>
    </xf>
    <xf numFmtId="0" fontId="54" fillId="0" borderId="0" xfId="0" applyFont="1" applyFill="1" applyBorder="1" applyAlignment="1">
      <alignment horizontal="justify" wrapText="1"/>
    </xf>
    <xf numFmtId="170" fontId="56" fillId="0" borderId="0" xfId="0" applyNumberFormat="1" applyFont="1" applyFill="1" applyBorder="1" applyAlignment="1">
      <alignment horizontal="right" wrapText="1"/>
    </xf>
    <xf numFmtId="9" fontId="56" fillId="0" borderId="0" xfId="0" applyNumberFormat="1" applyFont="1" applyFill="1" applyBorder="1" applyAlignment="1">
      <alignment horizontal="right" wrapText="1"/>
    </xf>
    <xf numFmtId="9" fontId="46" fillId="0" borderId="0" xfId="0" applyNumberFormat="1" applyFont="1" applyFill="1" applyBorder="1" applyAlignment="1">
      <alignment horizontal="right" wrapText="1"/>
    </xf>
    <xf numFmtId="0" fontId="22" fillId="0" borderId="0" xfId="14" applyFont="1" applyFill="1" applyBorder="1" applyAlignment="1">
      <alignment wrapText="1"/>
    </xf>
    <xf numFmtId="0" fontId="22" fillId="0" borderId="2" xfId="14" applyFont="1" applyFill="1" applyBorder="1" applyAlignment="1">
      <alignment wrapText="1"/>
    </xf>
    <xf numFmtId="170" fontId="22" fillId="0" borderId="4" xfId="14" applyNumberFormat="1" applyFont="1" applyFill="1" applyBorder="1" applyAlignment="1">
      <alignment horizontal="left" wrapText="1"/>
    </xf>
    <xf numFmtId="170" fontId="22" fillId="7" borderId="4" xfId="14" applyNumberFormat="1" applyFont="1" applyFill="1" applyBorder="1" applyAlignment="1">
      <alignment horizontal="left" wrapText="1"/>
    </xf>
    <xf numFmtId="170" fontId="22" fillId="0" borderId="2" xfId="14" applyNumberFormat="1" applyFont="1" applyFill="1" applyBorder="1" applyAlignment="1">
      <alignment wrapText="1"/>
    </xf>
    <xf numFmtId="0" fontId="50" fillId="6" borderId="2" xfId="14" applyFont="1" applyFill="1" applyBorder="1" applyAlignment="1">
      <alignment horizontal="left" wrapText="1"/>
    </xf>
    <xf numFmtId="0" fontId="22" fillId="6" borderId="1" xfId="14" applyFont="1" applyFill="1" applyBorder="1" applyAlignment="1">
      <alignment wrapText="1"/>
    </xf>
    <xf numFmtId="0" fontId="22" fillId="6" borderId="1" xfId="14" applyFont="1" applyFill="1" applyBorder="1" applyAlignment="1">
      <alignment horizontal="center" wrapText="1"/>
    </xf>
    <xf numFmtId="4" fontId="22" fillId="6" borderId="1" xfId="14" applyNumberFormat="1" applyFont="1" applyFill="1" applyBorder="1" applyAlignment="1">
      <alignment wrapText="1"/>
    </xf>
    <xf numFmtId="0" fontId="51" fillId="6" borderId="1" xfId="14" applyFont="1" applyFill="1" applyBorder="1" applyAlignment="1">
      <alignment horizontal="left" wrapText="1"/>
    </xf>
    <xf numFmtId="0" fontId="22" fillId="6" borderId="1" xfId="14" applyFont="1" applyFill="1" applyBorder="1" applyAlignment="1">
      <alignment horizontal="left" wrapText="1"/>
    </xf>
    <xf numFmtId="170" fontId="51" fillId="6" borderId="1" xfId="14" applyNumberFormat="1" applyFont="1" applyFill="1" applyBorder="1" applyAlignment="1">
      <alignment horizontal="left" wrapText="1"/>
    </xf>
    <xf numFmtId="170" fontId="22" fillId="6" borderId="1" xfId="14" applyNumberFormat="1" applyFont="1" applyFill="1" applyBorder="1" applyAlignment="1">
      <alignment horizontal="left" wrapText="1"/>
    </xf>
    <xf numFmtId="170" fontId="22" fillId="6" borderId="1" xfId="14" applyNumberFormat="1" applyFont="1" applyFill="1" applyBorder="1" applyAlignment="1">
      <alignment wrapText="1"/>
    </xf>
    <xf numFmtId="170" fontId="49" fillId="6" borderId="1" xfId="14" applyNumberFormat="1" applyFont="1" applyFill="1" applyBorder="1" applyAlignment="1">
      <alignment horizontal="right" wrapText="1"/>
    </xf>
    <xf numFmtId="170" fontId="22" fillId="6" borderId="1" xfId="14" applyNumberFormat="1" applyFont="1" applyFill="1" applyBorder="1" applyAlignment="1">
      <alignment horizontal="right" wrapText="1"/>
    </xf>
    <xf numFmtId="0" fontId="52" fillId="0" borderId="12" xfId="0" applyFont="1" applyBorder="1" applyAlignment="1">
      <alignment vertical="center" wrapText="1"/>
    </xf>
    <xf numFmtId="3" fontId="57" fillId="6" borderId="13" xfId="0" applyNumberFormat="1" applyFont="1" applyFill="1" applyBorder="1"/>
    <xf numFmtId="170" fontId="50" fillId="6" borderId="1" xfId="14" applyNumberFormat="1" applyFont="1" applyFill="1" applyBorder="1" applyAlignment="1">
      <alignment horizontal="left" wrapText="1"/>
    </xf>
    <xf numFmtId="170" fontId="23" fillId="6" borderId="1" xfId="14" applyNumberFormat="1" applyFont="1" applyFill="1" applyBorder="1" applyAlignment="1">
      <alignment horizontal="left" wrapText="1"/>
    </xf>
    <xf numFmtId="170" fontId="24" fillId="6" borderId="5" xfId="14" applyNumberFormat="1" applyFont="1" applyFill="1" applyBorder="1"/>
    <xf numFmtId="170" fontId="23" fillId="6" borderId="1" xfId="14" applyNumberFormat="1" applyFont="1" applyFill="1" applyBorder="1"/>
    <xf numFmtId="170" fontId="58" fillId="6" borderId="5" xfId="14" applyNumberFormat="1" applyFont="1" applyFill="1" applyBorder="1" applyAlignment="1">
      <alignment horizontal="left"/>
    </xf>
    <xf numFmtId="170" fontId="59" fillId="6" borderId="2" xfId="14" applyNumberFormat="1" applyFont="1" applyFill="1" applyBorder="1" applyAlignment="1">
      <alignment horizontal="left"/>
    </xf>
    <xf numFmtId="170" fontId="30" fillId="6" borderId="1" xfId="14" applyNumberFormat="1" applyFont="1" applyFill="1" applyBorder="1"/>
    <xf numFmtId="170" fontId="29" fillId="6" borderId="1" xfId="14" applyNumberFormat="1" applyFont="1" applyFill="1" applyBorder="1" applyAlignment="1">
      <alignment horizontal="right"/>
    </xf>
    <xf numFmtId="170" fontId="60" fillId="6" borderId="1" xfId="14" applyNumberFormat="1" applyFont="1" applyFill="1" applyBorder="1" applyAlignment="1">
      <alignment horizontal="left"/>
    </xf>
    <xf numFmtId="170" fontId="49" fillId="6" borderId="1" xfId="14" applyNumberFormat="1" applyFont="1" applyFill="1" applyBorder="1" applyAlignment="1">
      <alignment horizontal="left"/>
    </xf>
    <xf numFmtId="170" fontId="27" fillId="6" borderId="1" xfId="14" applyNumberFormat="1" applyFont="1" applyFill="1" applyBorder="1"/>
    <xf numFmtId="170" fontId="23" fillId="6" borderId="14" xfId="14" applyNumberFormat="1" applyFont="1" applyFill="1" applyBorder="1"/>
    <xf numFmtId="0" fontId="55" fillId="0" borderId="0" xfId="0" applyFont="1" applyBorder="1" applyAlignment="1">
      <alignment wrapText="1"/>
    </xf>
    <xf numFmtId="171" fontId="20" fillId="0" borderId="12" xfId="0" applyNumberFormat="1" applyFont="1" applyBorder="1"/>
    <xf numFmtId="170" fontId="43" fillId="0" borderId="4" xfId="14" applyNumberFormat="1" applyFont="1" applyFill="1" applyBorder="1" applyAlignment="1">
      <alignment horizontal="right" wrapText="1"/>
    </xf>
    <xf numFmtId="171" fontId="61" fillId="6" borderId="15" xfId="0" applyNumberFormat="1" applyFont="1" applyFill="1" applyBorder="1"/>
    <xf numFmtId="173" fontId="62" fillId="0" borderId="1" xfId="0" applyNumberFormat="1" applyFont="1" applyBorder="1" applyAlignment="1">
      <alignment vertical="center"/>
    </xf>
    <xf numFmtId="3" fontId="62" fillId="0" borderId="1" xfId="0" applyNumberFormat="1" applyFont="1" applyBorder="1"/>
    <xf numFmtId="171" fontId="44" fillId="0" borderId="1" xfId="0" applyNumberFormat="1" applyFont="1" applyBorder="1" applyAlignment="1">
      <alignment vertical="center"/>
    </xf>
    <xf numFmtId="0" fontId="23" fillId="0" borderId="1" xfId="14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right" wrapText="1"/>
    </xf>
    <xf numFmtId="4" fontId="23" fillId="0" borderId="2" xfId="14" applyNumberFormat="1" applyFont="1" applyFill="1" applyBorder="1" applyAlignment="1">
      <alignment horizontal="right" wrapText="1"/>
    </xf>
    <xf numFmtId="170" fontId="44" fillId="0" borderId="1" xfId="0" applyNumberFormat="1" applyFont="1" applyBorder="1"/>
    <xf numFmtId="0" fontId="26" fillId="0" borderId="1" xfId="0" applyFont="1" applyBorder="1" applyAlignment="1">
      <alignment vertical="center" wrapText="1"/>
    </xf>
    <xf numFmtId="0" fontId="23" fillId="0" borderId="5" xfId="14" applyFont="1" applyFill="1" applyBorder="1" applyAlignment="1">
      <alignment horizontal="center" vertical="center" wrapText="1"/>
    </xf>
    <xf numFmtId="0" fontId="22" fillId="0" borderId="16" xfId="14" applyFont="1" applyFill="1" applyBorder="1" applyAlignment="1">
      <alignment horizontal="center" vertical="center" wrapText="1"/>
    </xf>
    <xf numFmtId="0" fontId="22" fillId="0" borderId="14" xfId="14" applyFont="1" applyFill="1" applyBorder="1" applyAlignment="1">
      <alignment horizontal="center" vertical="center" wrapText="1"/>
    </xf>
    <xf numFmtId="171" fontId="49" fillId="6" borderId="1" xfId="14" applyNumberFormat="1" applyFont="1" applyFill="1" applyBorder="1" applyAlignment="1">
      <alignment horizontal="right" wrapText="1"/>
    </xf>
    <xf numFmtId="171" fontId="43" fillId="0" borderId="1" xfId="14" applyNumberFormat="1" applyFont="1" applyFill="1" applyBorder="1" applyAlignment="1">
      <alignment horizontal="right" wrapText="1"/>
    </xf>
    <xf numFmtId="171" fontId="49" fillId="6" borderId="1" xfId="14" applyNumberFormat="1" applyFont="1" applyFill="1" applyBorder="1" applyAlignment="1">
      <alignment wrapText="1"/>
    </xf>
    <xf numFmtId="171" fontId="43" fillId="0" borderId="1" xfId="14" applyNumberFormat="1" applyFont="1" applyFill="1" applyBorder="1" applyAlignment="1">
      <alignment wrapText="1"/>
    </xf>
    <xf numFmtId="171" fontId="43" fillId="0" borderId="1" xfId="14" applyNumberFormat="1" applyFont="1" applyBorder="1"/>
    <xf numFmtId="171" fontId="43" fillId="0" borderId="1" xfId="14" applyNumberFormat="1" applyFont="1" applyFill="1" applyBorder="1"/>
    <xf numFmtId="171" fontId="43" fillId="6" borderId="1" xfId="14" applyNumberFormat="1" applyFont="1" applyFill="1" applyBorder="1"/>
    <xf numFmtId="171" fontId="43" fillId="0" borderId="1" xfId="3" applyNumberFormat="1" applyFont="1" applyFill="1" applyBorder="1" applyAlignment="1">
      <alignment wrapText="1"/>
    </xf>
    <xf numFmtId="171" fontId="62" fillId="0" borderId="12" xfId="0" applyNumberFormat="1" applyFont="1" applyBorder="1" applyAlignment="1">
      <alignment horizontal="right"/>
    </xf>
    <xf numFmtId="171" fontId="60" fillId="6" borderId="12" xfId="14" applyNumberFormat="1" applyFont="1" applyFill="1" applyBorder="1" applyAlignment="1">
      <alignment wrapText="1"/>
    </xf>
    <xf numFmtId="171" fontId="60" fillId="6" borderId="1" xfId="14" applyNumberFormat="1" applyFont="1" applyFill="1" applyBorder="1" applyAlignment="1">
      <alignment wrapText="1"/>
    </xf>
    <xf numFmtId="165" fontId="49" fillId="6" borderId="1" xfId="3" applyFont="1" applyFill="1" applyBorder="1"/>
    <xf numFmtId="165" fontId="49" fillId="0" borderId="1" xfId="3" applyFont="1" applyFill="1" applyBorder="1"/>
    <xf numFmtId="171" fontId="62" fillId="0" borderId="1" xfId="0" applyNumberFormat="1" applyFont="1" applyBorder="1"/>
    <xf numFmtId="0" fontId="23" fillId="0" borderId="6" xfId="14" applyFont="1" applyFill="1" applyBorder="1" applyAlignment="1">
      <alignment horizontal="center" vertical="center" wrapText="1"/>
    </xf>
    <xf numFmtId="0" fontId="22" fillId="0" borderId="17" xfId="14" applyFont="1" applyBorder="1" applyAlignment="1">
      <alignment horizontal="center" vertical="center" wrapText="1"/>
    </xf>
    <xf numFmtId="4" fontId="22" fillId="6" borderId="12" xfId="14" applyNumberFormat="1" applyFont="1" applyFill="1" applyBorder="1" applyAlignment="1">
      <alignment wrapText="1"/>
    </xf>
    <xf numFmtId="170" fontId="44" fillId="0" borderId="12" xfId="0" applyNumberFormat="1" applyFont="1" applyBorder="1"/>
    <xf numFmtId="170" fontId="51" fillId="0" borderId="1" xfId="14" applyNumberFormat="1" applyFont="1" applyFill="1" applyBorder="1" applyAlignment="1">
      <alignment horizontal="left" wrapText="1"/>
    </xf>
    <xf numFmtId="170" fontId="22" fillId="0" borderId="4" xfId="14" applyNumberFormat="1" applyFont="1" applyFill="1" applyBorder="1" applyAlignment="1">
      <alignment wrapText="1"/>
    </xf>
    <xf numFmtId="170" fontId="49" fillId="0" borderId="4" xfId="14" applyNumberFormat="1" applyFont="1" applyFill="1" applyBorder="1" applyAlignment="1">
      <alignment horizontal="right" wrapText="1"/>
    </xf>
    <xf numFmtId="170" fontId="49" fillId="0" borderId="2" xfId="14" applyNumberFormat="1" applyFont="1" applyFill="1" applyBorder="1" applyAlignment="1">
      <alignment horizontal="right" wrapText="1"/>
    </xf>
    <xf numFmtId="0" fontId="43" fillId="0" borderId="1" xfId="14" applyFont="1" applyBorder="1"/>
    <xf numFmtId="171" fontId="62" fillId="0" borderId="1" xfId="0" applyNumberFormat="1" applyFont="1" applyFill="1" applyBorder="1"/>
    <xf numFmtId="171" fontId="62" fillId="0" borderId="12" xfId="0" applyNumberFormat="1" applyFont="1" applyFill="1" applyBorder="1"/>
    <xf numFmtId="171" fontId="60" fillId="6" borderId="1" xfId="14" applyNumberFormat="1" applyFont="1" applyFill="1" applyBorder="1" applyAlignment="1">
      <alignment horizontal="right"/>
    </xf>
    <xf numFmtId="170" fontId="63" fillId="11" borderId="5" xfId="14" applyNumberFormat="1" applyFont="1" applyFill="1" applyBorder="1" applyAlignment="1">
      <alignment horizontal="center"/>
    </xf>
    <xf numFmtId="170" fontId="63" fillId="11" borderId="6" xfId="14" applyNumberFormat="1" applyFont="1" applyFill="1" applyBorder="1" applyAlignment="1">
      <alignment horizontal="center"/>
    </xf>
    <xf numFmtId="171" fontId="60" fillId="11" borderId="6" xfId="14" applyNumberFormat="1" applyFont="1" applyFill="1" applyBorder="1" applyAlignment="1">
      <alignment horizontal="center"/>
    </xf>
    <xf numFmtId="4" fontId="28" fillId="0" borderId="12" xfId="0" applyNumberFormat="1" applyFont="1" applyBorder="1" applyAlignment="1">
      <alignment horizontal="right"/>
    </xf>
    <xf numFmtId="174" fontId="24" fillId="0" borderId="1" xfId="14" applyNumberFormat="1" applyFont="1" applyFill="1" applyBorder="1"/>
    <xf numFmtId="174" fontId="24" fillId="0" borderId="0" xfId="14" applyNumberFormat="1" applyFont="1" applyFill="1" applyBorder="1"/>
    <xf numFmtId="174" fontId="23" fillId="0" borderId="0" xfId="14" applyNumberFormat="1" applyFont="1" applyBorder="1"/>
    <xf numFmtId="170" fontId="22" fillId="7" borderId="6" xfId="14" applyNumberFormat="1" applyFont="1" applyFill="1" applyBorder="1" applyAlignment="1">
      <alignment horizontal="center" wrapText="1"/>
    </xf>
    <xf numFmtId="0" fontId="47" fillId="0" borderId="0" xfId="0" applyFont="1" applyAlignment="1">
      <alignment wrapText="1"/>
    </xf>
    <xf numFmtId="0" fontId="67" fillId="0" borderId="0" xfId="0" applyFont="1"/>
    <xf numFmtId="0" fontId="31" fillId="0" borderId="0" xfId="0" applyFont="1" applyBorder="1" applyAlignment="1">
      <alignment horizontal="left" wrapText="1"/>
    </xf>
    <xf numFmtId="0" fontId="14" fillId="0" borderId="0" xfId="0" applyFont="1" applyBorder="1"/>
    <xf numFmtId="0" fontId="34" fillId="0" borderId="1" xfId="0" applyFont="1" applyBorder="1" applyAlignment="1">
      <alignment horizontal="center"/>
    </xf>
    <xf numFmtId="3" fontId="67" fillId="0" borderId="0" xfId="0" applyNumberFormat="1" applyFont="1"/>
    <xf numFmtId="0" fontId="35" fillId="0" borderId="1" xfId="0" applyFont="1" applyBorder="1" applyAlignment="1">
      <alignment horizontal="left" vertical="center" wrapText="1"/>
    </xf>
    <xf numFmtId="171" fontId="35" fillId="0" borderId="1" xfId="14" applyNumberFormat="1" applyFont="1" applyFill="1" applyBorder="1" applyAlignment="1">
      <alignment wrapText="1"/>
    </xf>
    <xf numFmtId="171" fontId="70" fillId="6" borderId="1" xfId="0" applyNumberFormat="1" applyFont="1" applyFill="1" applyBorder="1"/>
    <xf numFmtId="0" fontId="67" fillId="3" borderId="0" xfId="0" applyFont="1" applyFill="1" applyBorder="1"/>
    <xf numFmtId="0" fontId="67" fillId="3" borderId="0" xfId="0" applyFont="1" applyFill="1"/>
    <xf numFmtId="171" fontId="35" fillId="0" borderId="1" xfId="14" applyNumberFormat="1" applyFont="1" applyFill="1" applyBorder="1"/>
    <xf numFmtId="171" fontId="31" fillId="0" borderId="1" xfId="0" applyNumberFormat="1" applyFont="1" applyFill="1" applyBorder="1"/>
    <xf numFmtId="4" fontId="34" fillId="0" borderId="1" xfId="0" applyNumberFormat="1" applyFont="1" applyFill="1" applyBorder="1" applyAlignment="1">
      <alignment vertical="top" wrapText="1"/>
    </xf>
    <xf numFmtId="0" fontId="64" fillId="0" borderId="1" xfId="0" applyFont="1" applyFill="1" applyBorder="1" applyAlignment="1">
      <alignment vertical="center" wrapText="1"/>
    </xf>
    <xf numFmtId="171" fontId="71" fillId="0" borderId="1" xfId="0" applyNumberFormat="1" applyFont="1" applyBorder="1" applyAlignment="1">
      <alignment vertical="center"/>
    </xf>
    <xf numFmtId="171" fontId="67" fillId="0" borderId="0" xfId="0" applyNumberFormat="1" applyFont="1"/>
    <xf numFmtId="0" fontId="71" fillId="0" borderId="1" xfId="0" applyFont="1" applyFill="1" applyBorder="1" applyAlignment="1">
      <alignment vertical="top" wrapText="1"/>
    </xf>
    <xf numFmtId="0" fontId="14" fillId="0" borderId="0" xfId="0" applyFont="1" applyFill="1" applyBorder="1"/>
    <xf numFmtId="174" fontId="67" fillId="0" borderId="0" xfId="0" applyNumberFormat="1" applyFont="1"/>
    <xf numFmtId="0" fontId="74" fillId="0" borderId="0" xfId="0" applyFont="1" applyAlignment="1">
      <alignment horizontal="center"/>
    </xf>
    <xf numFmtId="3" fontId="74" fillId="0" borderId="0" xfId="0" applyNumberFormat="1" applyFont="1"/>
    <xf numFmtId="3" fontId="70" fillId="0" borderId="0" xfId="0" applyNumberFormat="1" applyFont="1" applyFill="1" applyBorder="1"/>
    <xf numFmtId="4" fontId="14" fillId="0" borderId="0" xfId="0" applyNumberFormat="1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75" fillId="0" borderId="0" xfId="0" applyFont="1" applyFill="1" applyBorder="1" applyAlignment="1"/>
    <xf numFmtId="0" fontId="67" fillId="0" borderId="0" xfId="0" applyFont="1" applyFill="1"/>
    <xf numFmtId="0" fontId="67" fillId="0" borderId="0" xfId="0" applyFont="1" applyFill="1" applyBorder="1" applyAlignment="1"/>
    <xf numFmtId="0" fontId="67" fillId="0" borderId="0" xfId="0" applyFont="1" applyFill="1" applyBorder="1" applyAlignment="1">
      <alignment horizontal="center"/>
    </xf>
    <xf numFmtId="0" fontId="36" fillId="0" borderId="1" xfId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wrapText="1"/>
    </xf>
    <xf numFmtId="170" fontId="37" fillId="0" borderId="1" xfId="0" applyNumberFormat="1" applyFont="1" applyFill="1" applyBorder="1" applyAlignment="1">
      <alignment horizontal="right" wrapText="1"/>
    </xf>
    <xf numFmtId="10" fontId="37" fillId="0" borderId="1" xfId="0" applyNumberFormat="1" applyFont="1" applyFill="1" applyBorder="1" applyAlignment="1">
      <alignment horizontal="right" wrapText="1"/>
    </xf>
    <xf numFmtId="0" fontId="35" fillId="0" borderId="1" xfId="0" applyFont="1" applyFill="1" applyBorder="1" applyAlignment="1">
      <alignment vertical="center" wrapText="1"/>
    </xf>
    <xf numFmtId="170" fontId="36" fillId="0" borderId="1" xfId="0" applyNumberFormat="1" applyFont="1" applyFill="1" applyBorder="1" applyAlignment="1">
      <alignment horizontal="right" wrapText="1"/>
    </xf>
    <xf numFmtId="0" fontId="32" fillId="0" borderId="1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horizontal="justify" wrapText="1"/>
    </xf>
    <xf numFmtId="170" fontId="38" fillId="0" borderId="1" xfId="0" applyNumberFormat="1" applyFont="1" applyFill="1" applyBorder="1" applyAlignment="1">
      <alignment horizontal="right" wrapText="1"/>
    </xf>
    <xf numFmtId="9" fontId="37" fillId="0" borderId="1" xfId="0" applyNumberFormat="1" applyFont="1" applyFill="1" applyBorder="1" applyAlignment="1">
      <alignment horizontal="right" wrapText="1"/>
    </xf>
    <xf numFmtId="17" fontId="35" fillId="0" borderId="1" xfId="0" applyNumberFormat="1" applyFont="1" applyFill="1" applyBorder="1" applyAlignment="1">
      <alignment vertical="center"/>
    </xf>
    <xf numFmtId="0" fontId="71" fillId="0" borderId="0" xfId="0" applyFont="1"/>
    <xf numFmtId="0" fontId="65" fillId="0" borderId="0" xfId="0" applyFont="1"/>
    <xf numFmtId="0" fontId="71" fillId="0" borderId="1" xfId="0" applyFont="1" applyBorder="1" applyAlignment="1">
      <alignment vertical="center" wrapText="1"/>
    </xf>
    <xf numFmtId="164" fontId="72" fillId="0" borderId="0" xfId="0" applyNumberFormat="1" applyFont="1" applyBorder="1"/>
    <xf numFmtId="0" fontId="71" fillId="0" borderId="0" xfId="0" applyFont="1" applyBorder="1" applyAlignment="1">
      <alignment wrapText="1"/>
    </xf>
    <xf numFmtId="171" fontId="71" fillId="0" borderId="1" xfId="0" applyNumberFormat="1" applyFont="1" applyFill="1" applyBorder="1" applyAlignment="1">
      <alignment vertical="center" wrapText="1"/>
    </xf>
    <xf numFmtId="0" fontId="71" fillId="0" borderId="0" xfId="0" applyFont="1" applyAlignment="1">
      <alignment horizontal="justify" vertical="top" wrapText="1"/>
    </xf>
    <xf numFmtId="0" fontId="34" fillId="0" borderId="0" xfId="0" applyFont="1" applyAlignment="1">
      <alignment vertical="top"/>
    </xf>
    <xf numFmtId="172" fontId="35" fillId="0" borderId="0" xfId="0" applyNumberFormat="1" applyFont="1" applyFill="1" applyBorder="1" applyAlignment="1">
      <alignment horizontal="right" vertical="center" wrapText="1"/>
    </xf>
    <xf numFmtId="3" fontId="35" fillId="0" borderId="1" xfId="0" applyNumberFormat="1" applyFont="1" applyFill="1" applyBorder="1" applyAlignment="1">
      <alignment vertical="center"/>
    </xf>
    <xf numFmtId="0" fontId="35" fillId="0" borderId="0" xfId="0" quotePrefix="1" applyFont="1" applyFill="1" applyBorder="1" applyAlignment="1" applyProtection="1"/>
    <xf numFmtId="0" fontId="71" fillId="0" borderId="0" xfId="0" applyFont="1" applyAlignment="1">
      <alignment horizontal="center" vertical="top"/>
    </xf>
    <xf numFmtId="9" fontId="35" fillId="0" borderId="1" xfId="14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 applyProtection="1"/>
    <xf numFmtId="171" fontId="65" fillId="0" borderId="1" xfId="0" applyNumberFormat="1" applyFont="1" applyFill="1" applyBorder="1" applyAlignment="1">
      <alignment horizontal="right" vertical="center" wrapText="1"/>
    </xf>
    <xf numFmtId="9" fontId="71" fillId="0" borderId="1" xfId="0" applyNumberFormat="1" applyFont="1" applyBorder="1" applyAlignment="1">
      <alignment horizontal="center" vertical="center"/>
    </xf>
    <xf numFmtId="40" fontId="71" fillId="0" borderId="0" xfId="0" applyNumberFormat="1" applyFont="1" applyAlignment="1">
      <alignment horizontal="center" vertical="top"/>
    </xf>
    <xf numFmtId="171" fontId="35" fillId="0" borderId="1" xfId="0" applyNumberFormat="1" applyFont="1" applyFill="1" applyBorder="1" applyAlignment="1">
      <alignment horizontal="center" vertical="center"/>
    </xf>
    <xf numFmtId="40" fontId="71" fillId="0" borderId="0" xfId="0" applyNumberFormat="1" applyFont="1" applyAlignment="1">
      <alignment vertical="top"/>
    </xf>
    <xf numFmtId="171" fontId="35" fillId="0" borderId="1" xfId="0" applyNumberFormat="1" applyFont="1" applyFill="1" applyBorder="1" applyAlignment="1">
      <alignment vertical="center"/>
    </xf>
    <xf numFmtId="0" fontId="71" fillId="0" borderId="1" xfId="0" applyFont="1" applyBorder="1" applyAlignment="1">
      <alignment horizontal="center" vertical="center" wrapText="1"/>
    </xf>
    <xf numFmtId="0" fontId="71" fillId="0" borderId="0" xfId="0" applyFont="1" applyAlignment="1">
      <alignment wrapText="1"/>
    </xf>
    <xf numFmtId="171" fontId="71" fillId="0" borderId="0" xfId="0" applyNumberFormat="1" applyFont="1"/>
    <xf numFmtId="0" fontId="71" fillId="0" borderId="0" xfId="0" applyFont="1" applyAlignment="1">
      <alignment horizontal="center"/>
    </xf>
    <xf numFmtId="0" fontId="71" fillId="0" borderId="0" xfId="0" applyFont="1" applyFill="1" applyBorder="1"/>
    <xf numFmtId="170" fontId="71" fillId="0" borderId="0" xfId="0" applyNumberFormat="1" applyFont="1" applyBorder="1" applyAlignment="1">
      <alignment vertical="center"/>
    </xf>
    <xf numFmtId="0" fontId="31" fillId="0" borderId="1" xfId="0" applyFont="1" applyFill="1" applyBorder="1" applyAlignment="1">
      <alignment horizontal="left" vertical="top" wrapText="1"/>
    </xf>
    <xf numFmtId="3" fontId="71" fillId="0" borderId="1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0" fontId="72" fillId="0" borderId="1" xfId="0" applyFont="1" applyFill="1" applyBorder="1" applyAlignment="1">
      <alignment horizontal="center"/>
    </xf>
    <xf numFmtId="0" fontId="71" fillId="0" borderId="0" xfId="0" applyFont="1" applyFill="1" applyBorder="1" applyAlignment="1">
      <alignment horizontal="center"/>
    </xf>
    <xf numFmtId="3" fontId="71" fillId="0" borderId="0" xfId="0" applyNumberFormat="1" applyFont="1" applyFill="1" applyBorder="1"/>
    <xf numFmtId="3" fontId="71" fillId="0" borderId="0" xfId="0" applyNumberFormat="1" applyFont="1" applyFill="1" applyBorder="1" applyAlignment="1">
      <alignment horizontal="center"/>
    </xf>
    <xf numFmtId="0" fontId="71" fillId="0" borderId="0" xfId="0" applyFont="1" applyFill="1"/>
    <xf numFmtId="0" fontId="93" fillId="6" borderId="1" xfId="0" applyFont="1" applyFill="1" applyBorder="1" applyAlignment="1">
      <alignment horizontal="center" vertical="center" wrapText="1"/>
    </xf>
    <xf numFmtId="175" fontId="93" fillId="0" borderId="1" xfId="56" applyFont="1" applyFill="1" applyBorder="1" applyAlignment="1">
      <alignment horizontal="center" vertical="top"/>
    </xf>
    <xf numFmtId="0" fontId="93" fillId="0" borderId="1" xfId="0" applyFont="1" applyBorder="1" applyAlignment="1">
      <alignment wrapText="1"/>
    </xf>
    <xf numFmtId="0" fontId="91" fillId="0" borderId="1" xfId="1" applyFont="1" applyFill="1" applyBorder="1" applyAlignment="1">
      <alignment horizontal="center" vertical="center" wrapText="1"/>
    </xf>
    <xf numFmtId="171" fontId="93" fillId="6" borderId="1" xfId="0" applyNumberFormat="1" applyFont="1" applyFill="1" applyBorder="1" applyAlignment="1">
      <alignment horizontal="center" vertical="center" wrapText="1"/>
    </xf>
    <xf numFmtId="171" fontId="93" fillId="0" borderId="1" xfId="0" applyNumberFormat="1" applyFont="1" applyBorder="1" applyAlignment="1">
      <alignment horizontal="center" vertical="center" wrapText="1"/>
    </xf>
    <xf numFmtId="0" fontId="93" fillId="6" borderId="1" xfId="0" applyFont="1" applyFill="1" applyBorder="1" applyAlignment="1">
      <alignment wrapText="1"/>
    </xf>
    <xf numFmtId="0" fontId="95" fillId="0" borderId="1" xfId="0" applyFont="1" applyBorder="1" applyAlignment="1">
      <alignment horizontal="center" vertical="center"/>
    </xf>
    <xf numFmtId="171" fontId="93" fillId="0" borderId="1" xfId="0" applyNumberFormat="1" applyFont="1" applyBorder="1" applyAlignment="1">
      <alignment vertical="center" wrapText="1"/>
    </xf>
    <xf numFmtId="0" fontId="93" fillId="0" borderId="1" xfId="0" applyFont="1" applyBorder="1"/>
    <xf numFmtId="174" fontId="73" fillId="5" borderId="1" xfId="1" applyNumberFormat="1" applyFont="1" applyFill="1" applyBorder="1" applyAlignment="1">
      <alignment horizontal="center" vertical="center" wrapText="1"/>
    </xf>
    <xf numFmtId="0" fontId="91" fillId="6" borderId="1" xfId="14" applyFont="1" applyFill="1" applyBorder="1" applyAlignment="1">
      <alignment horizontal="left" vertical="center" wrapText="1"/>
    </xf>
    <xf numFmtId="174" fontId="73" fillId="6" borderId="1" xfId="0" applyNumberFormat="1" applyFont="1" applyFill="1" applyBorder="1" applyAlignment="1">
      <alignment wrapText="1"/>
    </xf>
    <xf numFmtId="174" fontId="94" fillId="5" borderId="1" xfId="1" applyNumberFormat="1" applyFont="1" applyFill="1" applyBorder="1" applyAlignment="1">
      <alignment horizontal="center" vertical="center" wrapText="1"/>
    </xf>
    <xf numFmtId="175" fontId="93" fillId="0" borderId="1" xfId="56" applyFont="1" applyFill="1" applyBorder="1" applyAlignment="1">
      <alignment horizontal="center" vertical="center"/>
    </xf>
    <xf numFmtId="9" fontId="93" fillId="0" borderId="1" xfId="0" applyNumberFormat="1" applyFont="1" applyBorder="1" applyAlignment="1">
      <alignment horizontal="center" vertical="center"/>
    </xf>
    <xf numFmtId="166" fontId="92" fillId="6" borderId="1" xfId="1" applyNumberFormat="1" applyFont="1" applyFill="1" applyBorder="1" applyAlignment="1">
      <alignment horizontal="center" vertical="center" wrapText="1"/>
    </xf>
    <xf numFmtId="0" fontId="90" fillId="6" borderId="1" xfId="0" applyFont="1" applyFill="1" applyBorder="1" applyAlignment="1">
      <alignment wrapText="1"/>
    </xf>
    <xf numFmtId="0" fontId="91" fillId="6" borderId="1" xfId="1" applyFont="1" applyFill="1" applyBorder="1" applyAlignment="1">
      <alignment horizontal="center" vertical="center" wrapText="1"/>
    </xf>
    <xf numFmtId="175" fontId="93" fillId="0" borderId="0" xfId="56" applyFont="1" applyFill="1" applyBorder="1" applyAlignment="1">
      <alignment horizontal="center" vertical="center"/>
    </xf>
    <xf numFmtId="171" fontId="91" fillId="0" borderId="1" xfId="14" applyNumberFormat="1" applyFont="1" applyFill="1" applyBorder="1" applyAlignment="1">
      <alignment vertical="center" wrapText="1"/>
    </xf>
    <xf numFmtId="0" fontId="94" fillId="5" borderId="1" xfId="1" applyFont="1" applyFill="1" applyBorder="1" applyAlignment="1">
      <alignment horizontal="left" vertical="center" wrapText="1"/>
    </xf>
    <xf numFmtId="0" fontId="93" fillId="0" borderId="1" xfId="0" applyFont="1" applyBorder="1" applyAlignment="1">
      <alignment horizontal="center" vertical="center" wrapText="1"/>
    </xf>
    <xf numFmtId="171" fontId="73" fillId="6" borderId="1" xfId="14" applyNumberFormat="1" applyFont="1" applyFill="1" applyBorder="1" applyAlignment="1">
      <alignment vertical="center" wrapText="1"/>
    </xf>
    <xf numFmtId="0" fontId="73" fillId="6" borderId="1" xfId="0" applyFont="1" applyFill="1" applyBorder="1" applyAlignment="1">
      <alignment wrapText="1"/>
    </xf>
    <xf numFmtId="167" fontId="92" fillId="6" borderId="1" xfId="1" applyNumberFormat="1" applyFont="1" applyFill="1" applyBorder="1" applyAlignment="1">
      <alignment horizontal="center" vertical="center" wrapText="1"/>
    </xf>
    <xf numFmtId="0" fontId="93" fillId="0" borderId="1" xfId="0" applyFont="1" applyBorder="1" applyAlignment="1">
      <alignment vertical="center"/>
    </xf>
    <xf numFmtId="175" fontId="93" fillId="0" borderId="0" xfId="56" applyFont="1" applyFill="1" applyBorder="1" applyAlignment="1">
      <alignment horizontal="center" vertical="top"/>
    </xf>
    <xf numFmtId="0" fontId="96" fillId="6" borderId="1" xfId="0" applyFont="1" applyFill="1" applyBorder="1" applyAlignment="1">
      <alignment vertical="center" wrapText="1"/>
    </xf>
    <xf numFmtId="0" fontId="92" fillId="6" borderId="1" xfId="1" applyFont="1" applyFill="1" applyBorder="1" applyAlignment="1">
      <alignment horizontal="center" vertical="center" textRotation="90" wrapText="1"/>
    </xf>
    <xf numFmtId="174" fontId="93" fillId="0" borderId="1" xfId="2" applyNumberFormat="1" applyFont="1" applyFill="1" applyBorder="1" applyAlignment="1">
      <alignment horizontal="center" vertical="center"/>
    </xf>
    <xf numFmtId="171" fontId="91" fillId="6" borderId="1" xfId="14" applyNumberFormat="1" applyFont="1" applyFill="1" applyBorder="1" applyAlignment="1">
      <alignment horizontal="center" vertical="center" wrapText="1"/>
    </xf>
    <xf numFmtId="0" fontId="95" fillId="0" borderId="1" xfId="0" applyFont="1" applyBorder="1" applyAlignment="1">
      <alignment vertical="center"/>
    </xf>
    <xf numFmtId="171" fontId="94" fillId="6" borderId="1" xfId="1" applyNumberFormat="1" applyFont="1" applyFill="1" applyBorder="1" applyAlignment="1">
      <alignment horizontal="center" vertical="center" wrapText="1"/>
    </xf>
    <xf numFmtId="0" fontId="73" fillId="6" borderId="1" xfId="0" applyFont="1" applyFill="1" applyBorder="1" applyAlignment="1">
      <alignment horizontal="center" wrapText="1"/>
    </xf>
    <xf numFmtId="0" fontId="93" fillId="0" borderId="1" xfId="0" applyFont="1" applyBorder="1" applyAlignment="1">
      <alignment vertical="center" wrapText="1"/>
    </xf>
    <xf numFmtId="0" fontId="92" fillId="6" borderId="1" xfId="1" applyFont="1" applyFill="1" applyBorder="1" applyAlignment="1">
      <alignment horizontal="center" vertical="center" wrapText="1"/>
    </xf>
    <xf numFmtId="9" fontId="91" fillId="6" borderId="1" xfId="14" applyNumberFormat="1" applyFont="1" applyFill="1" applyBorder="1" applyAlignment="1">
      <alignment horizontal="center" vertical="center" wrapText="1"/>
    </xf>
    <xf numFmtId="0" fontId="93" fillId="6" borderId="1" xfId="0" applyFont="1" applyFill="1" applyBorder="1" applyAlignment="1">
      <alignment vertical="center" wrapText="1"/>
    </xf>
    <xf numFmtId="175" fontId="0" fillId="42" borderId="1" xfId="56" applyFont="1" applyFill="1" applyBorder="1" applyAlignment="1">
      <alignment horizontal="center" vertical="top"/>
    </xf>
    <xf numFmtId="175" fontId="0" fillId="42" borderId="1" xfId="56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44" borderId="1" xfId="0" applyFont="1" applyFill="1" applyBorder="1" applyAlignment="1">
      <alignment horizontal="center"/>
    </xf>
    <xf numFmtId="0" fontId="33" fillId="0" borderId="0" xfId="0" applyFont="1" applyBorder="1" applyAlignment="1">
      <alignment horizontal="center" wrapText="1"/>
    </xf>
    <xf numFmtId="0" fontId="34" fillId="0" borderId="1" xfId="0" applyFont="1" applyBorder="1" applyAlignment="1">
      <alignment horizontal="center"/>
    </xf>
    <xf numFmtId="0" fontId="31" fillId="0" borderId="1" xfId="0" applyFont="1" applyBorder="1" applyAlignment="1">
      <alignment horizontal="left" vertical="top" wrapText="1"/>
    </xf>
    <xf numFmtId="0" fontId="69" fillId="6" borderId="1" xfId="0" applyFont="1" applyFill="1" applyBorder="1" applyAlignment="1">
      <alignment horizontal="left" wrapText="1"/>
    </xf>
    <xf numFmtId="166" fontId="94" fillId="5" borderId="1" xfId="1" applyNumberFormat="1" applyFont="1" applyFill="1" applyBorder="1" applyAlignment="1">
      <alignment horizontal="center" vertical="center" wrapText="1"/>
    </xf>
    <xf numFmtId="167" fontId="94" fillId="5" borderId="1" xfId="1" applyNumberFormat="1" applyFont="1" applyFill="1" applyBorder="1" applyAlignment="1">
      <alignment horizontal="center" vertical="center" wrapText="1"/>
    </xf>
    <xf numFmtId="0" fontId="70" fillId="5" borderId="3" xfId="0" applyFont="1" applyFill="1" applyBorder="1" applyAlignment="1">
      <alignment horizontal="center" vertical="center" wrapText="1"/>
    </xf>
    <xf numFmtId="0" fontId="94" fillId="5" borderId="1" xfId="1" applyFont="1" applyFill="1" applyBorder="1" applyAlignment="1">
      <alignment horizontal="center" vertical="center" wrapText="1"/>
    </xf>
    <xf numFmtId="0" fontId="92" fillId="5" borderId="1" xfId="1" applyFont="1" applyFill="1" applyBorder="1" applyAlignment="1">
      <alignment horizontal="center" vertical="center" wrapText="1"/>
    </xf>
    <xf numFmtId="0" fontId="0" fillId="45" borderId="36" xfId="0" applyFill="1" applyBorder="1" applyAlignment="1">
      <alignment horizontal="center" vertical="center"/>
    </xf>
    <xf numFmtId="0" fontId="0" fillId="45" borderId="3" xfId="0" applyFont="1" applyFill="1" applyBorder="1" applyAlignment="1">
      <alignment horizontal="center" vertical="center"/>
    </xf>
    <xf numFmtId="177" fontId="0" fillId="45" borderId="3" xfId="0" applyNumberFormat="1" applyFont="1" applyFill="1" applyBorder="1" applyAlignment="1">
      <alignment horizontal="center" vertical="center"/>
    </xf>
    <xf numFmtId="0" fontId="0" fillId="45" borderId="3" xfId="0" applyFont="1" applyFill="1" applyBorder="1" applyAlignment="1">
      <alignment horizontal="justify" vertical="center"/>
    </xf>
    <xf numFmtId="0" fontId="0" fillId="45" borderId="3" xfId="0" applyFill="1" applyBorder="1" applyAlignment="1">
      <alignment horizontal="center" vertical="center"/>
    </xf>
    <xf numFmtId="175" fontId="39" fillId="45" borderId="3" xfId="56" applyFont="1" applyFill="1" applyBorder="1" applyAlignment="1">
      <alignment horizontal="justify" vertical="center"/>
    </xf>
    <xf numFmtId="175" fontId="0" fillId="45" borderId="3" xfId="56" applyFont="1" applyFill="1" applyBorder="1" applyAlignment="1">
      <alignment horizontal="justify" vertical="center"/>
    </xf>
    <xf numFmtId="175" fontId="39" fillId="45" borderId="3" xfId="56" applyFont="1" applyFill="1" applyBorder="1" applyAlignment="1">
      <alignment horizontal="center" vertical="center" wrapText="1"/>
    </xf>
    <xf numFmtId="0" fontId="0" fillId="45" borderId="9" xfId="0" applyFont="1" applyFill="1" applyBorder="1" applyAlignment="1">
      <alignment horizontal="center" vertical="center" wrapText="1"/>
    </xf>
    <xf numFmtId="0" fontId="0" fillId="45" borderId="3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2" fillId="9" borderId="1" xfId="0" applyFont="1" applyFill="1" applyBorder="1" applyAlignment="1">
      <alignment horizontal="center" vertical="center" wrapText="1"/>
    </xf>
    <xf numFmtId="0" fontId="42" fillId="9" borderId="1" xfId="0" applyFont="1" applyFill="1" applyBorder="1" applyAlignment="1">
      <alignment horizontal="center" vertical="center"/>
    </xf>
    <xf numFmtId="0" fontId="0" fillId="45" borderId="1" xfId="0" applyFill="1" applyBorder="1" applyAlignment="1">
      <alignment horizontal="center" vertical="center" wrapText="1"/>
    </xf>
    <xf numFmtId="0" fontId="0" fillId="45" borderId="1" xfId="0" applyFont="1" applyFill="1" applyBorder="1" applyAlignment="1">
      <alignment horizontal="center" vertical="center" wrapText="1"/>
    </xf>
    <xf numFmtId="0" fontId="0" fillId="42" borderId="16" xfId="0" applyFont="1" applyFill="1" applyBorder="1" applyAlignment="1">
      <alignment horizontal="center"/>
    </xf>
    <xf numFmtId="1" fontId="97" fillId="42" borderId="1" xfId="0" applyNumberFormat="1" applyFont="1" applyFill="1" applyBorder="1" applyAlignment="1">
      <alignment horizontal="center" vertical="center"/>
    </xf>
    <xf numFmtId="1" fontId="97" fillId="42" borderId="1" xfId="0" applyNumberFormat="1" applyFont="1" applyFill="1" applyBorder="1" applyAlignment="1">
      <alignment horizontal="left" vertical="center"/>
    </xf>
    <xf numFmtId="0" fontId="0" fillId="42" borderId="1" xfId="0" applyFont="1" applyFill="1" applyBorder="1" applyAlignment="1">
      <alignment horizontal="center" vertical="center"/>
    </xf>
    <xf numFmtId="177" fontId="0" fillId="42" borderId="1" xfId="0" applyNumberFormat="1" applyFont="1" applyFill="1" applyBorder="1" applyAlignment="1">
      <alignment horizontal="center"/>
    </xf>
    <xf numFmtId="9" fontId="0" fillId="42" borderId="1" xfId="56" applyNumberFormat="1" applyFont="1" applyFill="1" applyBorder="1" applyAlignment="1">
      <alignment horizontal="center" vertical="center"/>
    </xf>
    <xf numFmtId="175" fontId="0" fillId="42" borderId="5" xfId="0" applyNumberFormat="1" applyFont="1" applyFill="1" applyBorder="1"/>
    <xf numFmtId="0" fontId="0" fillId="42" borderId="37" xfId="0" applyFont="1" applyFill="1" applyBorder="1" applyAlignment="1">
      <alignment horizontal="center" vertical="center"/>
    </xf>
    <xf numFmtId="168" fontId="0" fillId="0" borderId="0" xfId="62" applyNumberFormat="1" applyFont="1"/>
    <xf numFmtId="175" fontId="0" fillId="43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/>
    <xf numFmtId="0" fontId="0" fillId="0" borderId="1" xfId="0" applyFill="1" applyBorder="1"/>
    <xf numFmtId="175" fontId="0" fillId="0" borderId="0" xfId="0" applyNumberFormat="1" applyFont="1" applyFill="1"/>
    <xf numFmtId="0" fontId="0" fillId="0" borderId="16" xfId="0" applyFont="1" applyFill="1" applyBorder="1" applyAlignment="1">
      <alignment horizontal="center" vertical="top"/>
    </xf>
    <xf numFmtId="1" fontId="97" fillId="0" borderId="1" xfId="0" applyNumberFormat="1" applyFont="1" applyFill="1" applyBorder="1" applyAlignment="1">
      <alignment horizontal="center" vertical="center"/>
    </xf>
    <xf numFmtId="1" fontId="97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top"/>
    </xf>
    <xf numFmtId="177" fontId="0" fillId="0" borderId="1" xfId="0" applyNumberFormat="1" applyFont="1" applyFill="1" applyBorder="1" applyAlignment="1">
      <alignment horizontal="center" vertical="top"/>
    </xf>
    <xf numFmtId="175" fontId="0" fillId="0" borderId="1" xfId="56" applyFont="1" applyFill="1" applyBorder="1" applyAlignment="1">
      <alignment horizontal="center" vertical="top"/>
    </xf>
    <xf numFmtId="9" fontId="0" fillId="0" borderId="1" xfId="56" applyNumberFormat="1" applyFont="1" applyFill="1" applyBorder="1" applyAlignment="1">
      <alignment horizontal="center" vertical="top"/>
    </xf>
    <xf numFmtId="0" fontId="0" fillId="0" borderId="5" xfId="0" applyFont="1" applyFill="1" applyBorder="1" applyAlignment="1">
      <alignment vertical="top"/>
    </xf>
    <xf numFmtId="0" fontId="0" fillId="0" borderId="37" xfId="0" applyFont="1" applyFill="1" applyBorder="1" applyAlignment="1">
      <alignment horizontal="center" vertical="top"/>
    </xf>
    <xf numFmtId="168" fontId="0" fillId="0" borderId="0" xfId="62" applyNumberFormat="1" applyFont="1" applyAlignment="1">
      <alignment vertical="top"/>
    </xf>
    <xf numFmtId="175" fontId="0" fillId="46" borderId="1" xfId="0" applyNumberFormat="1" applyFont="1" applyFill="1" applyBorder="1" applyAlignment="1">
      <alignment horizontal="center" vertical="top"/>
    </xf>
    <xf numFmtId="175" fontId="0" fillId="46" borderId="1" xfId="0" applyNumberFormat="1" applyFont="1" applyFill="1" applyBorder="1" applyAlignment="1">
      <alignment horizontal="justify"/>
    </xf>
    <xf numFmtId="0" fontId="0" fillId="0" borderId="16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5" fontId="0" fillId="0" borderId="1" xfId="56" applyFont="1" applyFill="1" applyBorder="1" applyAlignment="1">
      <alignment horizontal="center" vertical="center"/>
    </xf>
    <xf numFmtId="9" fontId="0" fillId="0" borderId="1" xfId="56" applyNumberFormat="1" applyFont="1" applyFill="1" applyBorder="1" applyAlignment="1">
      <alignment horizontal="center" vertical="center"/>
    </xf>
    <xf numFmtId="0" fontId="0" fillId="0" borderId="5" xfId="0" applyFont="1" applyFill="1" applyBorder="1"/>
    <xf numFmtId="0" fontId="0" fillId="0" borderId="37" xfId="0" applyFont="1" applyFill="1" applyBorder="1" applyAlignment="1">
      <alignment horizontal="center" vertical="center"/>
    </xf>
    <xf numFmtId="175" fontId="0" fillId="46" borderId="1" xfId="0" applyNumberFormat="1" applyFont="1" applyFill="1" applyBorder="1" applyAlignment="1">
      <alignment horizontal="center"/>
    </xf>
    <xf numFmtId="175" fontId="0" fillId="46" borderId="1" xfId="0" applyNumberFormat="1" applyFont="1" applyFill="1" applyBorder="1" applyAlignment="1">
      <alignment vertical="top" wrapText="1"/>
    </xf>
    <xf numFmtId="0" fontId="0" fillId="42" borderId="1" xfId="0" applyFont="1" applyFill="1" applyBorder="1" applyAlignment="1">
      <alignment horizontal="center" vertical="top"/>
    </xf>
    <xf numFmtId="177" fontId="0" fillId="42" borderId="1" xfId="0" applyNumberFormat="1" applyFont="1" applyFill="1" applyBorder="1" applyAlignment="1">
      <alignment horizontal="center" vertical="top"/>
    </xf>
    <xf numFmtId="9" fontId="0" fillId="42" borderId="1" xfId="56" applyNumberFormat="1" applyFont="1" applyFill="1" applyBorder="1" applyAlignment="1">
      <alignment horizontal="center" vertical="top"/>
    </xf>
    <xf numFmtId="175" fontId="0" fillId="42" borderId="1" xfId="0" applyNumberFormat="1" applyFont="1" applyFill="1" applyBorder="1" applyAlignment="1">
      <alignment vertical="top"/>
    </xf>
    <xf numFmtId="0" fontId="0" fillId="42" borderId="37" xfId="0" applyFont="1" applyFill="1" applyBorder="1" applyAlignment="1">
      <alignment horizontal="center" vertical="top"/>
    </xf>
    <xf numFmtId="175" fontId="0" fillId="43" borderId="1" xfId="0" applyNumberFormat="1" applyFont="1" applyFill="1" applyBorder="1" applyAlignment="1">
      <alignment horizontal="center" vertical="top"/>
    </xf>
    <xf numFmtId="0" fontId="0" fillId="43" borderId="1" xfId="0" applyNumberFormat="1" applyFont="1" applyFill="1" applyBorder="1" applyAlignment="1">
      <alignment horizontal="justify"/>
    </xf>
    <xf numFmtId="175" fontId="0" fillId="42" borderId="1" xfId="0" applyNumberFormat="1" applyFont="1" applyFill="1" applyBorder="1"/>
    <xf numFmtId="175" fontId="0" fillId="0" borderId="1" xfId="56" applyFont="1" applyFill="1" applyBorder="1"/>
    <xf numFmtId="0" fontId="0" fillId="0" borderId="1" xfId="0" applyFont="1" applyFill="1" applyBorder="1"/>
    <xf numFmtId="175" fontId="0" fillId="46" borderId="1" xfId="56" applyFont="1" applyFill="1" applyBorder="1"/>
    <xf numFmtId="0" fontId="0" fillId="0" borderId="38" xfId="0" applyFill="1" applyBorder="1"/>
    <xf numFmtId="175" fontId="0" fillId="46" borderId="1" xfId="0" applyNumberFormat="1" applyFont="1" applyFill="1" applyBorder="1" applyAlignment="1">
      <alignment wrapText="1"/>
    </xf>
    <xf numFmtId="1" fontId="97" fillId="42" borderId="1" xfId="0" applyNumberFormat="1" applyFont="1" applyFill="1" applyBorder="1" applyAlignment="1">
      <alignment vertical="center"/>
    </xf>
    <xf numFmtId="175" fontId="0" fillId="43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ont="1" applyFill="1" applyBorder="1"/>
    <xf numFmtId="175" fontId="0" fillId="42" borderId="0" xfId="56" applyFont="1" applyFill="1" applyBorder="1" applyAlignment="1">
      <alignment horizontal="center" vertical="center"/>
    </xf>
    <xf numFmtId="175" fontId="98" fillId="0" borderId="1" xfId="56" applyFont="1" applyFill="1" applyBorder="1" applyAlignment="1">
      <alignment horizontal="center" vertical="top"/>
    </xf>
    <xf numFmtId="2" fontId="0" fillId="44" borderId="1" xfId="0" applyNumberFormat="1" applyFont="1" applyFill="1" applyBorder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top"/>
    </xf>
    <xf numFmtId="175" fontId="0" fillId="43" borderId="1" xfId="0" applyNumberFormat="1" applyFill="1" applyBorder="1" applyAlignment="1">
      <alignment horizontal="center" wrapText="1"/>
    </xf>
    <xf numFmtId="175" fontId="0" fillId="46" borderId="1" xfId="0" applyNumberFormat="1" applyFill="1" applyBorder="1" applyAlignment="1">
      <alignment horizontal="center"/>
    </xf>
    <xf numFmtId="0" fontId="0" fillId="42" borderId="1" xfId="0" applyFont="1" applyFill="1" applyBorder="1" applyAlignment="1">
      <alignment horizontal="left" vertical="center"/>
    </xf>
    <xf numFmtId="175" fontId="0" fillId="46" borderId="1" xfId="0" applyNumberFormat="1" applyFont="1" applyFill="1" applyBorder="1" applyAlignment="1">
      <alignment horizontal="center" vertical="top" wrapText="1"/>
    </xf>
    <xf numFmtId="177" fontId="0" fillId="42" borderId="1" xfId="0" applyNumberFormat="1" applyFont="1" applyFill="1" applyBorder="1" applyAlignment="1">
      <alignment horizontal="center" vertical="center"/>
    </xf>
    <xf numFmtId="9" fontId="0" fillId="42" borderId="1" xfId="201" applyFont="1" applyFill="1" applyBorder="1" applyAlignment="1">
      <alignment horizontal="center" vertical="center"/>
    </xf>
    <xf numFmtId="175" fontId="99" fillId="46" borderId="1" xfId="0" applyNumberFormat="1" applyFont="1" applyFill="1" applyBorder="1" applyAlignment="1">
      <alignment horizontal="justify"/>
    </xf>
    <xf numFmtId="0" fontId="99" fillId="0" borderId="1" xfId="0" applyFont="1" applyFill="1" applyBorder="1" applyAlignment="1">
      <alignment horizontal="left" vertical="center"/>
    </xf>
    <xf numFmtId="9" fontId="0" fillId="0" borderId="1" xfId="201" applyFont="1" applyFill="1" applyBorder="1" applyAlignment="1">
      <alignment horizontal="center" vertical="center"/>
    </xf>
    <xf numFmtId="175" fontId="0" fillId="46" borderId="1" xfId="0" applyNumberFormat="1" applyFont="1" applyFill="1" applyBorder="1" applyAlignment="1">
      <alignment horizontal="center" wrapText="1"/>
    </xf>
    <xf numFmtId="0" fontId="0" fillId="46" borderId="1" xfId="0" applyNumberFormat="1" applyFont="1" applyFill="1" applyBorder="1" applyAlignment="1">
      <alignment horizontal="justify" vertical="top"/>
    </xf>
    <xf numFmtId="2" fontId="0" fillId="0" borderId="0" xfId="0" applyNumberFormat="1" applyFill="1"/>
    <xf numFmtId="1" fontId="99" fillId="0" borderId="1" xfId="0" applyNumberFormat="1" applyFont="1" applyFill="1" applyBorder="1" applyAlignment="1">
      <alignment horizontal="left" vertical="center"/>
    </xf>
    <xf numFmtId="9" fontId="0" fillId="0" borderId="1" xfId="201" applyFont="1" applyFill="1" applyBorder="1" applyAlignment="1">
      <alignment horizontal="center" vertical="top"/>
    </xf>
    <xf numFmtId="175" fontId="99" fillId="46" borderId="1" xfId="0" applyNumberFormat="1" applyFont="1" applyFill="1" applyBorder="1" applyAlignment="1">
      <alignment horizontal="center" vertical="top"/>
    </xf>
    <xf numFmtId="175" fontId="99" fillId="46" borderId="1" xfId="0" applyNumberFormat="1" applyFont="1" applyFill="1" applyBorder="1" applyAlignment="1">
      <alignment horizontal="center" wrapText="1"/>
    </xf>
    <xf numFmtId="175" fontId="0" fillId="46" borderId="1" xfId="0" applyNumberFormat="1" applyFont="1" applyFill="1" applyBorder="1"/>
    <xf numFmtId="175" fontId="0" fillId="46" borderId="1" xfId="0" applyNumberFormat="1" applyFill="1" applyBorder="1" applyAlignment="1">
      <alignment horizontal="center" vertical="center" wrapText="1"/>
    </xf>
    <xf numFmtId="1" fontId="97" fillId="0" borderId="1" xfId="0" applyNumberFormat="1" applyFont="1" applyFill="1" applyBorder="1" applyAlignment="1">
      <alignment vertical="center"/>
    </xf>
    <xf numFmtId="1" fontId="97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175" fontId="0" fillId="46" borderId="1" xfId="0" applyNumberFormat="1" applyFill="1" applyBorder="1" applyAlignment="1">
      <alignment wrapText="1"/>
    </xf>
    <xf numFmtId="0" fontId="0" fillId="0" borderId="3" xfId="0" applyFont="1" applyFill="1" applyBorder="1" applyAlignment="1">
      <alignment horizontal="center" vertical="top"/>
    </xf>
    <xf numFmtId="177" fontId="0" fillId="0" borderId="3" xfId="0" applyNumberFormat="1" applyFont="1" applyFill="1" applyBorder="1" applyAlignment="1">
      <alignment horizontal="center" vertical="top"/>
    </xf>
    <xf numFmtId="175" fontId="0" fillId="46" borderId="1" xfId="0" applyNumberFormat="1" applyFont="1" applyFill="1" applyBorder="1" applyAlignment="1">
      <alignment vertical="top"/>
    </xf>
    <xf numFmtId="1" fontId="99" fillId="0" borderId="3" xfId="0" applyNumberFormat="1" applyFont="1" applyFill="1" applyBorder="1" applyAlignment="1">
      <alignment vertical="center"/>
    </xf>
    <xf numFmtId="175" fontId="0" fillId="46" borderId="1" xfId="0" applyNumberFormat="1" applyFill="1" applyBorder="1" applyAlignment="1">
      <alignment horizontal="center" wrapText="1"/>
    </xf>
    <xf numFmtId="0" fontId="0" fillId="0" borderId="3" xfId="0" applyFont="1" applyFill="1" applyBorder="1" applyAlignment="1">
      <alignment horizontal="left" vertical="center"/>
    </xf>
    <xf numFmtId="175" fontId="0" fillId="0" borderId="3" xfId="56" applyFont="1" applyFill="1" applyBorder="1" applyAlignment="1">
      <alignment horizontal="center" vertical="center"/>
    </xf>
    <xf numFmtId="175" fontId="0" fillId="0" borderId="1" xfId="56" applyFont="1" applyFill="1" applyBorder="1" applyAlignment="1">
      <alignment horizontal="left" vertical="center"/>
    </xf>
    <xf numFmtId="2" fontId="101" fillId="0" borderId="1" xfId="0" applyNumberFormat="1" applyFont="1" applyFill="1" applyBorder="1"/>
    <xf numFmtId="2" fontId="0" fillId="46" borderId="1" xfId="0" applyNumberFormat="1" applyFont="1" applyFill="1" applyBorder="1" applyAlignment="1">
      <alignment horizontal="center"/>
    </xf>
    <xf numFmtId="2" fontId="0" fillId="46" borderId="1" xfId="0" applyNumberFormat="1" applyFill="1" applyBorder="1" applyAlignment="1">
      <alignment horizontal="center"/>
    </xf>
    <xf numFmtId="175" fontId="0" fillId="46" borderId="1" xfId="0" applyNumberFormat="1" applyFill="1" applyBorder="1" applyAlignment="1">
      <alignment horizontal="center" vertical="top" wrapText="1"/>
    </xf>
    <xf numFmtId="175" fontId="0" fillId="46" borderId="1" xfId="0" applyNumberFormat="1" applyFill="1" applyBorder="1" applyAlignment="1">
      <alignment vertical="top"/>
    </xf>
    <xf numFmtId="175" fontId="99" fillId="46" borderId="1" xfId="0" applyNumberFormat="1" applyFont="1" applyFill="1" applyBorder="1" applyAlignment="1">
      <alignment horizontal="center"/>
    </xf>
    <xf numFmtId="175" fontId="0" fillId="46" borderId="1" xfId="56" applyFont="1" applyFill="1" applyBorder="1" applyAlignment="1">
      <alignment horizontal="center"/>
    </xf>
    <xf numFmtId="0" fontId="0" fillId="0" borderId="3" xfId="0" applyFont="1" applyFill="1" applyBorder="1"/>
    <xf numFmtId="1" fontId="97" fillId="0" borderId="3" xfId="0" applyNumberFormat="1" applyFont="1" applyFill="1" applyBorder="1" applyAlignment="1">
      <alignment horizontal="center" vertical="center"/>
    </xf>
    <xf numFmtId="175" fontId="0" fillId="0" borderId="3" xfId="56" applyFont="1" applyFill="1" applyBorder="1" applyAlignment="1">
      <alignment horizontal="center" vertical="top"/>
    </xf>
    <xf numFmtId="9" fontId="0" fillId="0" borderId="3" xfId="56" applyNumberFormat="1" applyFont="1" applyFill="1" applyBorder="1" applyAlignment="1">
      <alignment horizontal="center" vertical="top"/>
    </xf>
    <xf numFmtId="0" fontId="0" fillId="0" borderId="7" xfId="0" applyFont="1" applyFill="1" applyBorder="1" applyAlignment="1">
      <alignment vertical="top"/>
    </xf>
    <xf numFmtId="0" fontId="0" fillId="0" borderId="39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Font="1"/>
    <xf numFmtId="168" fontId="0" fillId="0" borderId="0" xfId="0" applyNumberFormat="1"/>
    <xf numFmtId="0" fontId="0" fillId="0" borderId="0" xfId="0" applyAlignment="1">
      <alignment horizontal="center"/>
    </xf>
    <xf numFmtId="175" fontId="71" fillId="0" borderId="0" xfId="0" applyNumberFormat="1" applyFont="1" applyAlignment="1">
      <alignment wrapText="1"/>
    </xf>
    <xf numFmtId="175" fontId="0" fillId="0" borderId="0" xfId="0" applyNumberFormat="1"/>
    <xf numFmtId="0" fontId="0" fillId="0" borderId="0" xfId="62" applyNumberFormat="1" applyFont="1" applyAlignment="1">
      <alignment vertical="top"/>
    </xf>
    <xf numFmtId="174" fontId="0" fillId="0" borderId="0" xfId="2" applyNumberFormat="1" applyFont="1"/>
    <xf numFmtId="174" fontId="0" fillId="0" borderId="0" xfId="0" applyNumberFormat="1"/>
    <xf numFmtId="174" fontId="92" fillId="6" borderId="1" xfId="1" applyNumberFormat="1" applyFont="1" applyFill="1" applyBorder="1" applyAlignment="1">
      <alignment horizontal="center" vertical="center" textRotation="90" wrapText="1"/>
    </xf>
    <xf numFmtId="171" fontId="73" fillId="6" borderId="1" xfId="1" applyNumberFormat="1" applyFont="1" applyFill="1" applyBorder="1" applyAlignment="1">
      <alignment horizontal="center" vertical="center" wrapText="1"/>
    </xf>
    <xf numFmtId="175" fontId="0" fillId="0" borderId="1" xfId="56" applyFont="1" applyFill="1" applyBorder="1" applyAlignment="1">
      <alignment horizontal="center" vertical="top"/>
    </xf>
    <xf numFmtId="175" fontId="0" fillId="0" borderId="1" xfId="56" applyFont="1" applyFill="1" applyBorder="1" applyAlignment="1">
      <alignment horizontal="center" vertical="center"/>
    </xf>
    <xf numFmtId="0" fontId="69" fillId="0" borderId="1" xfId="0" applyFont="1" applyFill="1" applyBorder="1" applyAlignment="1">
      <alignment horizontal="left" wrapText="1"/>
    </xf>
    <xf numFmtId="0" fontId="70" fillId="6" borderId="1" xfId="0" applyFont="1" applyFill="1" applyBorder="1"/>
    <xf numFmtId="170" fontId="104" fillId="0" borderId="0" xfId="0" applyNumberFormat="1" applyFont="1"/>
    <xf numFmtId="0" fontId="104" fillId="0" borderId="0" xfId="0" applyFont="1"/>
    <xf numFmtId="0" fontId="31" fillId="0" borderId="38" xfId="0" applyFont="1" applyBorder="1" applyAlignment="1">
      <alignment vertical="top" wrapText="1"/>
    </xf>
    <xf numFmtId="0" fontId="31" fillId="0" borderId="12" xfId="0" applyFont="1" applyBorder="1" applyAlignment="1">
      <alignment vertical="top" wrapText="1"/>
    </xf>
    <xf numFmtId="165" fontId="70" fillId="5" borderId="1" xfId="3" applyFont="1" applyFill="1" applyBorder="1"/>
    <xf numFmtId="171" fontId="70" fillId="5" borderId="1" xfId="0" applyNumberFormat="1" applyFont="1" applyFill="1" applyBorder="1"/>
    <xf numFmtId="0" fontId="95" fillId="0" borderId="1" xfId="0" applyFont="1" applyFill="1" applyBorder="1" applyAlignment="1">
      <alignment vertical="center"/>
    </xf>
    <xf numFmtId="0" fontId="93" fillId="0" borderId="1" xfId="0" applyFont="1" applyFill="1" applyBorder="1" applyAlignment="1">
      <alignment vertical="center"/>
    </xf>
    <xf numFmtId="49" fontId="93" fillId="0" borderId="1" xfId="0" applyNumberFormat="1" applyFont="1" applyBorder="1" applyAlignment="1">
      <alignment horizontal="right" vertical="center" wrapText="1"/>
    </xf>
    <xf numFmtId="49" fontId="93" fillId="0" borderId="1" xfId="0" applyNumberFormat="1" applyFont="1" applyBorder="1" applyAlignment="1">
      <alignment horizontal="center" vertical="center" wrapText="1"/>
    </xf>
    <xf numFmtId="49" fontId="93" fillId="0" borderId="1" xfId="0" applyNumberFormat="1" applyFont="1" applyBorder="1" applyAlignment="1">
      <alignment horizontal="left" vertical="center" wrapText="1"/>
    </xf>
    <xf numFmtId="0" fontId="64" fillId="0" borderId="1" xfId="0" applyFont="1" applyBorder="1"/>
    <xf numFmtId="43" fontId="64" fillId="0" borderId="1" xfId="2" applyFont="1" applyBorder="1" applyAlignment="1">
      <alignment horizontal="right"/>
    </xf>
    <xf numFmtId="0" fontId="65" fillId="0" borderId="1" xfId="0" applyFont="1" applyBorder="1"/>
    <xf numFmtId="43" fontId="76" fillId="0" borderId="1" xfId="2" applyFont="1" applyBorder="1" applyAlignment="1">
      <alignment horizontal="right"/>
    </xf>
    <xf numFmtId="171" fontId="64" fillId="0" borderId="1" xfId="0" applyNumberFormat="1" applyFont="1" applyBorder="1" applyAlignment="1">
      <alignment horizontal="right"/>
    </xf>
    <xf numFmtId="171" fontId="76" fillId="0" borderId="1" xfId="0" applyNumberFormat="1" applyFont="1" applyBorder="1" applyAlignment="1">
      <alignment horizontal="right"/>
    </xf>
    <xf numFmtId="0" fontId="105" fillId="0" borderId="18" xfId="0" applyFont="1" applyFill="1" applyBorder="1" applyAlignment="1"/>
    <xf numFmtId="0" fontId="69" fillId="5" borderId="1" xfId="0" applyFont="1" applyFill="1" applyBorder="1" applyAlignment="1">
      <alignment horizontal="center" vertical="top"/>
    </xf>
    <xf numFmtId="0" fontId="106" fillId="0" borderId="0" xfId="0" applyFont="1" applyFill="1" applyBorder="1" applyAlignment="1">
      <alignment horizontal="center"/>
    </xf>
    <xf numFmtId="0" fontId="107" fillId="0" borderId="0" xfId="0" applyFont="1" applyFill="1" applyBorder="1" applyAlignment="1">
      <alignment horizontal="right"/>
    </xf>
    <xf numFmtId="2" fontId="107" fillId="0" borderId="0" xfId="0" applyNumberFormat="1" applyFont="1" applyFill="1" applyBorder="1" applyAlignment="1">
      <alignment horizontal="right"/>
    </xf>
    <xf numFmtId="17" fontId="91" fillId="0" borderId="1" xfId="0" applyNumberFormat="1" applyFont="1" applyFill="1" applyBorder="1" applyAlignment="1">
      <alignment horizontal="center" vertical="center"/>
    </xf>
    <xf numFmtId="17" fontId="91" fillId="6" borderId="1" xfId="0" applyNumberFormat="1" applyFont="1" applyFill="1" applyBorder="1" applyAlignment="1">
      <alignment horizontal="center" vertical="center"/>
    </xf>
    <xf numFmtId="0" fontId="70" fillId="5" borderId="1" xfId="0" applyFont="1" applyFill="1" applyBorder="1" applyAlignment="1">
      <alignment horizontal="center" vertical="top" wrapText="1"/>
    </xf>
    <xf numFmtId="3" fontId="71" fillId="0" borderId="1" xfId="0" applyNumberFormat="1" applyFont="1" applyFill="1" applyBorder="1" applyAlignment="1">
      <alignment horizontal="center" wrapText="1"/>
    </xf>
    <xf numFmtId="3" fontId="72" fillId="0" borderId="1" xfId="0" applyNumberFormat="1" applyFont="1" applyFill="1" applyBorder="1" applyAlignment="1">
      <alignment horizontal="center"/>
    </xf>
    <xf numFmtId="3" fontId="71" fillId="0" borderId="0" xfId="0" applyNumberFormat="1" applyFont="1"/>
    <xf numFmtId="0" fontId="37" fillId="0" borderId="1" xfId="1" applyFont="1" applyFill="1" applyBorder="1" applyAlignment="1">
      <alignment horizontal="center" vertical="center" wrapText="1"/>
    </xf>
    <xf numFmtId="0" fontId="65" fillId="8" borderId="41" xfId="0" applyFont="1" applyFill="1" applyBorder="1" applyAlignment="1">
      <alignment vertical="center" wrapText="1"/>
    </xf>
    <xf numFmtId="0" fontId="65" fillId="8" borderId="15" xfId="0" applyFont="1" applyFill="1" applyBorder="1" applyAlignment="1">
      <alignment horizontal="center" vertical="center" wrapText="1"/>
    </xf>
    <xf numFmtId="0" fontId="65" fillId="8" borderId="42" xfId="0" applyFont="1" applyFill="1" applyBorder="1" applyAlignment="1">
      <alignment horizontal="center" vertical="center" wrapText="1"/>
    </xf>
    <xf numFmtId="0" fontId="65" fillId="47" borderId="43" xfId="0" applyFont="1" applyFill="1" applyBorder="1" applyAlignment="1">
      <alignment vertical="center" wrapText="1"/>
    </xf>
    <xf numFmtId="0" fontId="65" fillId="47" borderId="40" xfId="0" applyFont="1" applyFill="1" applyBorder="1" applyAlignment="1">
      <alignment vertical="center" wrapText="1"/>
    </xf>
    <xf numFmtId="0" fontId="65" fillId="47" borderId="40" xfId="0" applyFont="1" applyFill="1" applyBorder="1" applyAlignment="1">
      <alignment vertical="top" wrapText="1"/>
    </xf>
    <xf numFmtId="6" fontId="65" fillId="47" borderId="41" xfId="0" applyNumberFormat="1" applyFont="1" applyFill="1" applyBorder="1" applyAlignment="1">
      <alignment horizontal="center" vertical="top" wrapText="1"/>
    </xf>
    <xf numFmtId="0" fontId="65" fillId="0" borderId="44" xfId="0" applyFont="1" applyBorder="1" applyAlignment="1">
      <alignment vertical="center" wrapText="1"/>
    </xf>
    <xf numFmtId="0" fontId="64" fillId="0" borderId="45" xfId="0" applyFont="1" applyBorder="1" applyAlignment="1">
      <alignment horizontal="right" vertical="center" wrapText="1"/>
    </xf>
    <xf numFmtId="0" fontId="64" fillId="0" borderId="45" xfId="0" applyFont="1" applyBorder="1" applyAlignment="1">
      <alignment vertical="top" wrapText="1"/>
    </xf>
    <xf numFmtId="0" fontId="64" fillId="0" borderId="44" xfId="0" applyFont="1" applyBorder="1" applyAlignment="1">
      <alignment vertical="center" wrapText="1"/>
    </xf>
    <xf numFmtId="0" fontId="64" fillId="0" borderId="45" xfId="0" applyFont="1" applyBorder="1" applyAlignment="1">
      <alignment horizontal="center" vertical="center" wrapText="1"/>
    </xf>
    <xf numFmtId="6" fontId="64" fillId="0" borderId="45" xfId="0" applyNumberFormat="1" applyFont="1" applyBorder="1" applyAlignment="1">
      <alignment vertical="top" wrapText="1"/>
    </xf>
    <xf numFmtId="0" fontId="64" fillId="0" borderId="46" xfId="0" applyFont="1" applyBorder="1" applyAlignment="1">
      <alignment vertical="center" wrapText="1"/>
    </xf>
    <xf numFmtId="0" fontId="64" fillId="0" borderId="47" xfId="0" applyFont="1" applyBorder="1" applyAlignment="1">
      <alignment horizontal="center" vertical="center" wrapText="1"/>
    </xf>
    <xf numFmtId="0" fontId="64" fillId="0" borderId="47" xfId="0" applyFont="1" applyBorder="1" applyAlignment="1">
      <alignment horizontal="right" vertical="top" wrapText="1"/>
    </xf>
    <xf numFmtId="0" fontId="64" fillId="0" borderId="47" xfId="0" applyFont="1" applyBorder="1" applyAlignment="1">
      <alignment vertical="top" wrapText="1"/>
    </xf>
    <xf numFmtId="0" fontId="65" fillId="47" borderId="48" xfId="0" applyFont="1" applyFill="1" applyBorder="1" applyAlignment="1">
      <alignment vertical="center" wrapText="1"/>
    </xf>
    <xf numFmtId="0" fontId="65" fillId="47" borderId="49" xfId="0" applyFont="1" applyFill="1" applyBorder="1" applyAlignment="1">
      <alignment vertical="center" wrapText="1"/>
    </xf>
    <xf numFmtId="0" fontId="65" fillId="47" borderId="49" xfId="0" applyFont="1" applyFill="1" applyBorder="1" applyAlignment="1">
      <alignment vertical="top" wrapText="1"/>
    </xf>
    <xf numFmtId="6" fontId="65" fillId="47" borderId="41" xfId="0" applyNumberFormat="1" applyFont="1" applyFill="1" applyBorder="1" applyAlignment="1">
      <alignment vertical="top" wrapText="1"/>
    </xf>
    <xf numFmtId="0" fontId="64" fillId="0" borderId="45" xfId="0" applyFont="1" applyBorder="1" applyAlignment="1">
      <alignment vertical="center" wrapText="1"/>
    </xf>
    <xf numFmtId="0" fontId="69" fillId="5" borderId="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67" fillId="0" borderId="0" xfId="0" applyFont="1" applyFill="1" applyBorder="1" applyAlignment="1">
      <alignment horizontal="center" wrapText="1"/>
    </xf>
    <xf numFmtId="0" fontId="69" fillId="5" borderId="1" xfId="0" applyFont="1" applyFill="1" applyBorder="1" applyAlignment="1">
      <alignment horizontal="center" vertical="center" wrapText="1"/>
    </xf>
    <xf numFmtId="0" fontId="69" fillId="5" borderId="1" xfId="0" applyFont="1" applyFill="1" applyBorder="1" applyAlignment="1">
      <alignment horizontal="center" vertical="top"/>
    </xf>
    <xf numFmtId="0" fontId="69" fillId="5" borderId="1" xfId="0" applyFont="1" applyFill="1" applyBorder="1" applyAlignment="1">
      <alignment horizontal="left" vertical="top" wrapText="1"/>
    </xf>
    <xf numFmtId="0" fontId="34" fillId="0" borderId="1" xfId="0" applyFont="1" applyBorder="1" applyAlignment="1">
      <alignment horizontal="center"/>
    </xf>
    <xf numFmtId="0" fontId="69" fillId="5" borderId="1" xfId="0" applyFont="1" applyFill="1" applyBorder="1" applyAlignment="1">
      <alignment horizontal="left" wrapText="1"/>
    </xf>
    <xf numFmtId="0" fontId="32" fillId="0" borderId="0" xfId="0" applyFont="1" applyAlignment="1">
      <alignment horizontal="left" vertical="top"/>
    </xf>
    <xf numFmtId="0" fontId="33" fillId="0" borderId="0" xfId="0" applyFont="1" applyBorder="1" applyAlignment="1">
      <alignment horizontal="center" wrapText="1"/>
    </xf>
    <xf numFmtId="0" fontId="68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9" fontId="93" fillId="0" borderId="3" xfId="0" applyNumberFormat="1" applyFont="1" applyBorder="1" applyAlignment="1">
      <alignment horizontal="center" vertical="center" wrapText="1"/>
    </xf>
    <xf numFmtId="49" fontId="93" fillId="0" borderId="38" xfId="0" applyNumberFormat="1" applyFont="1" applyBorder="1" applyAlignment="1">
      <alignment horizontal="center" vertical="center" wrapText="1"/>
    </xf>
    <xf numFmtId="49" fontId="93" fillId="0" borderId="12" xfId="0" applyNumberFormat="1" applyFont="1" applyBorder="1" applyAlignment="1">
      <alignment horizontal="center" vertical="center" wrapText="1"/>
    </xf>
    <xf numFmtId="0" fontId="94" fillId="5" borderId="1" xfId="1" applyFont="1" applyFill="1" applyBorder="1" applyAlignment="1">
      <alignment horizontal="center" vertical="center" textRotation="90" wrapText="1"/>
    </xf>
    <xf numFmtId="0" fontId="93" fillId="0" borderId="3" xfId="0" applyFont="1" applyBorder="1" applyAlignment="1">
      <alignment horizontal="center" vertical="center" wrapText="1"/>
    </xf>
    <xf numFmtId="0" fontId="93" fillId="0" borderId="38" xfId="0" applyFont="1" applyBorder="1" applyAlignment="1">
      <alignment horizontal="center" vertical="center" wrapText="1"/>
    </xf>
    <xf numFmtId="0" fontId="93" fillId="0" borderId="12" xfId="0" applyFont="1" applyBorder="1" applyAlignment="1">
      <alignment horizontal="center" vertical="center" wrapText="1"/>
    </xf>
    <xf numFmtId="17" fontId="91" fillId="0" borderId="3" xfId="0" applyNumberFormat="1" applyFont="1" applyFill="1" applyBorder="1" applyAlignment="1">
      <alignment horizontal="center" vertical="center"/>
    </xf>
    <xf numFmtId="17" fontId="91" fillId="0" borderId="38" xfId="0" applyNumberFormat="1" applyFont="1" applyFill="1" applyBorder="1" applyAlignment="1">
      <alignment horizontal="center" vertical="center"/>
    </xf>
    <xf numFmtId="17" fontId="91" fillId="0" borderId="12" xfId="0" applyNumberFormat="1" applyFont="1" applyFill="1" applyBorder="1" applyAlignment="1">
      <alignment horizontal="center" vertical="center"/>
    </xf>
    <xf numFmtId="166" fontId="94" fillId="5" borderId="1" xfId="1" applyNumberFormat="1" applyFont="1" applyFill="1" applyBorder="1" applyAlignment="1">
      <alignment horizontal="center" vertical="center" wrapText="1"/>
    </xf>
    <xf numFmtId="167" fontId="94" fillId="5" borderId="1" xfId="1" applyNumberFormat="1" applyFont="1" applyFill="1" applyBorder="1" applyAlignment="1">
      <alignment horizontal="center" vertical="center" wrapText="1"/>
    </xf>
    <xf numFmtId="0" fontId="92" fillId="5" borderId="1" xfId="1" applyFont="1" applyFill="1" applyBorder="1" applyAlignment="1">
      <alignment horizontal="center" vertical="center" wrapText="1"/>
    </xf>
    <xf numFmtId="0" fontId="94" fillId="5" borderId="3" xfId="1" applyFont="1" applyFill="1" applyBorder="1" applyAlignment="1">
      <alignment horizontal="center" vertical="center" textRotation="90" wrapText="1"/>
    </xf>
    <xf numFmtId="0" fontId="94" fillId="5" borderId="12" xfId="1" applyFont="1" applyFill="1" applyBorder="1" applyAlignment="1">
      <alignment horizontal="center" vertical="center" textRotation="90" wrapText="1"/>
    </xf>
    <xf numFmtId="0" fontId="94" fillId="5" borderId="3" xfId="1" applyFont="1" applyFill="1" applyBorder="1" applyAlignment="1">
      <alignment horizontal="center" vertical="center" wrapText="1"/>
    </xf>
    <xf numFmtId="0" fontId="94" fillId="5" borderId="12" xfId="1" applyFont="1" applyFill="1" applyBorder="1" applyAlignment="1">
      <alignment horizontal="center" vertical="center" wrapText="1"/>
    </xf>
    <xf numFmtId="0" fontId="92" fillId="5" borderId="1" xfId="1" applyFont="1" applyFill="1" applyBorder="1" applyAlignment="1">
      <alignment horizontal="center" vertical="center" textRotation="90" wrapText="1"/>
    </xf>
    <xf numFmtId="0" fontId="94" fillId="5" borderId="1" xfId="1" applyFont="1" applyFill="1" applyBorder="1" applyAlignment="1">
      <alignment horizontal="center" vertical="center" wrapText="1"/>
    </xf>
    <xf numFmtId="0" fontId="66" fillId="0" borderId="0" xfId="14" applyFont="1" applyBorder="1" applyAlignment="1">
      <alignment horizontal="center"/>
    </xf>
    <xf numFmtId="0" fontId="43" fillId="6" borderId="5" xfId="14" applyFont="1" applyFill="1" applyBorder="1" applyAlignment="1">
      <alignment horizontal="left" wrapText="1"/>
    </xf>
    <xf numFmtId="0" fontId="43" fillId="6" borderId="2" xfId="14" applyFont="1" applyFill="1" applyBorder="1" applyAlignment="1">
      <alignment horizontal="left" wrapText="1"/>
    </xf>
    <xf numFmtId="170" fontId="22" fillId="7" borderId="5" xfId="14" applyNumberFormat="1" applyFont="1" applyFill="1" applyBorder="1" applyAlignment="1">
      <alignment horizontal="center" wrapText="1"/>
    </xf>
    <xf numFmtId="170" fontId="22" fillId="7" borderId="6" xfId="14" applyNumberFormat="1" applyFont="1" applyFill="1" applyBorder="1" applyAlignment="1">
      <alignment horizontal="center" wrapText="1"/>
    </xf>
    <xf numFmtId="0" fontId="29" fillId="0" borderId="5" xfId="14" applyFont="1" applyBorder="1" applyAlignment="1">
      <alignment horizontal="center" vertical="center" wrapText="1"/>
    </xf>
    <xf numFmtId="0" fontId="29" fillId="0" borderId="6" xfId="14" applyFont="1" applyBorder="1" applyAlignment="1">
      <alignment horizontal="center" vertical="center" wrapText="1"/>
    </xf>
    <xf numFmtId="0" fontId="29" fillId="0" borderId="2" xfId="14" applyFont="1" applyBorder="1" applyAlignment="1">
      <alignment horizontal="center" vertical="center" wrapText="1"/>
    </xf>
    <xf numFmtId="0" fontId="29" fillId="0" borderId="11" xfId="14" applyFont="1" applyBorder="1" applyAlignment="1">
      <alignment horizontal="center" vertical="center" wrapText="1"/>
    </xf>
    <xf numFmtId="0" fontId="29" fillId="0" borderId="18" xfId="14" applyFont="1" applyBorder="1" applyAlignment="1">
      <alignment horizontal="center" vertical="center" wrapText="1"/>
    </xf>
    <xf numFmtId="0" fontId="29" fillId="0" borderId="19" xfId="14" applyFont="1" applyBorder="1" applyAlignment="1">
      <alignment horizontal="center" vertical="center" wrapText="1"/>
    </xf>
    <xf numFmtId="0" fontId="22" fillId="0" borderId="20" xfId="14" applyFont="1" applyFill="1" applyBorder="1" applyAlignment="1">
      <alignment horizontal="center" vertical="center"/>
    </xf>
    <xf numFmtId="0" fontId="22" fillId="0" borderId="21" xfId="14" applyFont="1" applyFill="1" applyBorder="1" applyAlignment="1">
      <alignment horizontal="center" vertical="center"/>
    </xf>
    <xf numFmtId="0" fontId="22" fillId="0" borderId="22" xfId="14" applyFont="1" applyFill="1" applyBorder="1" applyAlignment="1">
      <alignment horizontal="center" vertical="center"/>
    </xf>
    <xf numFmtId="0" fontId="22" fillId="0" borderId="23" xfId="14" applyFont="1" applyBorder="1" applyAlignment="1">
      <alignment horizontal="center" vertical="center" wrapText="1"/>
    </xf>
    <xf numFmtId="0" fontId="22" fillId="0" borderId="24" xfId="14" applyFont="1" applyBorder="1" applyAlignment="1">
      <alignment horizontal="center" vertical="center" wrapText="1"/>
    </xf>
    <xf numFmtId="0" fontId="22" fillId="0" borderId="25" xfId="14" applyFont="1" applyBorder="1" applyAlignment="1">
      <alignment horizontal="center" vertical="center" wrapText="1"/>
    </xf>
    <xf numFmtId="0" fontId="22" fillId="0" borderId="26" xfId="14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2" xfId="14" applyFont="1" applyBorder="1" applyAlignment="1">
      <alignment horizontal="center" vertical="center" wrapText="1"/>
    </xf>
    <xf numFmtId="0" fontId="22" fillId="0" borderId="26" xfId="14" applyFont="1" applyFill="1" applyBorder="1" applyAlignment="1">
      <alignment horizontal="center" vertical="center"/>
    </xf>
    <xf numFmtId="0" fontId="22" fillId="0" borderId="6" xfId="14" applyFont="1" applyFill="1" applyBorder="1" applyAlignment="1">
      <alignment horizontal="center" vertical="center"/>
    </xf>
    <xf numFmtId="0" fontId="22" fillId="0" borderId="2" xfId="14" applyFont="1" applyFill="1" applyBorder="1" applyAlignment="1">
      <alignment horizontal="center" vertical="center"/>
    </xf>
    <xf numFmtId="0" fontId="108" fillId="0" borderId="40" xfId="0" applyFont="1" applyBorder="1" applyAlignment="1">
      <alignment horizontal="center"/>
    </xf>
  </cellXfs>
  <cellStyles count="202">
    <cellStyle name="20% - Accent1" xfId="34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5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1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3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Bad" xfId="23" builtinId="27" customBuiltin="1"/>
    <cellStyle name="Calculation" xfId="27" builtinId="22" customBuiltin="1"/>
    <cellStyle name="Check Cell" xfId="29" builtinId="23" customBuiltin="1"/>
    <cellStyle name="Comma" xfId="2" builtinId="3"/>
    <cellStyle name="Comma 2" xfId="62"/>
    <cellStyle name="Currency" xfId="3" builtinId="4"/>
    <cellStyle name="Currency 2" xfId="56"/>
    <cellStyle name="Euro" xfId="191"/>
    <cellStyle name="Explanatory Text" xfId="31" builtinId="53" customBuiltin="1"/>
    <cellStyle name="Good" xfId="22" builtinId="26" customBuiltin="1"/>
    <cellStyle name="Heading 1" xfId="18" builtinId="16" customBuiltin="1"/>
    <cellStyle name="Heading 2" xfId="19" builtinId="17" customBuiltin="1"/>
    <cellStyle name="Heading 3" xfId="20" builtinId="18" customBuiltin="1"/>
    <cellStyle name="Heading 4" xfId="21" builtinId="19" customBuiltin="1"/>
    <cellStyle name="Input" xfId="25" builtinId="20" customBuiltin="1"/>
    <cellStyle name="Linked Cell" xfId="28" builtinId="24" customBuiltin="1"/>
    <cellStyle name="Millares 2" xfId="200"/>
    <cellStyle name="Moneda 2" xfId="193"/>
    <cellStyle name="Neutral" xfId="24" builtinId="28" customBuiltin="1"/>
    <cellStyle name="Normal" xfId="0" builtinId="0"/>
    <cellStyle name="Normal 10" xfId="4"/>
    <cellStyle name="Normal 11" xfId="5"/>
    <cellStyle name="Normal 12" xfId="6"/>
    <cellStyle name="Normal 18" xfId="7"/>
    <cellStyle name="Normal 2" xfId="8"/>
    <cellStyle name="Normal 2 10" xfId="104"/>
    <cellStyle name="Normal 2 11" xfId="125"/>
    <cellStyle name="Normal 2 12" xfId="129"/>
    <cellStyle name="Normal 2 13" xfId="83"/>
    <cellStyle name="Normal 2 14" xfId="136"/>
    <cellStyle name="Normal 2 15" xfId="80"/>
    <cellStyle name="Normal 2 16" xfId="118"/>
    <cellStyle name="Normal 2 17" xfId="141"/>
    <cellStyle name="Normal 2 18" xfId="133"/>
    <cellStyle name="Normal 2 19" xfId="66"/>
    <cellStyle name="Normal 2 2" xfId="92"/>
    <cellStyle name="Normal 2 20" xfId="154"/>
    <cellStyle name="Normal 2 21" xfId="79"/>
    <cellStyle name="Normal 2 22" xfId="151"/>
    <cellStyle name="Normal 2 23" xfId="156"/>
    <cellStyle name="Normal 2 24" xfId="91"/>
    <cellStyle name="Normal 2 25" xfId="169"/>
    <cellStyle name="Normal 2 26" xfId="77"/>
    <cellStyle name="Normal 2 27" xfId="168"/>
    <cellStyle name="Normal 2 28" xfId="161"/>
    <cellStyle name="Normal 2 29" xfId="176"/>
    <cellStyle name="Normal 2 3" xfId="106"/>
    <cellStyle name="Normal 2 30" xfId="175"/>
    <cellStyle name="Normal 2 31" xfId="153"/>
    <cellStyle name="Normal 2 32" xfId="183"/>
    <cellStyle name="Normal 2 33" xfId="187"/>
    <cellStyle name="Normal 2 34" xfId="194"/>
    <cellStyle name="Normal 2 35" xfId="57"/>
    <cellStyle name="Normal 2 4" xfId="76"/>
    <cellStyle name="Normal 2 5" xfId="88"/>
    <cellStyle name="Normal 2 6" xfId="102"/>
    <cellStyle name="Normal 2 7" xfId="110"/>
    <cellStyle name="Normal 2 8" xfId="98"/>
    <cellStyle name="Normal 2 9" xfId="68"/>
    <cellStyle name="Normal 20" xfId="9"/>
    <cellStyle name="Normal 22" xfId="10"/>
    <cellStyle name="Normal 3" xfId="11"/>
    <cellStyle name="Normal 3 10" xfId="113"/>
    <cellStyle name="Normal 3 11" xfId="119"/>
    <cellStyle name="Normal 3 12" xfId="116"/>
    <cellStyle name="Normal 3 13" xfId="84"/>
    <cellStyle name="Normal 3 14" xfId="134"/>
    <cellStyle name="Normal 3 15" xfId="81"/>
    <cellStyle name="Normal 3 16" xfId="142"/>
    <cellStyle name="Normal 3 17" xfId="147"/>
    <cellStyle name="Normal 3 18" xfId="130"/>
    <cellStyle name="Normal 3 19" xfId="140"/>
    <cellStyle name="Normal 3 2" xfId="93"/>
    <cellStyle name="Normal 3 20" xfId="144"/>
    <cellStyle name="Normal 3 21" xfId="132"/>
    <cellStyle name="Normal 3 22" xfId="158"/>
    <cellStyle name="Normal 3 23" xfId="103"/>
    <cellStyle name="Normal 3 24" xfId="64"/>
    <cellStyle name="Normal 3 25" xfId="163"/>
    <cellStyle name="Normal 3 26" xfId="167"/>
    <cellStyle name="Normal 3 27" xfId="128"/>
    <cellStyle name="Normal 3 28" xfId="101"/>
    <cellStyle name="Normal 3 29" xfId="177"/>
    <cellStyle name="Normal 3 3" xfId="107"/>
    <cellStyle name="Normal 3 30" xfId="180"/>
    <cellStyle name="Normal 3 31" xfId="174"/>
    <cellStyle name="Normal 3 32" xfId="184"/>
    <cellStyle name="Normal 3 33" xfId="188"/>
    <cellStyle name="Normal 3 34" xfId="195"/>
    <cellStyle name="Normal 3 35" xfId="58"/>
    <cellStyle name="Normal 3 4" xfId="75"/>
    <cellStyle name="Normal 3 5" xfId="89"/>
    <cellStyle name="Normal 3 6" xfId="111"/>
    <cellStyle name="Normal 3 7" xfId="99"/>
    <cellStyle name="Normal 3 8" xfId="67"/>
    <cellStyle name="Normal 3 9" xfId="95"/>
    <cellStyle name="Normal 4" xfId="12"/>
    <cellStyle name="Normal 4 10" xfId="122"/>
    <cellStyle name="Normal 4 11" xfId="126"/>
    <cellStyle name="Normal 4 12" xfId="123"/>
    <cellStyle name="Normal 4 13" xfId="85"/>
    <cellStyle name="Normal 4 14" xfId="137"/>
    <cellStyle name="Normal 4 15" xfId="82"/>
    <cellStyle name="Normal 4 16" xfId="145"/>
    <cellStyle name="Normal 4 17" xfId="72"/>
    <cellStyle name="Normal 4 18" xfId="69"/>
    <cellStyle name="Normal 4 19" xfId="152"/>
    <cellStyle name="Normal 4 2" xfId="94"/>
    <cellStyle name="Normal 4 20" xfId="155"/>
    <cellStyle name="Normal 4 21" xfId="73"/>
    <cellStyle name="Normal 4 22" xfId="146"/>
    <cellStyle name="Normal 4 23" xfId="157"/>
    <cellStyle name="Normal 4 24" xfId="127"/>
    <cellStyle name="Normal 4 25" xfId="164"/>
    <cellStyle name="Normal 4 26" xfId="162"/>
    <cellStyle name="Normal 4 27" xfId="172"/>
    <cellStyle name="Normal 4 28" xfId="160"/>
    <cellStyle name="Normal 4 29" xfId="179"/>
    <cellStyle name="Normal 4 3" xfId="108"/>
    <cellStyle name="Normal 4 30" xfId="170"/>
    <cellStyle name="Normal 4 31" xfId="165"/>
    <cellStyle name="Normal 4 32" xfId="185"/>
    <cellStyle name="Normal 4 33" xfId="189"/>
    <cellStyle name="Normal 4 34" xfId="196"/>
    <cellStyle name="Normal 4 35" xfId="59"/>
    <cellStyle name="Normal 4 4" xfId="74"/>
    <cellStyle name="Normal 4 5" xfId="90"/>
    <cellStyle name="Normal 4 6" xfId="114"/>
    <cellStyle name="Normal 4 7" xfId="117"/>
    <cellStyle name="Normal 4 8" xfId="120"/>
    <cellStyle name="Normal 4 9" xfId="121"/>
    <cellStyle name="Normal 5" xfId="13"/>
    <cellStyle name="Normal 6" xfId="14"/>
    <cellStyle name="Normal 8" xfId="15"/>
    <cellStyle name="Normal 9" xfId="16"/>
    <cellStyle name="Notas 2" xfId="60"/>
    <cellStyle name="Notas 2 2" xfId="197"/>
    <cellStyle name="Output" xfId="26" builtinId="21" customBuiltin="1"/>
    <cellStyle name="Percent" xfId="201" builtinId="5"/>
    <cellStyle name="Percent 2" xfId="192"/>
    <cellStyle name="Porcentaje 2" xfId="198"/>
    <cellStyle name="Porcentual 2" xfId="61"/>
    <cellStyle name="Porcentual 2 10" xfId="70"/>
    <cellStyle name="Porcentual 2 11" xfId="96"/>
    <cellStyle name="Porcentual 2 12" xfId="124"/>
    <cellStyle name="Porcentual 2 13" xfId="87"/>
    <cellStyle name="Porcentual 2 14" xfId="135"/>
    <cellStyle name="Porcentual 2 15" xfId="131"/>
    <cellStyle name="Porcentual 2 16" xfId="143"/>
    <cellStyle name="Porcentual 2 17" xfId="148"/>
    <cellStyle name="Porcentual 2 18" xfId="150"/>
    <cellStyle name="Porcentual 2 19" xfId="86"/>
    <cellStyle name="Porcentual 2 2" xfId="97"/>
    <cellStyle name="Porcentual 2 20" xfId="149"/>
    <cellStyle name="Porcentual 2 21" xfId="138"/>
    <cellStyle name="Porcentual 2 22" xfId="159"/>
    <cellStyle name="Porcentual 2 23" xfId="139"/>
    <cellStyle name="Porcentual 2 24" xfId="115"/>
    <cellStyle name="Porcentual 2 25" xfId="166"/>
    <cellStyle name="Porcentual 2 26" xfId="171"/>
    <cellStyle name="Porcentual 2 27" xfId="173"/>
    <cellStyle name="Porcentual 2 28" xfId="78"/>
    <cellStyle name="Porcentual 2 29" xfId="178"/>
    <cellStyle name="Porcentual 2 3" xfId="109"/>
    <cellStyle name="Porcentual 2 30" xfId="181"/>
    <cellStyle name="Porcentual 2 31" xfId="182"/>
    <cellStyle name="Porcentual 2 32" xfId="186"/>
    <cellStyle name="Porcentual 2 33" xfId="190"/>
    <cellStyle name="Porcentual 2 34" xfId="199"/>
    <cellStyle name="Porcentual 2 4" xfId="71"/>
    <cellStyle name="Porcentual 2 5" xfId="63"/>
    <cellStyle name="Porcentual 2 6" xfId="112"/>
    <cellStyle name="Porcentual 2 7" xfId="100"/>
    <cellStyle name="Porcentual 2 8" xfId="65"/>
    <cellStyle name="Porcentual 2 9" xfId="105"/>
    <cellStyle name="Title" xfId="17" builtinId="15" customBuiltin="1"/>
    <cellStyle name="Total" xfId="32" builtinId="25" customBuiltin="1"/>
    <cellStyle name="Warning Text" xfId="3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.%20Infraestructura%20Costa%20Rica%20CR-L1043/DIEE_2011_CASOS%20FIDEICOMISO_RESUMEN-TOTAL-ETAPAS_07-03-12-02Car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lación proyección SPSS"/>
      <sheetName val="inflación serie original"/>
      <sheetName val="RESUMEN=TIPO-CANTÓN"/>
      <sheetName val="CENTROS EDUCATIVOS"/>
      <sheetName val="TV_LICEOS RURALES"/>
      <sheetName val="CANCHAS MULTIUSOS"/>
      <sheetName val="LISTA TOTAL"/>
      <sheetName val="ETAPAS FIDEICOMISO"/>
      <sheetName val="cuadro resumen"/>
      <sheetName val="CRITE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B9">
            <v>0.05</v>
          </cell>
          <cell r="C9">
            <v>0.04</v>
          </cell>
          <cell r="D9">
            <v>0.05</v>
          </cell>
          <cell r="E9">
            <v>0.05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workbookViewId="0"/>
  </sheetViews>
  <sheetFormatPr defaultRowHeight="15" x14ac:dyDescent="0.25"/>
  <cols>
    <col min="1" max="1" width="38.7109375" style="1" bestFit="1" customWidth="1"/>
    <col min="2" max="2" width="17.7109375" style="2" customWidth="1"/>
    <col min="3" max="3" width="17.7109375" style="3" customWidth="1"/>
    <col min="4" max="4" width="17.7109375" style="1" customWidth="1"/>
    <col min="5" max="6" width="19.140625" style="2" customWidth="1"/>
    <col min="7" max="7" width="17.7109375" style="4" customWidth="1"/>
    <col min="8" max="8" width="17.7109375" style="4" bestFit="1" customWidth="1"/>
    <col min="9" max="9" width="19.140625" style="4" bestFit="1" customWidth="1"/>
    <col min="10" max="10" width="17.7109375" style="4" bestFit="1" customWidth="1"/>
    <col min="11" max="11" width="15.42578125" style="4" bestFit="1" customWidth="1"/>
    <col min="12" max="12" width="19.7109375" style="4" bestFit="1" customWidth="1"/>
    <col min="13" max="16384" width="9.140625" style="5"/>
  </cols>
  <sheetData>
    <row r="2" spans="1:12" x14ac:dyDescent="0.25">
      <c r="A2" s="1" t="s">
        <v>26</v>
      </c>
      <c r="L2" s="4" t="s">
        <v>27</v>
      </c>
    </row>
    <row r="3" spans="1:12" ht="30" x14ac:dyDescent="0.25">
      <c r="A3" s="6"/>
      <c r="B3" s="7" t="s">
        <v>28</v>
      </c>
      <c r="C3" s="8" t="s">
        <v>29</v>
      </c>
      <c r="D3" s="9" t="s">
        <v>30</v>
      </c>
      <c r="E3" s="7" t="s">
        <v>31</v>
      </c>
      <c r="F3" s="7" t="s">
        <v>32</v>
      </c>
      <c r="G3" s="10" t="s">
        <v>33</v>
      </c>
      <c r="H3" s="11" t="s">
        <v>21</v>
      </c>
      <c r="I3" s="11" t="s">
        <v>22</v>
      </c>
      <c r="J3" s="11" t="s">
        <v>23</v>
      </c>
      <c r="K3" s="11" t="s">
        <v>24</v>
      </c>
    </row>
    <row r="4" spans="1:12" s="18" customFormat="1" ht="18.75" x14ac:dyDescent="0.3">
      <c r="A4" s="12" t="s">
        <v>34</v>
      </c>
      <c r="B4" s="13"/>
      <c r="C4" s="14"/>
      <c r="D4" s="15"/>
      <c r="E4" s="16">
        <f t="shared" ref="E4:K4" si="0">+E5+E22+E50</f>
        <v>32038123.120000001</v>
      </c>
      <c r="F4" s="16">
        <f t="shared" si="0"/>
        <v>30000000</v>
      </c>
      <c r="G4" s="16">
        <f t="shared" si="0"/>
        <v>2038123.12</v>
      </c>
      <c r="H4" s="13">
        <f t="shared" si="0"/>
        <v>9586280.9359999988</v>
      </c>
      <c r="I4" s="13">
        <f t="shared" si="0"/>
        <v>12185558.248</v>
      </c>
      <c r="J4" s="13">
        <f t="shared" si="0"/>
        <v>9566515.9359999988</v>
      </c>
      <c r="K4" s="13">
        <f t="shared" si="0"/>
        <v>699768</v>
      </c>
      <c r="L4" s="17">
        <f>SUM(H4:K4)</f>
        <v>32038123.119999997</v>
      </c>
    </row>
    <row r="5" spans="1:12" ht="30.75" x14ac:dyDescent="0.3">
      <c r="A5" s="19" t="s">
        <v>25</v>
      </c>
      <c r="C5" s="3">
        <f>SUM(F12:F13)</f>
        <v>2836376.7</v>
      </c>
      <c r="D5" s="20"/>
      <c r="E5" s="21">
        <f t="shared" ref="E5:J5" si="1">+E6+E10+E11+E12+E13+E21</f>
        <v>27560823.120000001</v>
      </c>
      <c r="F5" s="21">
        <f t="shared" si="1"/>
        <v>26898540</v>
      </c>
      <c r="G5" s="21">
        <f t="shared" si="1"/>
        <v>662283.12</v>
      </c>
      <c r="H5" s="21">
        <f t="shared" si="1"/>
        <v>8075586.9359999988</v>
      </c>
      <c r="I5" s="21">
        <f t="shared" si="1"/>
        <v>11024329.248</v>
      </c>
      <c r="J5" s="21">
        <f t="shared" si="1"/>
        <v>8460906.9359999988</v>
      </c>
      <c r="K5" s="4">
        <v>0</v>
      </c>
      <c r="L5" s="17">
        <f t="shared" ref="L5:L53" si="2">SUM(H5:K5)</f>
        <v>27560823.119999997</v>
      </c>
    </row>
    <row r="6" spans="1:12" ht="18.75" x14ac:dyDescent="0.3">
      <c r="A6" s="22" t="s">
        <v>35</v>
      </c>
      <c r="B6" s="23"/>
      <c r="C6" s="24"/>
      <c r="D6" s="25"/>
      <c r="E6" s="23">
        <f t="shared" ref="E6:J6" si="3">SUM(E7:E9)</f>
        <v>19468767</v>
      </c>
      <c r="F6" s="23">
        <f t="shared" si="3"/>
        <v>19468767</v>
      </c>
      <c r="G6" s="23">
        <f t="shared" si="3"/>
        <v>0</v>
      </c>
      <c r="H6" s="23">
        <f t="shared" si="3"/>
        <v>5840630.0999999996</v>
      </c>
      <c r="I6" s="23">
        <f t="shared" si="3"/>
        <v>7787506.8000000007</v>
      </c>
      <c r="J6" s="23">
        <f t="shared" si="3"/>
        <v>5840630.0999999996</v>
      </c>
      <c r="K6" s="4">
        <v>0</v>
      </c>
      <c r="L6" s="17">
        <f t="shared" si="2"/>
        <v>19468767</v>
      </c>
    </row>
    <row r="7" spans="1:12" ht="18.75" x14ac:dyDescent="0.3">
      <c r="A7" s="26" t="s">
        <v>36</v>
      </c>
      <c r="B7" s="4">
        <v>6906109</v>
      </c>
      <c r="C7" s="3" t="s">
        <v>37</v>
      </c>
      <c r="D7" s="1">
        <v>1</v>
      </c>
      <c r="E7" s="2">
        <f>+B7*D7</f>
        <v>6906109</v>
      </c>
      <c r="F7" s="2">
        <f t="shared" ref="F7:F20" si="4">+E7</f>
        <v>6906109</v>
      </c>
      <c r="G7" s="4">
        <v>0</v>
      </c>
      <c r="H7" s="4">
        <f t="shared" ref="H7:H12" si="5">+E7*0.3</f>
        <v>2071832.7</v>
      </c>
      <c r="I7" s="4">
        <f t="shared" ref="I7:I12" si="6">+E7*0.4</f>
        <v>2762443.6</v>
      </c>
      <c r="J7" s="4">
        <f t="shared" ref="J7:J12" si="7">+E7*0.3</f>
        <v>2071832.7</v>
      </c>
      <c r="K7" s="4">
        <v>0</v>
      </c>
      <c r="L7" s="17">
        <f t="shared" si="2"/>
        <v>6906109</v>
      </c>
    </row>
    <row r="8" spans="1:12" ht="18.75" x14ac:dyDescent="0.3">
      <c r="A8" s="26" t="s">
        <v>38</v>
      </c>
      <c r="B8" s="2">
        <v>6241116</v>
      </c>
      <c r="C8" s="3" t="s">
        <v>37</v>
      </c>
      <c r="D8" s="1">
        <v>1</v>
      </c>
      <c r="E8" s="2">
        <f>+B8*D8</f>
        <v>6241116</v>
      </c>
      <c r="F8" s="2">
        <f t="shared" si="4"/>
        <v>6241116</v>
      </c>
      <c r="G8" s="4">
        <v>0</v>
      </c>
      <c r="H8" s="4">
        <f t="shared" si="5"/>
        <v>1872334.8</v>
      </c>
      <c r="I8" s="4">
        <f t="shared" si="6"/>
        <v>2496446.4</v>
      </c>
      <c r="J8" s="4">
        <f t="shared" si="7"/>
        <v>1872334.8</v>
      </c>
      <c r="K8" s="4">
        <v>0</v>
      </c>
      <c r="L8" s="17">
        <f t="shared" si="2"/>
        <v>6241116</v>
      </c>
    </row>
    <row r="9" spans="1:12" ht="18.75" x14ac:dyDescent="0.3">
      <c r="A9" s="26" t="s">
        <v>39</v>
      </c>
      <c r="B9" s="2">
        <v>6321542</v>
      </c>
      <c r="C9" s="3" t="s">
        <v>37</v>
      </c>
      <c r="D9" s="1">
        <v>1</v>
      </c>
      <c r="E9" s="2">
        <f>+B9*D9</f>
        <v>6321542</v>
      </c>
      <c r="F9" s="2">
        <f t="shared" si="4"/>
        <v>6321542</v>
      </c>
      <c r="G9" s="4">
        <v>0</v>
      </c>
      <c r="H9" s="4">
        <f t="shared" si="5"/>
        <v>1896462.5999999999</v>
      </c>
      <c r="I9" s="4">
        <f t="shared" si="6"/>
        <v>2528616.8000000003</v>
      </c>
      <c r="J9" s="4">
        <f t="shared" si="7"/>
        <v>1896462.5999999999</v>
      </c>
      <c r="K9" s="4">
        <v>0</v>
      </c>
      <c r="L9" s="17">
        <f t="shared" si="2"/>
        <v>6321542</v>
      </c>
    </row>
    <row r="10" spans="1:12" ht="18.75" x14ac:dyDescent="0.3">
      <c r="A10" s="22" t="s">
        <v>40</v>
      </c>
      <c r="B10" s="23">
        <f>0.05*E6</f>
        <v>973438.35000000009</v>
      </c>
      <c r="C10" s="24" t="s">
        <v>41</v>
      </c>
      <c r="D10" s="25">
        <v>3</v>
      </c>
      <c r="E10" s="23">
        <f>+B10</f>
        <v>973438.35000000009</v>
      </c>
      <c r="F10" s="2">
        <v>504955.23</v>
      </c>
      <c r="G10" s="4">
        <v>468483.12</v>
      </c>
      <c r="H10" s="27">
        <f t="shared" si="5"/>
        <v>292031.505</v>
      </c>
      <c r="I10" s="27">
        <f t="shared" si="6"/>
        <v>389375.34000000008</v>
      </c>
      <c r="J10" s="27">
        <f t="shared" si="7"/>
        <v>292031.505</v>
      </c>
      <c r="K10" s="4">
        <v>0</v>
      </c>
      <c r="L10" s="17">
        <f t="shared" si="2"/>
        <v>973438.35000000009</v>
      </c>
    </row>
    <row r="11" spans="1:12" ht="18.75" x14ac:dyDescent="0.3">
      <c r="A11" s="22" t="s">
        <v>42</v>
      </c>
      <c r="B11" s="23">
        <f>7%*E6</f>
        <v>1362813.6900000002</v>
      </c>
      <c r="C11" s="24" t="s">
        <v>43</v>
      </c>
      <c r="D11" s="25">
        <v>3</v>
      </c>
      <c r="E11" s="23">
        <f>+B11*D11</f>
        <v>4088441.0700000003</v>
      </c>
      <c r="F11" s="23">
        <f t="shared" si="4"/>
        <v>4088441.0700000003</v>
      </c>
      <c r="G11" s="4">
        <v>0</v>
      </c>
      <c r="H11" s="27">
        <f t="shared" si="5"/>
        <v>1226532.321</v>
      </c>
      <c r="I11" s="27">
        <f t="shared" si="6"/>
        <v>1635376.4280000003</v>
      </c>
      <c r="J11" s="27">
        <f t="shared" si="7"/>
        <v>1226532.321</v>
      </c>
      <c r="K11" s="4">
        <v>0</v>
      </c>
      <c r="L11" s="17">
        <f t="shared" si="2"/>
        <v>4088441.0700000003</v>
      </c>
    </row>
    <row r="12" spans="1:12" ht="18.75" x14ac:dyDescent="0.3">
      <c r="A12" s="28" t="s">
        <v>44</v>
      </c>
      <c r="B12" s="23">
        <f>10%*E6</f>
        <v>1946876.7000000002</v>
      </c>
      <c r="C12" s="24" t="s">
        <v>45</v>
      </c>
      <c r="D12" s="28">
        <v>1</v>
      </c>
      <c r="E12" s="23">
        <f>+B12*D12</f>
        <v>1946876.7000000002</v>
      </c>
      <c r="F12" s="23">
        <f t="shared" si="4"/>
        <v>1946876.7000000002</v>
      </c>
      <c r="G12" s="4">
        <v>0</v>
      </c>
      <c r="H12" s="27">
        <f t="shared" si="5"/>
        <v>584063.01</v>
      </c>
      <c r="I12" s="27">
        <f t="shared" si="6"/>
        <v>778750.68000000017</v>
      </c>
      <c r="J12" s="27">
        <f t="shared" si="7"/>
        <v>584063.01</v>
      </c>
      <c r="K12" s="4">
        <v>0</v>
      </c>
      <c r="L12" s="17">
        <f t="shared" si="2"/>
        <v>1946876.7000000002</v>
      </c>
    </row>
    <row r="13" spans="1:12" ht="18.75" x14ac:dyDescent="0.3">
      <c r="A13" s="22" t="s">
        <v>46</v>
      </c>
      <c r="B13" s="23"/>
      <c r="C13" s="23"/>
      <c r="D13" s="23"/>
      <c r="E13" s="23">
        <f t="shared" ref="E13:J13" si="8">SUM(E14:E20)</f>
        <v>1023300</v>
      </c>
      <c r="F13" s="23">
        <f t="shared" si="8"/>
        <v>889500</v>
      </c>
      <c r="G13" s="23">
        <f t="shared" si="8"/>
        <v>133800</v>
      </c>
      <c r="H13" s="27">
        <f t="shared" si="8"/>
        <v>102330</v>
      </c>
      <c r="I13" s="27">
        <f t="shared" si="8"/>
        <v>409320</v>
      </c>
      <c r="J13" s="27">
        <f t="shared" si="8"/>
        <v>511650</v>
      </c>
      <c r="K13" s="4">
        <v>0</v>
      </c>
      <c r="L13" s="17">
        <f t="shared" si="2"/>
        <v>1023300</v>
      </c>
    </row>
    <row r="14" spans="1:12" ht="18.75" x14ac:dyDescent="0.3">
      <c r="A14" s="26" t="s">
        <v>47</v>
      </c>
      <c r="B14" s="2">
        <v>94500</v>
      </c>
      <c r="C14" s="3" t="s">
        <v>48</v>
      </c>
      <c r="D14" s="25">
        <v>3</v>
      </c>
      <c r="E14" s="2">
        <f>+B14*D14</f>
        <v>283500</v>
      </c>
      <c r="F14" s="2">
        <f t="shared" si="4"/>
        <v>283500</v>
      </c>
      <c r="G14" s="4">
        <v>0</v>
      </c>
      <c r="H14" s="4">
        <f>+E14*0.1</f>
        <v>28350</v>
      </c>
      <c r="I14" s="4">
        <f>+E14*0.4</f>
        <v>113400</v>
      </c>
      <c r="J14" s="4">
        <f t="shared" ref="J14:J20" si="9">+E14*0.5</f>
        <v>141750</v>
      </c>
      <c r="K14" s="4">
        <v>0</v>
      </c>
      <c r="L14" s="17">
        <f t="shared" si="2"/>
        <v>283500</v>
      </c>
    </row>
    <row r="15" spans="1:12" ht="18.75" x14ac:dyDescent="0.3">
      <c r="A15" s="26" t="s">
        <v>49</v>
      </c>
      <c r="B15" s="2">
        <v>9600</v>
      </c>
      <c r="C15" s="3" t="s">
        <v>50</v>
      </c>
      <c r="D15" s="25">
        <v>3</v>
      </c>
      <c r="E15" s="2">
        <f t="shared" ref="E15:E21" si="10">+B15*D15</f>
        <v>28800</v>
      </c>
      <c r="F15" s="2">
        <v>0</v>
      </c>
      <c r="G15" s="2">
        <f>+E15</f>
        <v>28800</v>
      </c>
      <c r="H15" s="4">
        <f t="shared" ref="H15:H20" si="11">+E15*0.1</f>
        <v>2880</v>
      </c>
      <c r="I15" s="4">
        <f t="shared" ref="I15:I20" si="12">+E15*0.4</f>
        <v>11520</v>
      </c>
      <c r="J15" s="4">
        <f t="shared" si="9"/>
        <v>14400</v>
      </c>
      <c r="K15" s="4">
        <v>0</v>
      </c>
      <c r="L15" s="17">
        <f t="shared" si="2"/>
        <v>28800</v>
      </c>
    </row>
    <row r="16" spans="1:12" ht="18.75" x14ac:dyDescent="0.3">
      <c r="A16" s="26" t="s">
        <v>51</v>
      </c>
      <c r="B16" s="2">
        <v>800</v>
      </c>
      <c r="C16" s="3" t="s">
        <v>52</v>
      </c>
      <c r="D16" s="25">
        <v>45</v>
      </c>
      <c r="E16" s="2">
        <f t="shared" si="10"/>
        <v>36000</v>
      </c>
      <c r="F16" s="2">
        <v>0</v>
      </c>
      <c r="G16" s="2">
        <f>+E16</f>
        <v>36000</v>
      </c>
      <c r="H16" s="4">
        <f t="shared" si="11"/>
        <v>3600</v>
      </c>
      <c r="I16" s="4">
        <f t="shared" si="12"/>
        <v>14400</v>
      </c>
      <c r="J16" s="4">
        <f t="shared" si="9"/>
        <v>18000</v>
      </c>
      <c r="K16" s="4">
        <v>0</v>
      </c>
      <c r="L16" s="17">
        <f t="shared" si="2"/>
        <v>36000</v>
      </c>
    </row>
    <row r="17" spans="1:12" ht="18.75" x14ac:dyDescent="0.3">
      <c r="A17" s="26" t="s">
        <v>53</v>
      </c>
      <c r="B17" s="2">
        <v>200</v>
      </c>
      <c r="C17" s="3" t="s">
        <v>54</v>
      </c>
      <c r="D17" s="25">
        <v>45</v>
      </c>
      <c r="E17" s="2">
        <f t="shared" si="10"/>
        <v>9000</v>
      </c>
      <c r="F17" s="2">
        <v>0</v>
      </c>
      <c r="G17" s="4">
        <v>9000</v>
      </c>
      <c r="H17" s="4">
        <f t="shared" si="11"/>
        <v>900</v>
      </c>
      <c r="I17" s="4">
        <f t="shared" si="12"/>
        <v>3600</v>
      </c>
      <c r="J17" s="4">
        <f t="shared" si="9"/>
        <v>4500</v>
      </c>
      <c r="K17" s="4">
        <v>0</v>
      </c>
      <c r="L17" s="17">
        <f t="shared" si="2"/>
        <v>9000</v>
      </c>
    </row>
    <row r="18" spans="1:12" ht="18.75" x14ac:dyDescent="0.3">
      <c r="A18" s="26" t="s">
        <v>55</v>
      </c>
      <c r="B18" s="2">
        <v>20000</v>
      </c>
      <c r="C18" s="3" t="s">
        <v>56</v>
      </c>
      <c r="D18" s="25">
        <v>3</v>
      </c>
      <c r="E18" s="2">
        <f t="shared" si="10"/>
        <v>60000</v>
      </c>
      <c r="F18" s="2">
        <v>0</v>
      </c>
      <c r="G18" s="4">
        <v>60000</v>
      </c>
      <c r="H18" s="4">
        <f t="shared" si="11"/>
        <v>6000</v>
      </c>
      <c r="I18" s="4">
        <f t="shared" si="12"/>
        <v>24000</v>
      </c>
      <c r="J18" s="4">
        <f t="shared" si="9"/>
        <v>30000</v>
      </c>
      <c r="K18" s="4">
        <v>0</v>
      </c>
      <c r="L18" s="17">
        <f t="shared" si="2"/>
        <v>60000</v>
      </c>
    </row>
    <row r="19" spans="1:12" ht="18.75" x14ac:dyDescent="0.3">
      <c r="A19" s="26" t="s">
        <v>57</v>
      </c>
      <c r="B19" s="2">
        <v>82000</v>
      </c>
      <c r="C19" s="3" t="s">
        <v>56</v>
      </c>
      <c r="D19" s="25">
        <v>3</v>
      </c>
      <c r="E19" s="2">
        <f t="shared" si="10"/>
        <v>246000</v>
      </c>
      <c r="F19" s="2">
        <f t="shared" si="4"/>
        <v>246000</v>
      </c>
      <c r="G19" s="4">
        <v>0</v>
      </c>
      <c r="H19" s="4">
        <f t="shared" si="11"/>
        <v>24600</v>
      </c>
      <c r="I19" s="4">
        <f t="shared" si="12"/>
        <v>98400</v>
      </c>
      <c r="J19" s="4">
        <f t="shared" si="9"/>
        <v>123000</v>
      </c>
      <c r="K19" s="4">
        <v>0</v>
      </c>
      <c r="L19" s="17">
        <f t="shared" si="2"/>
        <v>246000</v>
      </c>
    </row>
    <row r="20" spans="1:12" ht="18.75" x14ac:dyDescent="0.3">
      <c r="A20" s="26" t="s">
        <v>58</v>
      </c>
      <c r="B20" s="2">
        <v>120000</v>
      </c>
      <c r="C20" s="3" t="s">
        <v>56</v>
      </c>
      <c r="D20" s="25">
        <v>3</v>
      </c>
      <c r="E20" s="2">
        <f t="shared" si="10"/>
        <v>360000</v>
      </c>
      <c r="F20" s="2">
        <f t="shared" si="4"/>
        <v>360000</v>
      </c>
      <c r="G20" s="4">
        <v>0</v>
      </c>
      <c r="H20" s="4">
        <f t="shared" si="11"/>
        <v>36000</v>
      </c>
      <c r="I20" s="4">
        <f t="shared" si="12"/>
        <v>144000</v>
      </c>
      <c r="J20" s="4">
        <f t="shared" si="9"/>
        <v>180000</v>
      </c>
      <c r="K20" s="4">
        <v>0</v>
      </c>
      <c r="L20" s="17">
        <f t="shared" si="2"/>
        <v>360000</v>
      </c>
    </row>
    <row r="21" spans="1:12" s="28" customFormat="1" ht="30.75" x14ac:dyDescent="0.3">
      <c r="A21" s="22" t="s">
        <v>59</v>
      </c>
      <c r="B21" s="23">
        <v>4000</v>
      </c>
      <c r="C21" s="24" t="s">
        <v>60</v>
      </c>
      <c r="D21" s="25">
        <v>15</v>
      </c>
      <c r="E21" s="23">
        <f t="shared" si="10"/>
        <v>60000</v>
      </c>
      <c r="F21" s="23">
        <v>0</v>
      </c>
      <c r="G21" s="27">
        <v>60000</v>
      </c>
      <c r="H21" s="27">
        <f>+E21*0.5</f>
        <v>30000</v>
      </c>
      <c r="I21" s="27">
        <f>+E21*0.4</f>
        <v>24000</v>
      </c>
      <c r="J21" s="27">
        <f>+E21*0.1</f>
        <v>6000</v>
      </c>
      <c r="K21" s="27"/>
      <c r="L21" s="29">
        <f t="shared" si="2"/>
        <v>60000</v>
      </c>
    </row>
    <row r="22" spans="1:12" ht="30" x14ac:dyDescent="0.3">
      <c r="A22" s="30" t="s">
        <v>61</v>
      </c>
      <c r="E22" s="21">
        <f>+E23+E37+E43</f>
        <v>2377300</v>
      </c>
      <c r="F22" s="21">
        <f t="shared" ref="F22:K22" si="13">+F23+F37+F43</f>
        <v>1701460</v>
      </c>
      <c r="G22" s="21">
        <f t="shared" si="13"/>
        <v>675840</v>
      </c>
      <c r="H22" s="21">
        <f t="shared" si="13"/>
        <v>943694</v>
      </c>
      <c r="I22" s="21">
        <f t="shared" si="13"/>
        <v>594229</v>
      </c>
      <c r="J22" s="21">
        <f t="shared" si="13"/>
        <v>538609</v>
      </c>
      <c r="K22" s="21">
        <f t="shared" si="13"/>
        <v>300768</v>
      </c>
      <c r="L22" s="17">
        <f t="shared" si="2"/>
        <v>2377300</v>
      </c>
    </row>
    <row r="23" spans="1:12" ht="30.75" x14ac:dyDescent="0.3">
      <c r="A23" s="22" t="s">
        <v>62</v>
      </c>
      <c r="E23" s="23">
        <f>SUM(E24:E36)</f>
        <v>1222400</v>
      </c>
      <c r="F23" s="23">
        <f t="shared" ref="F23:K23" si="14">SUM(F24:F36)</f>
        <v>1111160</v>
      </c>
      <c r="G23" s="23">
        <f t="shared" si="14"/>
        <v>111240</v>
      </c>
      <c r="H23" s="23">
        <f t="shared" si="14"/>
        <v>555642</v>
      </c>
      <c r="I23" s="23">
        <f t="shared" si="14"/>
        <v>333410</v>
      </c>
      <c r="J23" s="23">
        <f t="shared" si="14"/>
        <v>277790</v>
      </c>
      <c r="K23" s="23">
        <f t="shared" si="14"/>
        <v>55558</v>
      </c>
      <c r="L23" s="17">
        <f t="shared" si="2"/>
        <v>1222400</v>
      </c>
    </row>
    <row r="24" spans="1:12" ht="45" x14ac:dyDescent="0.3">
      <c r="A24" s="31" t="s">
        <v>16</v>
      </c>
      <c r="B24" s="32">
        <v>65000</v>
      </c>
      <c r="C24" s="33" t="s">
        <v>63</v>
      </c>
      <c r="D24" s="1">
        <v>4</v>
      </c>
      <c r="E24" s="2">
        <f>+B24*D24</f>
        <v>260000</v>
      </c>
      <c r="F24" s="2">
        <f>+E24</f>
        <v>260000</v>
      </c>
      <c r="G24" s="4">
        <v>0</v>
      </c>
      <c r="H24" s="4">
        <f>+$E24*0.45</f>
        <v>117000</v>
      </c>
      <c r="I24" s="4">
        <f t="shared" ref="I24:J36" si="15">+$E24*0.25</f>
        <v>65000</v>
      </c>
      <c r="J24" s="4">
        <f t="shared" si="15"/>
        <v>65000</v>
      </c>
      <c r="K24" s="4">
        <f>+$E24*0.05</f>
        <v>13000</v>
      </c>
      <c r="L24" s="17">
        <f t="shared" si="2"/>
        <v>260000</v>
      </c>
    </row>
    <row r="25" spans="1:12" ht="30" x14ac:dyDescent="0.3">
      <c r="A25" s="34" t="s">
        <v>64</v>
      </c>
      <c r="B25" s="35">
        <v>142.5</v>
      </c>
      <c r="C25" s="36" t="s">
        <v>65</v>
      </c>
      <c r="D25" s="1">
        <v>528</v>
      </c>
      <c r="E25" s="2">
        <f t="shared" ref="E25:E49" si="16">+B25*D25</f>
        <v>75240</v>
      </c>
      <c r="G25" s="4">
        <f>+E25</f>
        <v>75240</v>
      </c>
      <c r="H25" s="4">
        <f>+$G25*0.5</f>
        <v>37620</v>
      </c>
      <c r="I25" s="4">
        <f>+$G25*0.5</f>
        <v>37620</v>
      </c>
      <c r="J25" s="4">
        <v>0</v>
      </c>
      <c r="K25" s="4">
        <v>0</v>
      </c>
      <c r="L25" s="17">
        <f t="shared" si="2"/>
        <v>75240</v>
      </c>
    </row>
    <row r="26" spans="1:12" ht="30" x14ac:dyDescent="0.3">
      <c r="A26" s="34" t="s">
        <v>7</v>
      </c>
      <c r="B26" s="35">
        <v>240</v>
      </c>
      <c r="C26" s="36" t="s">
        <v>65</v>
      </c>
      <c r="D26" s="1">
        <v>132</v>
      </c>
      <c r="E26" s="2">
        <f t="shared" si="16"/>
        <v>31680</v>
      </c>
      <c r="F26" s="2">
        <f>+E26</f>
        <v>31680</v>
      </c>
      <c r="G26" s="4">
        <v>0</v>
      </c>
      <c r="H26" s="4">
        <f t="shared" ref="H26:H36" si="17">+$E26*0.45</f>
        <v>14256</v>
      </c>
      <c r="I26" s="4">
        <f t="shared" si="15"/>
        <v>7920</v>
      </c>
      <c r="J26" s="4">
        <f t="shared" si="15"/>
        <v>7920</v>
      </c>
      <c r="K26" s="4">
        <f t="shared" ref="K26:K36" si="18">+$E26*0.05</f>
        <v>1584</v>
      </c>
      <c r="L26" s="17">
        <f t="shared" si="2"/>
        <v>31680</v>
      </c>
    </row>
    <row r="27" spans="1:12" ht="30" x14ac:dyDescent="0.3">
      <c r="A27" s="34" t="s">
        <v>66</v>
      </c>
      <c r="B27" s="37">
        <v>240</v>
      </c>
      <c r="C27" s="38" t="s">
        <v>65</v>
      </c>
      <c r="D27" s="1">
        <v>396</v>
      </c>
      <c r="E27" s="2">
        <f t="shared" si="16"/>
        <v>95040</v>
      </c>
      <c r="F27" s="2">
        <f t="shared" ref="F27:F36" si="19">+E27</f>
        <v>95040</v>
      </c>
      <c r="G27" s="4">
        <v>0</v>
      </c>
      <c r="H27" s="4">
        <f t="shared" si="17"/>
        <v>42768</v>
      </c>
      <c r="I27" s="4">
        <f t="shared" si="15"/>
        <v>23760</v>
      </c>
      <c r="J27" s="4">
        <f t="shared" si="15"/>
        <v>23760</v>
      </c>
      <c r="K27" s="4">
        <f t="shared" si="18"/>
        <v>4752</v>
      </c>
      <c r="L27" s="17">
        <f t="shared" si="2"/>
        <v>95040</v>
      </c>
    </row>
    <row r="28" spans="1:12" ht="30" x14ac:dyDescent="0.3">
      <c r="A28" s="34" t="s">
        <v>8</v>
      </c>
      <c r="B28" s="35">
        <v>142.5</v>
      </c>
      <c r="C28" s="36" t="s">
        <v>65</v>
      </c>
      <c r="D28" s="1">
        <v>1584</v>
      </c>
      <c r="E28" s="2">
        <f t="shared" si="16"/>
        <v>225720</v>
      </c>
      <c r="F28" s="2">
        <f t="shared" si="19"/>
        <v>225720</v>
      </c>
      <c r="G28" s="4">
        <v>0</v>
      </c>
      <c r="H28" s="4">
        <f t="shared" si="17"/>
        <v>101574</v>
      </c>
      <c r="I28" s="4">
        <f t="shared" si="15"/>
        <v>56430</v>
      </c>
      <c r="J28" s="4">
        <f t="shared" si="15"/>
        <v>56430</v>
      </c>
      <c r="K28" s="4">
        <f t="shared" si="18"/>
        <v>11286</v>
      </c>
      <c r="L28" s="17">
        <f t="shared" si="2"/>
        <v>225720</v>
      </c>
    </row>
    <row r="29" spans="1:12" ht="30" x14ac:dyDescent="0.3">
      <c r="A29" s="34" t="s">
        <v>9</v>
      </c>
      <c r="B29" s="35">
        <v>142.5</v>
      </c>
      <c r="C29" s="36" t="s">
        <v>65</v>
      </c>
      <c r="D29" s="1">
        <v>132</v>
      </c>
      <c r="E29" s="2">
        <f t="shared" si="16"/>
        <v>18810</v>
      </c>
      <c r="F29" s="2">
        <f t="shared" si="19"/>
        <v>18810</v>
      </c>
      <c r="G29" s="4">
        <v>0</v>
      </c>
      <c r="H29" s="4">
        <f t="shared" si="17"/>
        <v>8464.5</v>
      </c>
      <c r="I29" s="4">
        <f t="shared" si="15"/>
        <v>4702.5</v>
      </c>
      <c r="J29" s="4">
        <f t="shared" si="15"/>
        <v>4702.5</v>
      </c>
      <c r="K29" s="4">
        <f t="shared" si="18"/>
        <v>940.5</v>
      </c>
      <c r="L29" s="17">
        <f t="shared" si="2"/>
        <v>18810</v>
      </c>
    </row>
    <row r="30" spans="1:12" ht="30" x14ac:dyDescent="0.3">
      <c r="A30" s="34" t="s">
        <v>10</v>
      </c>
      <c r="B30" s="35">
        <v>142.5</v>
      </c>
      <c r="C30" s="36" t="s">
        <v>65</v>
      </c>
      <c r="D30" s="1">
        <v>396</v>
      </c>
      <c r="E30" s="2">
        <f t="shared" si="16"/>
        <v>56430</v>
      </c>
      <c r="F30" s="2">
        <f t="shared" si="19"/>
        <v>56430</v>
      </c>
      <c r="G30" s="4">
        <v>0</v>
      </c>
      <c r="H30" s="4">
        <f t="shared" si="17"/>
        <v>25393.5</v>
      </c>
      <c r="I30" s="4">
        <f t="shared" si="15"/>
        <v>14107.5</v>
      </c>
      <c r="J30" s="4">
        <f t="shared" si="15"/>
        <v>14107.5</v>
      </c>
      <c r="K30" s="4">
        <f t="shared" si="18"/>
        <v>2821.5</v>
      </c>
      <c r="L30" s="17">
        <f t="shared" si="2"/>
        <v>56430</v>
      </c>
    </row>
    <row r="31" spans="1:12" ht="30" x14ac:dyDescent="0.3">
      <c r="A31" s="34" t="s">
        <v>67</v>
      </c>
      <c r="B31" s="35">
        <v>500</v>
      </c>
      <c r="C31" s="36"/>
      <c r="D31" s="1">
        <v>628</v>
      </c>
      <c r="E31" s="2">
        <f t="shared" si="16"/>
        <v>314000</v>
      </c>
      <c r="F31" s="2">
        <f t="shared" si="19"/>
        <v>314000</v>
      </c>
      <c r="G31" s="4">
        <v>0</v>
      </c>
      <c r="H31" s="4">
        <f t="shared" si="17"/>
        <v>141300</v>
      </c>
      <c r="I31" s="4">
        <f t="shared" si="15"/>
        <v>78500</v>
      </c>
      <c r="J31" s="4">
        <f t="shared" si="15"/>
        <v>78500</v>
      </c>
      <c r="K31" s="4">
        <f t="shared" si="18"/>
        <v>15700</v>
      </c>
      <c r="L31" s="17">
        <f t="shared" si="2"/>
        <v>314000</v>
      </c>
    </row>
    <row r="32" spans="1:12" ht="45" x14ac:dyDescent="0.3">
      <c r="A32" s="34" t="s">
        <v>11</v>
      </c>
      <c r="B32" s="35">
        <v>1.75</v>
      </c>
      <c r="C32" s="36" t="s">
        <v>68</v>
      </c>
      <c r="D32" s="1">
        <v>20000</v>
      </c>
      <c r="E32" s="2">
        <f t="shared" si="16"/>
        <v>35000</v>
      </c>
      <c r="F32" s="2">
        <f t="shared" si="19"/>
        <v>35000</v>
      </c>
      <c r="G32" s="4">
        <v>0</v>
      </c>
      <c r="H32" s="4">
        <f t="shared" si="17"/>
        <v>15750</v>
      </c>
      <c r="I32" s="4">
        <f t="shared" si="15"/>
        <v>8750</v>
      </c>
      <c r="J32" s="4">
        <f t="shared" si="15"/>
        <v>8750</v>
      </c>
      <c r="K32" s="4">
        <f t="shared" si="18"/>
        <v>1750</v>
      </c>
      <c r="L32" s="17">
        <f t="shared" si="2"/>
        <v>35000</v>
      </c>
    </row>
    <row r="33" spans="1:12" ht="45" x14ac:dyDescent="0.3">
      <c r="A33" s="34" t="s">
        <v>12</v>
      </c>
      <c r="B33" s="35">
        <v>1.75</v>
      </c>
      <c r="C33" s="36" t="s">
        <v>68</v>
      </c>
      <c r="D33" s="1">
        <v>20000</v>
      </c>
      <c r="E33" s="2">
        <f t="shared" si="16"/>
        <v>35000</v>
      </c>
      <c r="F33" s="2">
        <f t="shared" si="19"/>
        <v>35000</v>
      </c>
      <c r="G33" s="4">
        <v>0</v>
      </c>
      <c r="H33" s="4">
        <f t="shared" si="17"/>
        <v>15750</v>
      </c>
      <c r="I33" s="4">
        <f t="shared" si="15"/>
        <v>8750</v>
      </c>
      <c r="J33" s="4">
        <f t="shared" si="15"/>
        <v>8750</v>
      </c>
      <c r="K33" s="4">
        <f t="shared" si="18"/>
        <v>1750</v>
      </c>
      <c r="L33" s="17">
        <f t="shared" si="2"/>
        <v>35000</v>
      </c>
    </row>
    <row r="34" spans="1:12" ht="18.75" x14ac:dyDescent="0.3">
      <c r="A34" s="34" t="s">
        <v>14</v>
      </c>
      <c r="B34" s="35">
        <v>7.9</v>
      </c>
      <c r="C34" s="36" t="s">
        <v>69</v>
      </c>
      <c r="D34" s="1">
        <v>1200</v>
      </c>
      <c r="E34" s="2">
        <f t="shared" si="16"/>
        <v>9480</v>
      </c>
      <c r="F34" s="2">
        <f t="shared" si="19"/>
        <v>9480</v>
      </c>
      <c r="H34" s="4">
        <f t="shared" si="17"/>
        <v>4266</v>
      </c>
      <c r="I34" s="4">
        <f t="shared" si="15"/>
        <v>2370</v>
      </c>
      <c r="J34" s="4">
        <f t="shared" si="15"/>
        <v>2370</v>
      </c>
      <c r="K34" s="4">
        <f t="shared" si="18"/>
        <v>474</v>
      </c>
      <c r="L34" s="17">
        <f t="shared" si="2"/>
        <v>9480</v>
      </c>
    </row>
    <row r="35" spans="1:12" ht="18.75" x14ac:dyDescent="0.3">
      <c r="A35" s="34" t="s">
        <v>70</v>
      </c>
      <c r="B35" s="35">
        <f>48000*0.25</f>
        <v>12000</v>
      </c>
      <c r="C35" s="36" t="s">
        <v>71</v>
      </c>
      <c r="D35" s="1">
        <v>3</v>
      </c>
      <c r="E35" s="2">
        <f t="shared" si="16"/>
        <v>36000</v>
      </c>
      <c r="G35" s="4">
        <f>+E35</f>
        <v>36000</v>
      </c>
      <c r="H35" s="4">
        <f>+$G35*0.5</f>
        <v>18000</v>
      </c>
      <c r="I35" s="4">
        <f>+$G35*0.5</f>
        <v>18000</v>
      </c>
      <c r="J35" s="4">
        <v>0</v>
      </c>
      <c r="K35" s="4">
        <v>0</v>
      </c>
      <c r="L35" s="17">
        <f t="shared" si="2"/>
        <v>36000</v>
      </c>
    </row>
    <row r="36" spans="1:12" ht="18.75" x14ac:dyDescent="0.3">
      <c r="A36" s="34" t="s">
        <v>15</v>
      </c>
      <c r="B36" s="35">
        <v>200</v>
      </c>
      <c r="C36" s="36" t="s">
        <v>72</v>
      </c>
      <c r="D36" s="1">
        <v>150</v>
      </c>
      <c r="E36" s="2">
        <f t="shared" si="16"/>
        <v>30000</v>
      </c>
      <c r="F36" s="2">
        <f t="shared" si="19"/>
        <v>30000</v>
      </c>
      <c r="H36" s="4">
        <f t="shared" si="17"/>
        <v>13500</v>
      </c>
      <c r="I36" s="4">
        <f t="shared" si="15"/>
        <v>7500</v>
      </c>
      <c r="J36" s="4">
        <f t="shared" si="15"/>
        <v>7500</v>
      </c>
      <c r="K36" s="4">
        <f t="shared" si="18"/>
        <v>1500</v>
      </c>
      <c r="L36" s="17">
        <f t="shared" si="2"/>
        <v>30000</v>
      </c>
    </row>
    <row r="37" spans="1:12" s="28" customFormat="1" ht="30" x14ac:dyDescent="0.3">
      <c r="A37" s="39" t="s">
        <v>73</v>
      </c>
      <c r="B37" s="40"/>
      <c r="C37" s="41"/>
      <c r="D37" s="25"/>
      <c r="E37" s="23">
        <f t="shared" ref="E37:K37" si="20">SUM(E38:E42)</f>
        <v>634600</v>
      </c>
      <c r="F37" s="23">
        <f t="shared" si="20"/>
        <v>70000</v>
      </c>
      <c r="G37" s="23">
        <f t="shared" si="20"/>
        <v>564600</v>
      </c>
      <c r="H37" s="23">
        <f t="shared" si="20"/>
        <v>211150</v>
      </c>
      <c r="I37" s="23">
        <f t="shared" si="20"/>
        <v>141150</v>
      </c>
      <c r="J37" s="23">
        <f t="shared" si="20"/>
        <v>141150</v>
      </c>
      <c r="K37" s="23">
        <f t="shared" si="20"/>
        <v>141150</v>
      </c>
      <c r="L37" s="17">
        <f t="shared" si="2"/>
        <v>634600</v>
      </c>
    </row>
    <row r="38" spans="1:12" ht="30" x14ac:dyDescent="0.3">
      <c r="A38" s="34" t="s">
        <v>17</v>
      </c>
      <c r="B38" s="35">
        <v>50000</v>
      </c>
      <c r="C38" s="36" t="s">
        <v>74</v>
      </c>
      <c r="D38" s="1">
        <v>1</v>
      </c>
      <c r="E38" s="2">
        <f t="shared" si="16"/>
        <v>50000</v>
      </c>
      <c r="F38" s="2">
        <f>+E38</f>
        <v>50000</v>
      </c>
      <c r="G38" s="4">
        <v>0</v>
      </c>
      <c r="H38" s="4">
        <f>+E38*1</f>
        <v>50000</v>
      </c>
      <c r="L38" s="17">
        <f t="shared" si="2"/>
        <v>50000</v>
      </c>
    </row>
    <row r="39" spans="1:12" ht="30" x14ac:dyDescent="0.3">
      <c r="A39" s="34" t="s">
        <v>18</v>
      </c>
      <c r="B39" s="35">
        <v>20000</v>
      </c>
      <c r="C39" s="36" t="s">
        <v>74</v>
      </c>
      <c r="D39" s="1">
        <v>1</v>
      </c>
      <c r="E39" s="2">
        <f t="shared" si="16"/>
        <v>20000</v>
      </c>
      <c r="F39" s="2">
        <f>+E39</f>
        <v>20000</v>
      </c>
      <c r="G39" s="4">
        <v>0</v>
      </c>
      <c r="H39" s="4">
        <f>+E39*1</f>
        <v>20000</v>
      </c>
      <c r="L39" s="17">
        <f t="shared" si="2"/>
        <v>20000</v>
      </c>
    </row>
    <row r="40" spans="1:12" ht="30" x14ac:dyDescent="0.3">
      <c r="A40" s="34" t="s">
        <v>75</v>
      </c>
      <c r="B40" s="42">
        <v>4000</v>
      </c>
      <c r="C40" s="36" t="s">
        <v>60</v>
      </c>
      <c r="D40" s="1">
        <v>40</v>
      </c>
      <c r="E40" s="2">
        <f t="shared" si="16"/>
        <v>160000</v>
      </c>
      <c r="F40" s="2">
        <v>0</v>
      </c>
      <c r="G40" s="4">
        <f>+E40</f>
        <v>160000</v>
      </c>
      <c r="H40" s="4">
        <f>+$E40/4</f>
        <v>40000</v>
      </c>
      <c r="I40" s="4">
        <f t="shared" ref="I40:K42" si="21">+$E40/4</f>
        <v>40000</v>
      </c>
      <c r="J40" s="4">
        <f t="shared" si="21"/>
        <v>40000</v>
      </c>
      <c r="K40" s="4">
        <f t="shared" si="21"/>
        <v>40000</v>
      </c>
      <c r="L40" s="17">
        <f t="shared" si="2"/>
        <v>160000</v>
      </c>
    </row>
    <row r="41" spans="1:12" ht="45" x14ac:dyDescent="0.3">
      <c r="A41" s="34" t="s">
        <v>76</v>
      </c>
      <c r="B41" s="43">
        <v>9.85</v>
      </c>
      <c r="C41" s="36" t="s">
        <v>60</v>
      </c>
      <c r="D41" s="1">
        <f>60*600</f>
        <v>36000</v>
      </c>
      <c r="E41" s="2">
        <f t="shared" si="16"/>
        <v>354600</v>
      </c>
      <c r="F41" s="2">
        <v>0</v>
      </c>
      <c r="G41" s="4">
        <f>+E41</f>
        <v>354600</v>
      </c>
      <c r="H41" s="4">
        <f>+$E41/4</f>
        <v>88650</v>
      </c>
      <c r="I41" s="4">
        <f t="shared" si="21"/>
        <v>88650</v>
      </c>
      <c r="J41" s="4">
        <f t="shared" si="21"/>
        <v>88650</v>
      </c>
      <c r="K41" s="4">
        <f t="shared" si="21"/>
        <v>88650</v>
      </c>
      <c r="L41" s="17">
        <f t="shared" si="2"/>
        <v>354600</v>
      </c>
    </row>
    <row r="42" spans="1:12" ht="45" x14ac:dyDescent="0.3">
      <c r="A42" s="34" t="s">
        <v>13</v>
      </c>
      <c r="B42" s="35">
        <v>125</v>
      </c>
      <c r="C42" s="36" t="s">
        <v>77</v>
      </c>
      <c r="D42" s="1">
        <v>400</v>
      </c>
      <c r="E42" s="2">
        <f t="shared" si="16"/>
        <v>50000</v>
      </c>
      <c r="F42" s="2">
        <v>0</v>
      </c>
      <c r="G42" s="4">
        <f>+E42</f>
        <v>50000</v>
      </c>
      <c r="H42" s="4">
        <f>+$E42/4</f>
        <v>12500</v>
      </c>
      <c r="I42" s="4">
        <f t="shared" si="21"/>
        <v>12500</v>
      </c>
      <c r="J42" s="4">
        <f t="shared" si="21"/>
        <v>12500</v>
      </c>
      <c r="K42" s="4">
        <f t="shared" si="21"/>
        <v>12500</v>
      </c>
      <c r="L42" s="17">
        <f t="shared" si="2"/>
        <v>50000</v>
      </c>
    </row>
    <row r="43" spans="1:12" ht="30" x14ac:dyDescent="0.3">
      <c r="A43" s="44" t="s">
        <v>78</v>
      </c>
      <c r="B43" s="40"/>
      <c r="C43" s="41"/>
      <c r="E43" s="23">
        <f>SUM(E44:E49)</f>
        <v>520300</v>
      </c>
      <c r="F43" s="23">
        <f t="shared" ref="F43:K43" si="22">SUM(F44:F49)</f>
        <v>520300</v>
      </c>
      <c r="G43" s="23">
        <f t="shared" si="22"/>
        <v>0</v>
      </c>
      <c r="H43" s="23">
        <f t="shared" si="22"/>
        <v>176902</v>
      </c>
      <c r="I43" s="23">
        <f t="shared" si="22"/>
        <v>119669</v>
      </c>
      <c r="J43" s="23">
        <f t="shared" si="22"/>
        <v>119669</v>
      </c>
      <c r="K43" s="23">
        <f t="shared" si="22"/>
        <v>104060</v>
      </c>
      <c r="L43" s="17">
        <f t="shared" si="2"/>
        <v>520300</v>
      </c>
    </row>
    <row r="44" spans="1:12" ht="18.75" x14ac:dyDescent="0.3">
      <c r="A44" s="26" t="s">
        <v>19</v>
      </c>
      <c r="B44" s="37">
        <v>200000</v>
      </c>
      <c r="C44" s="45" t="s">
        <v>63</v>
      </c>
      <c r="D44" s="1">
        <v>1</v>
      </c>
      <c r="E44" s="2">
        <f t="shared" si="16"/>
        <v>200000</v>
      </c>
      <c r="F44" s="2">
        <f t="shared" ref="F44:F49" si="23">+E44</f>
        <v>200000</v>
      </c>
      <c r="G44" s="4">
        <v>0</v>
      </c>
      <c r="H44" s="4">
        <f t="shared" ref="H44:H49" si="24">+E44*0.34</f>
        <v>68000</v>
      </c>
      <c r="I44" s="4">
        <f t="shared" ref="I44:I49" si="25">+$E44*0.23</f>
        <v>46000</v>
      </c>
      <c r="J44" s="4">
        <f t="shared" ref="J44:J49" si="26">+$E44*0.23</f>
        <v>46000</v>
      </c>
      <c r="K44" s="4">
        <f t="shared" ref="K44:K49" si="27">+$E44*0.2</f>
        <v>40000</v>
      </c>
      <c r="L44" s="17">
        <f t="shared" si="2"/>
        <v>200000</v>
      </c>
    </row>
    <row r="45" spans="1:12" ht="30" x14ac:dyDescent="0.3">
      <c r="A45" s="34" t="s">
        <v>79</v>
      </c>
      <c r="B45" s="35">
        <v>80</v>
      </c>
      <c r="C45" s="36" t="s">
        <v>80</v>
      </c>
      <c r="D45" s="1">
        <v>495</v>
      </c>
      <c r="E45" s="2">
        <f t="shared" si="16"/>
        <v>39600</v>
      </c>
      <c r="F45" s="2">
        <f t="shared" si="23"/>
        <v>39600</v>
      </c>
      <c r="G45" s="4">
        <v>0</v>
      </c>
      <c r="H45" s="4">
        <f t="shared" si="24"/>
        <v>13464.000000000002</v>
      </c>
      <c r="I45" s="4">
        <f t="shared" si="25"/>
        <v>9108</v>
      </c>
      <c r="J45" s="4">
        <f t="shared" si="26"/>
        <v>9108</v>
      </c>
      <c r="K45" s="4">
        <f t="shared" si="27"/>
        <v>7920</v>
      </c>
      <c r="L45" s="17">
        <f t="shared" si="2"/>
        <v>39600</v>
      </c>
    </row>
    <row r="46" spans="1:12" ht="30" x14ac:dyDescent="0.3">
      <c r="A46" s="34" t="s">
        <v>81</v>
      </c>
      <c r="B46" s="35">
        <v>80</v>
      </c>
      <c r="C46" s="36" t="s">
        <v>80</v>
      </c>
      <c r="D46" s="1">
        <v>495</v>
      </c>
      <c r="E46" s="2">
        <f t="shared" si="16"/>
        <v>39600</v>
      </c>
      <c r="F46" s="2">
        <f t="shared" si="23"/>
        <v>39600</v>
      </c>
      <c r="G46" s="4">
        <v>0</v>
      </c>
      <c r="H46" s="4">
        <f t="shared" si="24"/>
        <v>13464.000000000002</v>
      </c>
      <c r="I46" s="4">
        <f t="shared" si="25"/>
        <v>9108</v>
      </c>
      <c r="J46" s="4">
        <f t="shared" si="26"/>
        <v>9108</v>
      </c>
      <c r="K46" s="4">
        <f t="shared" si="27"/>
        <v>7920</v>
      </c>
      <c r="L46" s="17">
        <f t="shared" si="2"/>
        <v>39600</v>
      </c>
    </row>
    <row r="47" spans="1:12" ht="30" x14ac:dyDescent="0.3">
      <c r="A47" s="34" t="s">
        <v>82</v>
      </c>
      <c r="B47" s="35">
        <v>80</v>
      </c>
      <c r="C47" s="36" t="s">
        <v>80</v>
      </c>
      <c r="D47" s="1">
        <v>495</v>
      </c>
      <c r="E47" s="2">
        <f t="shared" si="16"/>
        <v>39600</v>
      </c>
      <c r="F47" s="2">
        <f t="shared" si="23"/>
        <v>39600</v>
      </c>
      <c r="G47" s="4">
        <v>0</v>
      </c>
      <c r="H47" s="4">
        <f t="shared" si="24"/>
        <v>13464.000000000002</v>
      </c>
      <c r="I47" s="4">
        <f t="shared" si="25"/>
        <v>9108</v>
      </c>
      <c r="J47" s="4">
        <f t="shared" si="26"/>
        <v>9108</v>
      </c>
      <c r="K47" s="4">
        <f t="shared" si="27"/>
        <v>7920</v>
      </c>
      <c r="L47" s="17">
        <f t="shared" si="2"/>
        <v>39600</v>
      </c>
    </row>
    <row r="48" spans="1:12" ht="18.75" x14ac:dyDescent="0.3">
      <c r="A48" s="34" t="s">
        <v>83</v>
      </c>
      <c r="B48" s="35">
        <v>10</v>
      </c>
      <c r="C48" s="36" t="s">
        <v>84</v>
      </c>
      <c r="D48" s="1">
        <v>150</v>
      </c>
      <c r="E48" s="2">
        <f t="shared" si="16"/>
        <v>1500</v>
      </c>
      <c r="F48" s="2">
        <f t="shared" si="23"/>
        <v>1500</v>
      </c>
      <c r="G48" s="4">
        <v>0</v>
      </c>
      <c r="H48" s="4">
        <f t="shared" si="24"/>
        <v>510.00000000000006</v>
      </c>
      <c r="I48" s="4">
        <f t="shared" si="25"/>
        <v>345</v>
      </c>
      <c r="J48" s="4">
        <f t="shared" si="26"/>
        <v>345</v>
      </c>
      <c r="K48" s="4">
        <f t="shared" si="27"/>
        <v>300</v>
      </c>
      <c r="L48" s="17">
        <f t="shared" si="2"/>
        <v>1500</v>
      </c>
    </row>
    <row r="49" spans="1:12" ht="30.75" x14ac:dyDescent="0.3">
      <c r="A49" s="26" t="s">
        <v>20</v>
      </c>
      <c r="B49" s="37">
        <v>200000</v>
      </c>
      <c r="C49" s="45" t="s">
        <v>85</v>
      </c>
      <c r="D49" s="1">
        <v>1</v>
      </c>
      <c r="E49" s="2">
        <f t="shared" si="16"/>
        <v>200000</v>
      </c>
      <c r="F49" s="2">
        <f t="shared" si="23"/>
        <v>200000</v>
      </c>
      <c r="G49" s="4">
        <v>0</v>
      </c>
      <c r="H49" s="4">
        <f t="shared" si="24"/>
        <v>68000</v>
      </c>
      <c r="I49" s="4">
        <f t="shared" si="25"/>
        <v>46000</v>
      </c>
      <c r="J49" s="4">
        <f t="shared" si="26"/>
        <v>46000</v>
      </c>
      <c r="K49" s="4">
        <f t="shared" si="27"/>
        <v>40000</v>
      </c>
      <c r="L49" s="17">
        <f t="shared" si="2"/>
        <v>200000</v>
      </c>
    </row>
    <row r="50" spans="1:12" ht="30" x14ac:dyDescent="0.25">
      <c r="A50" s="46" t="s">
        <v>86</v>
      </c>
      <c r="E50" s="21">
        <f t="shared" ref="E50:L50" si="28">SUM(E51:E53)</f>
        <v>2100000</v>
      </c>
      <c r="F50" s="21">
        <f t="shared" si="28"/>
        <v>1400000</v>
      </c>
      <c r="G50" s="21">
        <f t="shared" si="28"/>
        <v>700000</v>
      </c>
      <c r="H50" s="21">
        <f t="shared" si="28"/>
        <v>567000</v>
      </c>
      <c r="I50" s="21">
        <f t="shared" si="28"/>
        <v>567000</v>
      </c>
      <c r="J50" s="21">
        <f t="shared" si="28"/>
        <v>567000</v>
      </c>
      <c r="K50" s="21">
        <f t="shared" si="28"/>
        <v>399000</v>
      </c>
      <c r="L50" s="21">
        <f t="shared" si="28"/>
        <v>2100000</v>
      </c>
    </row>
    <row r="51" spans="1:12" ht="18.75" x14ac:dyDescent="0.3">
      <c r="A51" s="47" t="s">
        <v>87</v>
      </c>
      <c r="B51" s="2">
        <v>1400000</v>
      </c>
      <c r="C51" s="3" t="s">
        <v>88</v>
      </c>
      <c r="D51" s="1">
        <v>1</v>
      </c>
      <c r="E51" s="2">
        <f>+B51*D51</f>
        <v>1400000</v>
      </c>
      <c r="F51" s="2">
        <f>+E51*0.5</f>
        <v>700000</v>
      </c>
      <c r="G51" s="4">
        <f>+E51*0.5</f>
        <v>700000</v>
      </c>
      <c r="H51" s="4">
        <f>+$E51*0.28</f>
        <v>392000.00000000006</v>
      </c>
      <c r="I51" s="4">
        <f>+$E51*0.28</f>
        <v>392000.00000000006</v>
      </c>
      <c r="J51" s="4">
        <f>+$E51*0.28</f>
        <v>392000.00000000006</v>
      </c>
      <c r="K51" s="4">
        <f>+$E51*0.16</f>
        <v>224000</v>
      </c>
      <c r="L51" s="17">
        <f t="shared" si="2"/>
        <v>1400000.0000000002</v>
      </c>
    </row>
    <row r="52" spans="1:12" ht="18.75" x14ac:dyDescent="0.3">
      <c r="A52" s="47" t="s">
        <v>89</v>
      </c>
      <c r="B52" s="2">
        <v>200000</v>
      </c>
      <c r="C52" s="3" t="s">
        <v>88</v>
      </c>
      <c r="D52" s="1">
        <v>1</v>
      </c>
      <c r="E52" s="2">
        <f>+B52*D52</f>
        <v>200000</v>
      </c>
      <c r="F52" s="2">
        <f>+E52</f>
        <v>200000</v>
      </c>
      <c r="G52" s="4">
        <v>0</v>
      </c>
      <c r="H52" s="4">
        <f>+$E52/4</f>
        <v>50000</v>
      </c>
      <c r="I52" s="4">
        <f t="shared" ref="I52:K53" si="29">+$E52/4</f>
        <v>50000</v>
      </c>
      <c r="J52" s="4">
        <f t="shared" si="29"/>
        <v>50000</v>
      </c>
      <c r="K52" s="4">
        <f t="shared" si="29"/>
        <v>50000</v>
      </c>
      <c r="L52" s="17">
        <f t="shared" si="2"/>
        <v>200000</v>
      </c>
    </row>
    <row r="53" spans="1:12" ht="18.75" x14ac:dyDescent="0.3">
      <c r="A53" s="47" t="s">
        <v>90</v>
      </c>
      <c r="B53" s="2">
        <f>500000</f>
        <v>500000</v>
      </c>
      <c r="C53" s="3" t="s">
        <v>88</v>
      </c>
      <c r="D53" s="1">
        <v>1</v>
      </c>
      <c r="E53" s="2">
        <f>+B53*D53</f>
        <v>500000</v>
      </c>
      <c r="F53" s="2">
        <f>+E53</f>
        <v>500000</v>
      </c>
      <c r="G53" s="4">
        <v>0</v>
      </c>
      <c r="H53" s="4">
        <f>+$E53/4</f>
        <v>125000</v>
      </c>
      <c r="I53" s="4">
        <f t="shared" si="29"/>
        <v>125000</v>
      </c>
      <c r="J53" s="4">
        <f t="shared" si="29"/>
        <v>125000</v>
      </c>
      <c r="K53" s="4">
        <f t="shared" si="29"/>
        <v>125000</v>
      </c>
      <c r="L53" s="17">
        <f t="shared" si="2"/>
        <v>500000</v>
      </c>
    </row>
    <row r="58" spans="1:12" x14ac:dyDescent="0.25">
      <c r="G58" s="48"/>
    </row>
    <row r="59" spans="1:12" x14ac:dyDescent="0.25">
      <c r="G59" s="48"/>
    </row>
    <row r="60" spans="1:12" x14ac:dyDescent="0.25">
      <c r="G60" s="49"/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9"/>
  <sheetViews>
    <sheetView tabSelected="1" zoomScale="90" zoomScaleNormal="90" workbookViewId="0">
      <selection activeCell="G48" sqref="G48"/>
    </sheetView>
  </sheetViews>
  <sheetFormatPr defaultColWidth="11.42578125" defaultRowHeight="15" x14ac:dyDescent="0.25"/>
  <cols>
    <col min="1" max="1" width="46.7109375" style="64" customWidth="1"/>
    <col min="2" max="2" width="14.85546875" style="64" bestFit="1" customWidth="1"/>
    <col min="3" max="3" width="14.42578125" style="64" bestFit="1" customWidth="1"/>
    <col min="4" max="4" width="14.42578125" style="64" customWidth="1"/>
    <col min="5" max="5" width="14.42578125" style="64" bestFit="1" customWidth="1"/>
    <col min="6" max="6" width="17.140625" style="64" bestFit="1" customWidth="1"/>
    <col min="7" max="7" width="43.140625" style="64" customWidth="1"/>
    <col min="8" max="10" width="13" style="64" bestFit="1" customWidth="1"/>
    <col min="11" max="16384" width="11.42578125" style="64"/>
  </cols>
  <sheetData>
    <row r="2" spans="1:11" ht="15.75" x14ac:dyDescent="0.25">
      <c r="A2" s="540" t="s">
        <v>1124</v>
      </c>
      <c r="B2" s="540"/>
      <c r="C2" s="540"/>
      <c r="D2" s="540"/>
      <c r="E2" s="540"/>
    </row>
    <row r="3" spans="1:11" x14ac:dyDescent="0.25">
      <c r="A3" s="541" t="s">
        <v>123</v>
      </c>
      <c r="B3" s="541"/>
      <c r="C3" s="541"/>
      <c r="D3" s="541"/>
      <c r="E3" s="541"/>
    </row>
    <row r="4" spans="1:11" x14ac:dyDescent="0.25">
      <c r="A4" s="257"/>
      <c r="B4" s="258"/>
      <c r="C4" s="258"/>
      <c r="D4" s="258"/>
      <c r="E4" s="259"/>
      <c r="G4" s="138"/>
      <c r="H4" s="138"/>
      <c r="I4" s="138"/>
      <c r="J4" s="138"/>
      <c r="K4" s="138"/>
    </row>
    <row r="5" spans="1:11" x14ac:dyDescent="0.25">
      <c r="A5" s="516" t="s">
        <v>1140</v>
      </c>
      <c r="B5" s="260" t="s">
        <v>32</v>
      </c>
      <c r="C5" s="260" t="s">
        <v>95</v>
      </c>
      <c r="D5" s="260" t="s">
        <v>27</v>
      </c>
      <c r="E5" s="260" t="s">
        <v>96</v>
      </c>
      <c r="G5" s="139"/>
      <c r="H5" s="139"/>
      <c r="I5" s="139"/>
      <c r="J5" s="139"/>
      <c r="K5" s="139"/>
    </row>
    <row r="6" spans="1:11" ht="63" x14ac:dyDescent="0.25">
      <c r="A6" s="261" t="str">
        <f>+'POA CONSOLIDADO'!A8:B8</f>
        <v>Componente 1. Construcción y equipamiento de escuelas primarias, escuelas de educación especial e institutos de enseñanza básica general en áreas urbano-marginales</v>
      </c>
      <c r="B6" s="262">
        <f>SUM(B7:B12)</f>
        <v>30883194.629158404</v>
      </c>
      <c r="C6" s="262"/>
      <c r="D6" s="262">
        <f>+B6+C6</f>
        <v>30883194.629158404</v>
      </c>
      <c r="E6" s="263">
        <f>+D6/D26</f>
        <v>0.18492930916132377</v>
      </c>
      <c r="G6" s="140"/>
      <c r="H6" s="141"/>
      <c r="I6" s="141"/>
      <c r="J6" s="141"/>
      <c r="K6" s="142"/>
    </row>
    <row r="7" spans="1:11" hidden="1" x14ac:dyDescent="0.25">
      <c r="A7" s="264" t="str">
        <f>+'POA CONSOLIDADO'!A9</f>
        <v>Construcción de centros</v>
      </c>
      <c r="B7" s="265">
        <f>+'POA CONSOLIDADO'!K9</f>
        <v>23022096.270205542</v>
      </c>
      <c r="C7" s="265"/>
      <c r="D7" s="265">
        <f t="shared" ref="D7:D12" si="0">+B7+C7</f>
        <v>23022096.270205542</v>
      </c>
      <c r="E7" s="263"/>
      <c r="G7" s="140"/>
      <c r="H7" s="141"/>
      <c r="I7" s="141"/>
      <c r="J7" s="141"/>
      <c r="K7" s="142"/>
    </row>
    <row r="8" spans="1:11" hidden="1" x14ac:dyDescent="0.25">
      <c r="A8" s="264" t="str">
        <f>+'POA CONSOLIDADO'!A27</f>
        <v>Adquisición de terrenos</v>
      </c>
      <c r="B8" s="265">
        <f>+'POA CONSOLIDADO'!K27</f>
        <v>2454933.8211272578</v>
      </c>
      <c r="C8" s="265"/>
      <c r="D8" s="265">
        <f t="shared" si="0"/>
        <v>2454933.8211272578</v>
      </c>
      <c r="E8" s="263"/>
      <c r="G8" s="140"/>
      <c r="H8" s="141"/>
      <c r="I8" s="141"/>
      <c r="J8" s="141"/>
      <c r="K8" s="142"/>
    </row>
    <row r="9" spans="1:11" hidden="1" x14ac:dyDescent="0.25">
      <c r="A9" s="264" t="str">
        <f>+'POA CONSOLIDADO'!A33</f>
        <v>Mobiliario y equipo</v>
      </c>
      <c r="B9" s="265">
        <f>+'POA CONSOLIDADO'!K33</f>
        <v>1837739.6159437443</v>
      </c>
      <c r="C9" s="265"/>
      <c r="D9" s="265">
        <f t="shared" si="0"/>
        <v>1837739.6159437443</v>
      </c>
      <c r="E9" s="263"/>
      <c r="G9" s="140"/>
      <c r="H9" s="141"/>
      <c r="I9" s="141"/>
      <c r="J9" s="141"/>
      <c r="K9" s="142"/>
    </row>
    <row r="10" spans="1:11" hidden="1" x14ac:dyDescent="0.25">
      <c r="A10" s="264" t="str">
        <f>+'POA CONSOLIDADO'!A37</f>
        <v>Supervisión de obras</v>
      </c>
      <c r="B10" s="265">
        <f>+'POA CONSOLIDADO'!K37</f>
        <v>575552.40675513877</v>
      </c>
      <c r="C10" s="265"/>
      <c r="D10" s="265">
        <f t="shared" si="0"/>
        <v>575552.40675513877</v>
      </c>
      <c r="E10" s="263"/>
      <c r="G10" s="140"/>
      <c r="H10" s="141"/>
      <c r="I10" s="141"/>
      <c r="J10" s="141"/>
      <c r="K10" s="142"/>
    </row>
    <row r="11" spans="1:11" hidden="1" x14ac:dyDescent="0.25">
      <c r="A11" s="264" t="str">
        <f>+'POA CONSOLIDADO'!A41</f>
        <v>Estudios topográficos y diseños constructivos</v>
      </c>
      <c r="B11" s="265">
        <f>+'POA CONSOLIDADO'!K41</f>
        <v>1151104.8135102775</v>
      </c>
      <c r="C11" s="265"/>
      <c r="D11" s="265">
        <f t="shared" si="0"/>
        <v>1151104.8135102775</v>
      </c>
      <c r="E11" s="263"/>
      <c r="G11" s="140"/>
      <c r="H11" s="141"/>
      <c r="I11" s="141"/>
      <c r="J11" s="141"/>
      <c r="K11" s="142"/>
    </row>
    <row r="12" spans="1:11" hidden="1" x14ac:dyDescent="0.25">
      <c r="A12" s="264" t="str">
        <f>+'POA CONSOLIDADO'!A45</f>
        <v>Zonaje</v>
      </c>
      <c r="B12" s="265">
        <f>+'POA CONSOLIDADO'!K45</f>
        <v>1841767.7016164437</v>
      </c>
      <c r="C12" s="265"/>
      <c r="D12" s="265">
        <f t="shared" si="0"/>
        <v>1841767.7016164437</v>
      </c>
      <c r="E12" s="263"/>
      <c r="G12" s="140"/>
      <c r="H12" s="141"/>
      <c r="I12" s="141"/>
      <c r="J12" s="141"/>
      <c r="K12" s="142"/>
    </row>
    <row r="13" spans="1:11" ht="47.25" x14ac:dyDescent="0.25">
      <c r="A13" s="266" t="str">
        <f>+'POA CONSOLIDADO'!A49:B49</f>
        <v>Componente 2. Construcción y equipamiento de colegios de secundaria en áreas rurales y urbano-marginales</v>
      </c>
      <c r="B13" s="262">
        <f>SUM(B14:B19)</f>
        <v>116274205.98977013</v>
      </c>
      <c r="C13" s="262"/>
      <c r="D13" s="262">
        <f t="shared" ref="D13:D26" si="1">+B13+C13</f>
        <v>116274205.98977013</v>
      </c>
      <c r="E13" s="263">
        <f>+D13/D26</f>
        <v>0.69625273049531045</v>
      </c>
      <c r="G13" s="67"/>
      <c r="H13" s="141"/>
      <c r="I13" s="141"/>
      <c r="J13" s="141"/>
      <c r="K13" s="142"/>
    </row>
    <row r="14" spans="1:11" hidden="1" x14ac:dyDescent="0.25">
      <c r="A14" s="264" t="str">
        <f>+'POA CONSOLIDADO'!A50</f>
        <v>Construcción de centros</v>
      </c>
      <c r="B14" s="265">
        <f>+'POA CONSOLIDADO'!K50</f>
        <v>78560930.76663132</v>
      </c>
      <c r="C14" s="265"/>
      <c r="D14" s="265">
        <f t="shared" si="1"/>
        <v>78560930.76663132</v>
      </c>
      <c r="E14" s="263"/>
      <c r="G14" s="145"/>
      <c r="H14" s="143"/>
      <c r="I14" s="143"/>
      <c r="J14" s="143"/>
      <c r="K14" s="144"/>
    </row>
    <row r="15" spans="1:11" hidden="1" x14ac:dyDescent="0.25">
      <c r="A15" s="264" t="str">
        <f>+'POA CONSOLIDADO'!A113</f>
        <v>Adquisición de terrenos</v>
      </c>
      <c r="B15" s="265">
        <f>+'POA CONSOLIDADO'!K113</f>
        <v>20100852.733894534</v>
      </c>
      <c r="C15" s="265"/>
      <c r="D15" s="265">
        <f t="shared" si="1"/>
        <v>20100852.733894534</v>
      </c>
      <c r="E15" s="263"/>
      <c r="F15" s="182"/>
      <c r="G15" s="146"/>
      <c r="H15" s="143"/>
      <c r="I15" s="143"/>
      <c r="J15" s="143"/>
      <c r="K15" s="144"/>
    </row>
    <row r="16" spans="1:11" hidden="1" x14ac:dyDescent="0.25">
      <c r="A16" s="264" t="str">
        <f>+'POA CONSOLIDADO'!A156</f>
        <v>Mobiliario y equipo</v>
      </c>
      <c r="B16" s="265">
        <f>+'POA CONSOLIDADO'!K156</f>
        <v>5435478.2204164052</v>
      </c>
      <c r="C16" s="265"/>
      <c r="D16" s="265">
        <f t="shared" si="1"/>
        <v>5435478.2204164052</v>
      </c>
      <c r="E16" s="263"/>
      <c r="F16" s="182"/>
      <c r="G16" s="146"/>
      <c r="H16" s="143"/>
      <c r="I16" s="143"/>
      <c r="J16" s="143"/>
      <c r="K16" s="144"/>
    </row>
    <row r="17" spans="1:11" hidden="1" x14ac:dyDescent="0.25">
      <c r="A17" s="264" t="str">
        <f>+'POA CONSOLIDADO'!A160</f>
        <v>Supervisión de obras</v>
      </c>
      <c r="B17" s="265">
        <f>+'POA CONSOLIDADO'!K160</f>
        <v>1964023.2691657827</v>
      </c>
      <c r="C17" s="265"/>
      <c r="D17" s="265">
        <f t="shared" si="1"/>
        <v>1964023.2691657827</v>
      </c>
      <c r="E17" s="263"/>
      <c r="F17" s="182"/>
      <c r="G17" s="146"/>
      <c r="H17" s="143"/>
      <c r="I17" s="143"/>
      <c r="J17" s="143"/>
      <c r="K17" s="144"/>
    </row>
    <row r="18" spans="1:11" hidden="1" x14ac:dyDescent="0.25">
      <c r="A18" s="264" t="str">
        <f>+'POA CONSOLIDADO'!A164</f>
        <v>Estudios topográficos y diseños constructivos</v>
      </c>
      <c r="B18" s="265">
        <f>+'POA CONSOLIDADO'!K164</f>
        <v>3928046.5383315654</v>
      </c>
      <c r="C18" s="265"/>
      <c r="D18" s="265">
        <f t="shared" si="1"/>
        <v>3928046.5383315654</v>
      </c>
      <c r="E18" s="263"/>
      <c r="F18" s="182"/>
      <c r="G18" s="146"/>
      <c r="H18" s="143"/>
      <c r="I18" s="143"/>
      <c r="J18" s="143"/>
      <c r="K18" s="144"/>
    </row>
    <row r="19" spans="1:11" hidden="1" x14ac:dyDescent="0.25">
      <c r="A19" s="264" t="str">
        <f>+'POA CONSOLIDADO'!A168</f>
        <v>Zonaje</v>
      </c>
      <c r="B19" s="265">
        <f>+'POA CONSOLIDADO'!K168</f>
        <v>6284874.4613305032</v>
      </c>
      <c r="C19" s="265"/>
      <c r="D19" s="265">
        <f t="shared" si="1"/>
        <v>6284874.4613305032</v>
      </c>
      <c r="E19" s="263"/>
      <c r="F19" s="182"/>
      <c r="G19" s="146"/>
      <c r="H19" s="143"/>
      <c r="I19" s="143"/>
      <c r="J19" s="143"/>
      <c r="K19" s="144"/>
    </row>
    <row r="20" spans="1:11" ht="47.25" x14ac:dyDescent="0.25">
      <c r="A20" s="266" t="str">
        <f>+'POA CONSOLIDADO'!A172:B172</f>
        <v>Componente 3. Construcción de espacios culturales y deportivos en centros de alta densidad estudiantil</v>
      </c>
      <c r="B20" s="262">
        <f>SUM(B21:B24)</f>
        <v>8870016.2723070793</v>
      </c>
      <c r="C20" s="265"/>
      <c r="D20" s="262">
        <f t="shared" si="1"/>
        <v>8870016.2723070793</v>
      </c>
      <c r="E20" s="263">
        <f>+D20/D26</f>
        <v>5.3113869895400422E-2</v>
      </c>
      <c r="F20" s="182"/>
      <c r="G20" s="146"/>
      <c r="H20" s="143"/>
      <c r="I20" s="143"/>
      <c r="J20" s="143"/>
      <c r="K20" s="144"/>
    </row>
    <row r="21" spans="1:11" hidden="1" x14ac:dyDescent="0.25">
      <c r="A21" s="264" t="str">
        <f>+'POA CONSOLIDADO'!A173</f>
        <v>Construcción de canchas multiusos</v>
      </c>
      <c r="B21" s="265">
        <f>+'POA CONSOLIDADO'!K173</f>
        <v>7679667.7682312373</v>
      </c>
      <c r="C21" s="265"/>
      <c r="D21" s="265">
        <f t="shared" si="1"/>
        <v>7679667.7682312373</v>
      </c>
      <c r="E21" s="263"/>
      <c r="F21" s="182"/>
      <c r="G21" s="146"/>
      <c r="H21" s="143"/>
      <c r="I21" s="143"/>
      <c r="J21" s="143"/>
      <c r="K21" s="144"/>
    </row>
    <row r="22" spans="1:11" hidden="1" x14ac:dyDescent="0.25">
      <c r="A22" s="264" t="str">
        <f>+'POA CONSOLIDADO'!A198</f>
        <v>Supervisión de obras</v>
      </c>
      <c r="B22" s="265">
        <f>+'POA CONSOLIDADO'!K198</f>
        <v>191991.69420578098</v>
      </c>
      <c r="C22" s="265"/>
      <c r="D22" s="265">
        <f t="shared" si="1"/>
        <v>191991.69420578098</v>
      </c>
      <c r="E22" s="263"/>
      <c r="F22" s="182"/>
      <c r="G22" s="146"/>
      <c r="H22" s="143"/>
      <c r="I22" s="143"/>
      <c r="J22" s="143"/>
      <c r="K22" s="144"/>
    </row>
    <row r="23" spans="1:11" hidden="1" x14ac:dyDescent="0.25">
      <c r="A23" s="264" t="str">
        <f>+'POA CONSOLIDADO'!A201</f>
        <v>Estudios topográficos y diseños constructivos</v>
      </c>
      <c r="B23" s="265">
        <f>+'POA CONSOLIDADO'!K201</f>
        <v>383983.38841156196</v>
      </c>
      <c r="C23" s="265"/>
      <c r="D23" s="265">
        <f t="shared" si="1"/>
        <v>383983.38841156196</v>
      </c>
      <c r="E23" s="263"/>
      <c r="F23" s="182"/>
      <c r="G23" s="146"/>
      <c r="H23" s="143"/>
      <c r="I23" s="143"/>
      <c r="J23" s="143"/>
      <c r="K23" s="144"/>
    </row>
    <row r="24" spans="1:11" hidden="1" x14ac:dyDescent="0.25">
      <c r="A24" s="264" t="str">
        <f>+'POA CONSOLIDADO'!A204</f>
        <v>Zonaje</v>
      </c>
      <c r="B24" s="265">
        <f>+'POA CONSOLIDADO'!K204</f>
        <v>614373.42145849904</v>
      </c>
      <c r="C24" s="265"/>
      <c r="D24" s="265">
        <f t="shared" si="1"/>
        <v>614373.42145849904</v>
      </c>
      <c r="E24" s="263"/>
      <c r="F24" s="182"/>
      <c r="G24" s="146"/>
      <c r="H24" s="143"/>
      <c r="I24" s="143"/>
      <c r="J24" s="143"/>
      <c r="K24" s="144"/>
    </row>
    <row r="25" spans="1:11" ht="31.5" x14ac:dyDescent="0.25">
      <c r="A25" s="266" t="str">
        <f>+'POA CONSOLIDADO'!A207:B207</f>
        <v>Costos financieros, administración, monitoreo e imprevistos</v>
      </c>
      <c r="B25" s="262">
        <f>+'POA CONSOLIDADO'!K207</f>
        <v>10972583.104532151</v>
      </c>
      <c r="C25" s="262"/>
      <c r="D25" s="262">
        <f t="shared" si="1"/>
        <v>10972583.104532151</v>
      </c>
      <c r="E25" s="263">
        <f>+D25/D26</f>
        <v>6.5704090447965435E-2</v>
      </c>
      <c r="G25" s="147"/>
      <c r="H25" s="141"/>
      <c r="I25" s="141"/>
      <c r="J25" s="141"/>
      <c r="K25" s="142"/>
    </row>
    <row r="26" spans="1:11" ht="16.5" customHeight="1" x14ac:dyDescent="0.25">
      <c r="A26" s="268" t="s">
        <v>34</v>
      </c>
      <c r="B26" s="269">
        <f>+B6+B13+B20+B25</f>
        <v>166999999.99576774</v>
      </c>
      <c r="C26" s="269"/>
      <c r="D26" s="269">
        <f t="shared" si="1"/>
        <v>166999999.99576774</v>
      </c>
      <c r="E26" s="263"/>
      <c r="G26" s="148"/>
      <c r="H26" s="149"/>
      <c r="I26" s="149"/>
      <c r="J26" s="149"/>
      <c r="K26" s="150"/>
    </row>
    <row r="27" spans="1:11" hidden="1" x14ac:dyDescent="0.25">
      <c r="A27" s="268" t="s">
        <v>122</v>
      </c>
      <c r="B27" s="263">
        <v>1</v>
      </c>
      <c r="C27" s="263"/>
      <c r="D27" s="270">
        <v>1</v>
      </c>
      <c r="E27" s="263"/>
      <c r="G27" s="147"/>
      <c r="H27" s="142"/>
      <c r="I27" s="142"/>
      <c r="J27" s="151"/>
      <c r="K27" s="146"/>
    </row>
    <row r="28" spans="1:11" x14ac:dyDescent="0.25">
      <c r="D28" s="65"/>
      <c r="E28" s="65"/>
    </row>
    <row r="29" spans="1:11" x14ac:dyDescent="0.25">
      <c r="A29" s="505" t="s">
        <v>139</v>
      </c>
      <c r="B29" s="505"/>
      <c r="C29" s="505"/>
      <c r="D29" s="505"/>
      <c r="E29" s="505"/>
      <c r="F29" s="257"/>
    </row>
    <row r="30" spans="1:11" ht="15.75" x14ac:dyDescent="0.25">
      <c r="A30" s="542" t="s">
        <v>138</v>
      </c>
      <c r="B30" s="543" t="s">
        <v>98</v>
      </c>
      <c r="C30" s="543"/>
      <c r="D30" s="543"/>
      <c r="E30" s="543"/>
      <c r="F30" s="539" t="s">
        <v>27</v>
      </c>
    </row>
    <row r="31" spans="1:11" ht="15.75" x14ac:dyDescent="0.25">
      <c r="A31" s="542"/>
      <c r="B31" s="506">
        <v>2013</v>
      </c>
      <c r="C31" s="506">
        <v>2014</v>
      </c>
      <c r="D31" s="506">
        <v>2015</v>
      </c>
      <c r="E31" s="506">
        <v>2016</v>
      </c>
      <c r="F31" s="539"/>
    </row>
    <row r="32" spans="1:11" x14ac:dyDescent="0.25">
      <c r="A32" s="499" t="s">
        <v>32</v>
      </c>
      <c r="B32" s="503">
        <f>+'POA CONSOLIDADO'!C210</f>
        <v>16473344.770604515</v>
      </c>
      <c r="C32" s="503">
        <f>+'POA CONSOLIDADO'!E210</f>
        <v>63324647.151271142</v>
      </c>
      <c r="D32" s="503">
        <f>+'POA CONSOLIDADO'!G210</f>
        <v>65901495.265557304</v>
      </c>
      <c r="E32" s="503">
        <f>+'POA CONSOLIDADO'!I210</f>
        <v>21300512.808334775</v>
      </c>
      <c r="F32" s="503">
        <f>SUM(B32:E32)</f>
        <v>166999999.99576771</v>
      </c>
    </row>
    <row r="33" spans="1:6" x14ac:dyDescent="0.25">
      <c r="A33" s="499" t="s">
        <v>207</v>
      </c>
      <c r="B33" s="503">
        <v>0</v>
      </c>
      <c r="C33" s="503">
        <v>0</v>
      </c>
      <c r="D33" s="503">
        <v>0</v>
      </c>
      <c r="E33" s="503">
        <v>0</v>
      </c>
      <c r="F33" s="503">
        <f>SUM(B33:E33)</f>
        <v>0</v>
      </c>
    </row>
    <row r="34" spans="1:6" x14ac:dyDescent="0.25">
      <c r="A34" s="501" t="s">
        <v>34</v>
      </c>
      <c r="B34" s="504">
        <f>SUM(B32:B33)</f>
        <v>16473344.770604515</v>
      </c>
      <c r="C34" s="504">
        <f>SUM(C32:C33)</f>
        <v>63324647.151271142</v>
      </c>
      <c r="D34" s="504">
        <f>SUM(D32:D33)</f>
        <v>65901495.265557304</v>
      </c>
      <c r="E34" s="504">
        <f>SUM(E32:E33)</f>
        <v>21300512.808334775</v>
      </c>
      <c r="F34" s="504">
        <f>SUM(B34:E34)</f>
        <v>166999999.99576771</v>
      </c>
    </row>
    <row r="35" spans="1:6" x14ac:dyDescent="0.25">
      <c r="A35" s="507"/>
      <c r="B35" s="508"/>
      <c r="C35" s="509"/>
      <c r="D35" s="509"/>
      <c r="E35" s="509"/>
      <c r="F35" s="257"/>
    </row>
    <row r="36" spans="1:6" x14ac:dyDescent="0.25">
      <c r="A36" s="257"/>
      <c r="B36" s="257"/>
      <c r="C36" s="257"/>
      <c r="D36" s="257"/>
      <c r="E36" s="257"/>
      <c r="F36" s="257"/>
    </row>
    <row r="37" spans="1:6" x14ac:dyDescent="0.25">
      <c r="A37" s="499" t="s">
        <v>32</v>
      </c>
      <c r="B37" s="500">
        <f>+'RESUMEN POR COMPON Y CAT %'!B32/1000000</f>
        <v>16.473344770604516</v>
      </c>
      <c r="C37" s="500">
        <f>+'RESUMEN POR COMPON Y CAT %'!C32/1000000</f>
        <v>63.324647151271144</v>
      </c>
      <c r="D37" s="500">
        <f>+'RESUMEN POR COMPON Y CAT %'!D32/1000000</f>
        <v>65.901495265557301</v>
      </c>
      <c r="E37" s="500">
        <f>+'RESUMEN POR COMPON Y CAT %'!E32/1000000</f>
        <v>21.300512808334776</v>
      </c>
      <c r="F37" s="500">
        <f>+'RESUMEN POR COMPON Y CAT %'!F32/1000000</f>
        <v>166.99999999576772</v>
      </c>
    </row>
    <row r="38" spans="1:6" x14ac:dyDescent="0.25">
      <c r="A38" s="499" t="s">
        <v>207</v>
      </c>
      <c r="B38" s="500">
        <f>+'RESUMEN POR COMPON Y CAT %'!B33/1000000</f>
        <v>0</v>
      </c>
      <c r="C38" s="500">
        <f>+'RESUMEN POR COMPON Y CAT %'!C33/1000000</f>
        <v>0</v>
      </c>
      <c r="D38" s="500">
        <f>+'RESUMEN POR COMPON Y CAT %'!D33/1000000</f>
        <v>0</v>
      </c>
      <c r="E38" s="500">
        <f>+'RESUMEN POR COMPON Y CAT %'!E33/1000000</f>
        <v>0</v>
      </c>
      <c r="F38" s="500">
        <f>+'RESUMEN POR COMPON Y CAT %'!F33/1000000</f>
        <v>0</v>
      </c>
    </row>
    <row r="39" spans="1:6" x14ac:dyDescent="0.25">
      <c r="A39" s="501" t="s">
        <v>34</v>
      </c>
      <c r="B39" s="502">
        <f>SUM(B37:B38)</f>
        <v>16.473344770604516</v>
      </c>
      <c r="C39" s="502">
        <f>SUM(C37:C38)</f>
        <v>63.324647151271144</v>
      </c>
      <c r="D39" s="502">
        <f>SUM(D37:D38)</f>
        <v>65.901495265557301</v>
      </c>
      <c r="E39" s="502">
        <f>SUM(E37:E38)</f>
        <v>21.300512808334776</v>
      </c>
      <c r="F39" s="502">
        <f>SUM(F37:F38)</f>
        <v>166.99999999576772</v>
      </c>
    </row>
  </sheetData>
  <mergeCells count="5">
    <mergeCell ref="F30:F31"/>
    <mergeCell ref="A2:E2"/>
    <mergeCell ref="A3:E3"/>
    <mergeCell ref="A30:A31"/>
    <mergeCell ref="B30:E30"/>
  </mergeCells>
  <phoneticPr fontId="0" type="noConversion"/>
  <pageMargins left="0.70866141732283472" right="0.70866141732283472" top="0.74803149606299213" bottom="0.74803149606299213" header="0.31496062992125984" footer="0.31496062992125984"/>
  <pageSetup paperSize="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4"/>
  <sheetViews>
    <sheetView topLeftCell="A184" zoomScale="80" zoomScaleNormal="80" workbookViewId="0">
      <selection activeCell="F219" sqref="F219"/>
    </sheetView>
  </sheetViews>
  <sheetFormatPr defaultColWidth="11.42578125" defaultRowHeight="15" x14ac:dyDescent="0.25"/>
  <cols>
    <col min="1" max="1" width="21.42578125" style="232" customWidth="1"/>
    <col min="2" max="2" width="38.85546875" style="232" customWidth="1"/>
    <col min="3" max="3" width="18" style="232" bestFit="1" customWidth="1"/>
    <col min="4" max="4" width="8.5703125" style="232" bestFit="1" customWidth="1"/>
    <col min="5" max="5" width="18" style="232" bestFit="1" customWidth="1"/>
    <col min="6" max="6" width="8.5703125" style="232" bestFit="1" customWidth="1"/>
    <col min="7" max="7" width="18" style="232" bestFit="1" customWidth="1"/>
    <col min="8" max="8" width="8.5703125" style="232" bestFit="1" customWidth="1"/>
    <col min="9" max="9" width="18" style="232" bestFit="1" customWidth="1"/>
    <col min="10" max="10" width="8.5703125" style="232" bestFit="1" customWidth="1"/>
    <col min="11" max="11" width="19.42578125" style="232" bestFit="1" customWidth="1"/>
    <col min="12" max="12" width="17.140625" style="232" customWidth="1"/>
    <col min="13" max="13" width="15" style="232" bestFit="1" customWidth="1"/>
    <col min="14" max="16384" width="11.42578125" style="232"/>
  </cols>
  <sheetData>
    <row r="1" spans="1:13" x14ac:dyDescent="0.25">
      <c r="A1" s="279" t="s">
        <v>1136</v>
      </c>
      <c r="B1" s="279"/>
      <c r="C1" s="272"/>
      <c r="D1" s="278"/>
      <c r="E1" s="290"/>
    </row>
    <row r="2" spans="1:13" ht="15.75" x14ac:dyDescent="0.25">
      <c r="A2" s="547" t="s">
        <v>1124</v>
      </c>
      <c r="B2" s="547"/>
      <c r="C2" s="547"/>
      <c r="D2" s="547"/>
      <c r="E2" s="547"/>
    </row>
    <row r="3" spans="1:13" x14ac:dyDescent="0.25">
      <c r="A3" s="279" t="s">
        <v>1138</v>
      </c>
      <c r="B3" s="279"/>
      <c r="C3" s="272"/>
      <c r="D3" s="278"/>
      <c r="E3" s="290"/>
    </row>
    <row r="4" spans="1:13" ht="15.75" x14ac:dyDescent="0.25">
      <c r="A4" s="548"/>
      <c r="B4" s="548"/>
      <c r="C4" s="548"/>
      <c r="D4" s="548"/>
      <c r="E4" s="548"/>
      <c r="F4" s="548"/>
      <c r="G4" s="548"/>
      <c r="H4" s="548"/>
      <c r="I4" s="349"/>
      <c r="J4" s="349"/>
    </row>
    <row r="5" spans="1:13" x14ac:dyDescent="0.25">
      <c r="A5" s="233"/>
      <c r="B5" s="234"/>
      <c r="C5" s="234">
        <v>0.2</v>
      </c>
      <c r="D5" s="234">
        <v>1</v>
      </c>
      <c r="E5" s="234">
        <v>0.8</v>
      </c>
      <c r="F5" s="234"/>
      <c r="G5" s="234">
        <v>0.8</v>
      </c>
      <c r="H5" s="234"/>
      <c r="I5" s="234">
        <v>0.2</v>
      </c>
      <c r="J5" s="234"/>
    </row>
    <row r="6" spans="1:13" x14ac:dyDescent="0.25">
      <c r="A6" s="549" t="s">
        <v>124</v>
      </c>
      <c r="B6" s="550" t="s">
        <v>94</v>
      </c>
      <c r="C6" s="545" t="s">
        <v>99</v>
      </c>
      <c r="D6" s="545"/>
      <c r="E6" s="545" t="s">
        <v>133</v>
      </c>
      <c r="F6" s="545"/>
      <c r="G6" s="545" t="s">
        <v>134</v>
      </c>
      <c r="H6" s="545"/>
      <c r="I6" s="545" t="s">
        <v>932</v>
      </c>
      <c r="J6" s="545"/>
      <c r="K6" s="545" t="s">
        <v>97</v>
      </c>
      <c r="L6" s="545"/>
    </row>
    <row r="7" spans="1:13" x14ac:dyDescent="0.25">
      <c r="A7" s="549"/>
      <c r="B7" s="550"/>
      <c r="C7" s="235" t="s">
        <v>32</v>
      </c>
      <c r="D7" s="235" t="s">
        <v>95</v>
      </c>
      <c r="E7" s="235" t="s">
        <v>32</v>
      </c>
      <c r="F7" s="235" t="s">
        <v>95</v>
      </c>
      <c r="G7" s="235" t="s">
        <v>32</v>
      </c>
      <c r="H7" s="235" t="s">
        <v>95</v>
      </c>
      <c r="I7" s="350" t="s">
        <v>32</v>
      </c>
      <c r="J7" s="350" t="s">
        <v>95</v>
      </c>
      <c r="K7" s="235" t="s">
        <v>32</v>
      </c>
      <c r="L7" s="235" t="s">
        <v>95</v>
      </c>
    </row>
    <row r="8" spans="1:13" ht="15.75" x14ac:dyDescent="0.25">
      <c r="A8" s="546" t="str">
        <f>+'PAC CONSOLIDADO'!E5</f>
        <v>Componente 1. Construcción y equipamiento de escuelas primarias, escuelas de educación especial e institutos de enseñanza básica general en áreas urbano-marginales</v>
      </c>
      <c r="B8" s="546"/>
      <c r="C8" s="492">
        <f>+C9+C27+C33+C37+C41+C45</f>
        <v>3222064.0660849186</v>
      </c>
      <c r="D8" s="492">
        <f t="shared" ref="D8:L8" si="0">+D9+D27+D33+D37+D41+D45</f>
        <v>0</v>
      </c>
      <c r="E8" s="492">
        <f t="shared" si="0"/>
        <v>18480077.384517439</v>
      </c>
      <c r="F8" s="492">
        <f t="shared" si="0"/>
        <v>0</v>
      </c>
      <c r="G8" s="492">
        <f t="shared" si="0"/>
        <v>7775383.4905406348</v>
      </c>
      <c r="H8" s="492">
        <f t="shared" si="0"/>
        <v>0</v>
      </c>
      <c r="I8" s="492">
        <f t="shared" si="0"/>
        <v>1405669.6880154184</v>
      </c>
      <c r="J8" s="492">
        <f t="shared" si="0"/>
        <v>0</v>
      </c>
      <c r="K8" s="492">
        <f t="shared" si="0"/>
        <v>30883194.629158404</v>
      </c>
      <c r="L8" s="492">
        <f t="shared" si="0"/>
        <v>0</v>
      </c>
      <c r="M8" s="236"/>
    </row>
    <row r="9" spans="1:13" s="489" customFormat="1" ht="31.5" x14ac:dyDescent="0.25">
      <c r="A9" s="352" t="str">
        <f>+'PAC CONSOLIDADO'!E7</f>
        <v>Construcción de centros</v>
      </c>
      <c r="B9" s="487"/>
      <c r="C9" s="239">
        <f>SUM(C10:C26)</f>
        <v>1332833.3175445825</v>
      </c>
      <c r="D9" s="239"/>
      <c r="E9" s="239">
        <f>SUM(E10:E26)</f>
        <v>14817975.879598299</v>
      </c>
      <c r="F9" s="239"/>
      <c r="G9" s="239">
        <f>SUM(G10:G26)</f>
        <v>5971361.7889211336</v>
      </c>
      <c r="H9" s="239"/>
      <c r="I9" s="239">
        <f>SUM(I10:I26)</f>
        <v>899925.28414153506</v>
      </c>
      <c r="J9" s="239"/>
      <c r="K9" s="239">
        <f>SUM(K10:K26)</f>
        <v>23022096.270205542</v>
      </c>
      <c r="L9" s="239"/>
      <c r="M9" s="488"/>
    </row>
    <row r="10" spans="1:13" ht="25.5" x14ac:dyDescent="0.25">
      <c r="A10" s="486"/>
      <c r="B10" s="237" t="str">
        <f>+'PAC CONSOLIDADO'!E8</f>
        <v>1 Construcción Centro. De Ens. Esp. De Santa Ana</v>
      </c>
      <c r="C10" s="238">
        <f>+$C$5*'PAC CONSOLIDADO'!J8</f>
        <v>318257.64724485448</v>
      </c>
      <c r="D10" s="238"/>
      <c r="E10" s="238">
        <f>+'PAC CONSOLIDADO'!J8*'POA CONSOLIDADO'!$E$5</f>
        <v>1273030.5889794179</v>
      </c>
      <c r="F10" s="238"/>
      <c r="G10" s="238"/>
      <c r="H10" s="238"/>
      <c r="I10" s="238"/>
      <c r="J10" s="238"/>
      <c r="K10" s="238">
        <f>+C10+E10+G10+I10</f>
        <v>1591288.2362242723</v>
      </c>
      <c r="L10" s="238"/>
    </row>
    <row r="11" spans="1:13" ht="15.75" x14ac:dyDescent="0.25">
      <c r="A11" s="486"/>
      <c r="B11" s="237" t="str">
        <f>+'PAC CONSOLIDADO'!E9</f>
        <v>1 Construcción Escuela San Isidro</v>
      </c>
      <c r="C11" s="238">
        <f>+$C$5*'PAC CONSOLIDADO'!J9</f>
        <v>175524.68893558381</v>
      </c>
      <c r="D11" s="238"/>
      <c r="E11" s="238">
        <f>+'PAC CONSOLIDADO'!J9*'POA CONSOLIDADO'!$E$5</f>
        <v>702098.75574233523</v>
      </c>
      <c r="F11" s="238"/>
      <c r="G11" s="238"/>
      <c r="H11" s="238"/>
      <c r="I11" s="238"/>
      <c r="J11" s="238"/>
      <c r="K11" s="238">
        <f t="shared" ref="K11:K32" si="1">+C11+E11+G11+I11</f>
        <v>877623.44467791903</v>
      </c>
      <c r="L11" s="238"/>
    </row>
    <row r="12" spans="1:13" ht="15.75" x14ac:dyDescent="0.25">
      <c r="A12" s="486"/>
      <c r="B12" s="237" t="str">
        <f>+'PAC CONSOLIDADO'!E10</f>
        <v>1 Construcción Escuela La Gran Samaria</v>
      </c>
      <c r="C12" s="238">
        <f>+$C$5*'PAC CONSOLIDADO'!J10</f>
        <v>244000.80174648837</v>
      </c>
      <c r="D12" s="238"/>
      <c r="E12" s="238">
        <f>+'PAC CONSOLIDADO'!J10*'POA CONSOLIDADO'!$E$5</f>
        <v>976003.2069859535</v>
      </c>
      <c r="F12" s="238"/>
      <c r="G12" s="238"/>
      <c r="H12" s="238"/>
      <c r="I12" s="238"/>
      <c r="J12" s="238"/>
      <c r="K12" s="238">
        <f t="shared" si="1"/>
        <v>1220004.0087324418</v>
      </c>
      <c r="L12" s="238"/>
    </row>
    <row r="13" spans="1:13" ht="15.75" x14ac:dyDescent="0.25">
      <c r="A13" s="486"/>
      <c r="B13" s="237" t="str">
        <f>+'PAC CONSOLIDADO'!E11</f>
        <v>1 Construcción Escuela Laboratorio Turrialba</v>
      </c>
      <c r="C13" s="238">
        <f>+$C$5*'PAC CONSOLIDADO'!J11</f>
        <v>175524.68893558381</v>
      </c>
      <c r="D13" s="238"/>
      <c r="E13" s="238">
        <f>+'PAC CONSOLIDADO'!J11*'POA CONSOLIDADO'!$E$5</f>
        <v>702098.75574233523</v>
      </c>
      <c r="F13" s="238"/>
      <c r="G13" s="238"/>
      <c r="H13" s="238"/>
      <c r="I13" s="238"/>
      <c r="J13" s="238"/>
      <c r="K13" s="238">
        <f t="shared" si="1"/>
        <v>877623.44467791903</v>
      </c>
      <c r="L13" s="238"/>
    </row>
    <row r="14" spans="1:13" ht="15.75" x14ac:dyDescent="0.25">
      <c r="A14" s="486"/>
      <c r="B14" s="237" t="str">
        <f>+'PAC CONSOLIDADO'!E12</f>
        <v>1 Construcción Escuela Las Nubes</v>
      </c>
      <c r="C14" s="238">
        <f>+$C$5*'PAC CONSOLIDADO'!J12</f>
        <v>175524.68893558381</v>
      </c>
      <c r="D14" s="238"/>
      <c r="E14" s="238">
        <f>+'PAC CONSOLIDADO'!J12*'POA CONSOLIDADO'!$E$5</f>
        <v>702098.75574233523</v>
      </c>
      <c r="F14" s="238"/>
      <c r="G14" s="238"/>
      <c r="H14" s="238"/>
      <c r="I14" s="238"/>
      <c r="J14" s="238"/>
      <c r="K14" s="238">
        <f t="shared" si="1"/>
        <v>877623.44467791903</v>
      </c>
      <c r="L14" s="238"/>
    </row>
    <row r="15" spans="1:13" ht="15.75" x14ac:dyDescent="0.25">
      <c r="A15" s="486"/>
      <c r="B15" s="237" t="str">
        <f>+'PAC CONSOLIDADO'!E13</f>
        <v>1 Construcción Escuela Nuevo Amanecer</v>
      </c>
      <c r="C15" s="238">
        <f>+$C$5*'PAC CONSOLIDADO'!J13</f>
        <v>244000.80174648837</v>
      </c>
      <c r="D15" s="238"/>
      <c r="E15" s="238">
        <f>+'PAC CONSOLIDADO'!J13*'POA CONSOLIDADO'!$E$5</f>
        <v>976003.2069859535</v>
      </c>
      <c r="F15" s="238"/>
      <c r="G15" s="238"/>
      <c r="H15" s="238"/>
      <c r="I15" s="238"/>
      <c r="J15" s="238"/>
      <c r="K15" s="238">
        <f t="shared" si="1"/>
        <v>1220004.0087324418</v>
      </c>
      <c r="L15" s="238"/>
    </row>
    <row r="16" spans="1:13" x14ac:dyDescent="0.25">
      <c r="A16" s="351"/>
      <c r="B16" s="237" t="str">
        <f>+'PAC CONSOLIDADO'!E14</f>
        <v xml:space="preserve">2 Construcción Centro De Ens. Esp. Guapiles </v>
      </c>
      <c r="C16" s="238"/>
      <c r="D16" s="238"/>
      <c r="E16" s="238">
        <f>+$E$5*'PAC CONSOLIDADO'!J14</f>
        <v>1152835.1926731747</v>
      </c>
      <c r="F16" s="238"/>
      <c r="G16" s="238">
        <f>+'PAC CONSOLIDADO'!J14*'POA CONSOLIDADO'!$C$5</f>
        <v>288208.79816829367</v>
      </c>
      <c r="H16" s="238"/>
      <c r="I16" s="238"/>
      <c r="J16" s="238"/>
      <c r="K16" s="238">
        <f t="shared" si="1"/>
        <v>1441043.9908414683</v>
      </c>
      <c r="L16" s="238"/>
    </row>
    <row r="17" spans="1:13" x14ac:dyDescent="0.25">
      <c r="A17" s="351"/>
      <c r="B17" s="237" t="str">
        <f>+'PAC CONSOLIDADO'!E15</f>
        <v>2 Construcción Escuela Conventillos</v>
      </c>
      <c r="C17" s="238"/>
      <c r="D17" s="238"/>
      <c r="E17" s="238">
        <f>+$E$5*'PAC CONSOLIDADO'!J15</f>
        <v>600542.42520934728</v>
      </c>
      <c r="F17" s="238"/>
      <c r="G17" s="238">
        <f>+'PAC CONSOLIDADO'!J15*'POA CONSOLIDADO'!$C$5</f>
        <v>150135.60630233682</v>
      </c>
      <c r="H17" s="238"/>
      <c r="I17" s="238"/>
      <c r="J17" s="238"/>
      <c r="K17" s="238">
        <f t="shared" si="1"/>
        <v>750678.03151168406</v>
      </c>
      <c r="L17" s="238"/>
    </row>
    <row r="18" spans="1:13" x14ac:dyDescent="0.25">
      <c r="A18" s="351"/>
      <c r="B18" s="237" t="str">
        <f>+'PAC CONSOLIDADO'!E16</f>
        <v>2 Construcción Escuela Finca La Caja</v>
      </c>
      <c r="C18" s="238"/>
      <c r="D18" s="238"/>
      <c r="E18" s="238">
        <f>+$E$5*'PAC CONSOLIDADO'!J16</f>
        <v>3203520.6579971318</v>
      </c>
      <c r="F18" s="238"/>
      <c r="G18" s="238">
        <f>+'PAC CONSOLIDADO'!J16*'POA CONSOLIDADO'!$C$5</f>
        <v>800880.16449928295</v>
      </c>
      <c r="H18" s="238"/>
      <c r="I18" s="238"/>
      <c r="J18" s="238"/>
      <c r="K18" s="238">
        <f t="shared" si="1"/>
        <v>4004400.8224964147</v>
      </c>
      <c r="L18" s="238"/>
    </row>
    <row r="19" spans="1:13" x14ac:dyDescent="0.25">
      <c r="A19" s="351"/>
      <c r="B19" s="237" t="str">
        <f>+'PAC CONSOLIDADO'!E17</f>
        <v>2 Construcción Escuela Granadilla Norte</v>
      </c>
      <c r="C19" s="238"/>
      <c r="D19" s="238"/>
      <c r="E19" s="238">
        <f>+$E$5*'PAC CONSOLIDADO'!J17</f>
        <v>1688454.5704335698</v>
      </c>
      <c r="F19" s="238"/>
      <c r="G19" s="238">
        <f>+'PAC CONSOLIDADO'!J17*'POA CONSOLIDADO'!$C$5</f>
        <v>422113.64260839246</v>
      </c>
      <c r="H19" s="238"/>
      <c r="I19" s="238"/>
      <c r="J19" s="238"/>
      <c r="K19" s="238">
        <f t="shared" si="1"/>
        <v>2110568.2130419621</v>
      </c>
      <c r="L19" s="238"/>
    </row>
    <row r="20" spans="1:13" x14ac:dyDescent="0.25">
      <c r="A20" s="351"/>
      <c r="B20" s="237" t="str">
        <f>+'PAC CONSOLIDADO'!E18</f>
        <v>2 Construcción Escuela Santa Cecilia</v>
      </c>
      <c r="C20" s="238"/>
      <c r="D20" s="238"/>
      <c r="E20" s="238">
        <f>+$E$5*'PAC CONSOLIDADO'!J18</f>
        <v>1688454.5704335698</v>
      </c>
      <c r="F20" s="238"/>
      <c r="G20" s="238">
        <f>+'PAC CONSOLIDADO'!J18*'POA CONSOLIDADO'!$C$5</f>
        <v>422113.64260839246</v>
      </c>
      <c r="H20" s="238"/>
      <c r="I20" s="238"/>
      <c r="J20" s="238"/>
      <c r="K20" s="238">
        <f t="shared" si="1"/>
        <v>2110568.2130419621</v>
      </c>
      <c r="L20" s="238"/>
    </row>
    <row r="21" spans="1:13" x14ac:dyDescent="0.25">
      <c r="A21" s="351"/>
      <c r="B21" s="237" t="str">
        <f>+'PAC CONSOLIDADO'!E19</f>
        <v>2 Construcción Un.Ped.Sotero Gonzalez B.</v>
      </c>
      <c r="C21" s="238"/>
      <c r="D21" s="238"/>
      <c r="E21" s="238">
        <f>+$E$5*'PAC CONSOLIDADO'!J19</f>
        <v>1152835.1926731747</v>
      </c>
      <c r="F21" s="238"/>
      <c r="G21" s="238">
        <f>+'PAC CONSOLIDADO'!J19*'POA CONSOLIDADO'!$C$5</f>
        <v>288208.79816829367</v>
      </c>
      <c r="H21" s="238"/>
      <c r="I21" s="238"/>
      <c r="J21" s="238"/>
      <c r="K21" s="238">
        <f t="shared" si="1"/>
        <v>1441043.9908414683</v>
      </c>
      <c r="L21" s="238"/>
    </row>
    <row r="22" spans="1:13" x14ac:dyDescent="0.25">
      <c r="A22" s="351"/>
      <c r="B22" s="237" t="str">
        <f>+'PAC CONSOLIDADO'!E20</f>
        <v>3 Construcción Escuela Azul</v>
      </c>
      <c r="C22" s="238"/>
      <c r="D22" s="238"/>
      <c r="E22" s="238"/>
      <c r="F22" s="238"/>
      <c r="G22" s="238">
        <f>+$G$5*'PAC CONSOLIDADO'!J20</f>
        <v>774063.87820592464</v>
      </c>
      <c r="H22" s="238"/>
      <c r="I22" s="238">
        <f>+'PAC CONSOLIDADO'!J20*'POA CONSOLIDADO'!$I$5</f>
        <v>193515.96955148116</v>
      </c>
      <c r="J22" s="238"/>
      <c r="K22" s="238">
        <f t="shared" si="1"/>
        <v>967579.84775740583</v>
      </c>
      <c r="L22" s="238"/>
    </row>
    <row r="23" spans="1:13" x14ac:dyDescent="0.25">
      <c r="A23" s="351"/>
      <c r="B23" s="237" t="str">
        <f>+'PAC CONSOLIDADO'!E21</f>
        <v>3 Construcción Escuela Emilio Robert Brouca</v>
      </c>
      <c r="C23" s="238"/>
      <c r="D23" s="238"/>
      <c r="E23" s="238"/>
      <c r="F23" s="238"/>
      <c r="G23" s="238">
        <f>+$G$5*'PAC CONSOLIDADO'!J21</f>
        <v>774063.87820592464</v>
      </c>
      <c r="H23" s="238"/>
      <c r="I23" s="238">
        <f>+'PAC CONSOLIDADO'!J21*'POA CONSOLIDADO'!$I$5</f>
        <v>193515.96955148116</v>
      </c>
      <c r="J23" s="238"/>
      <c r="K23" s="238">
        <f t="shared" si="1"/>
        <v>967579.84775740583</v>
      </c>
      <c r="L23" s="238"/>
    </row>
    <row r="24" spans="1:13" x14ac:dyDescent="0.25">
      <c r="A24" s="351"/>
      <c r="B24" s="237" t="str">
        <f>+'PAC CONSOLIDADO'!E22</f>
        <v>3 Construcción Escuela Finca Seis-Once</v>
      </c>
      <c r="C24" s="238"/>
      <c r="D24" s="238"/>
      <c r="E24" s="238"/>
      <c r="F24" s="238"/>
      <c r="G24" s="238">
        <f>+$G$5*'PAC CONSOLIDADO'!J22</f>
        <v>630569.54646981461</v>
      </c>
      <c r="H24" s="238"/>
      <c r="I24" s="238">
        <f>+'PAC CONSOLIDADO'!J22*'POA CONSOLIDADO'!$I$5</f>
        <v>157642.38661745365</v>
      </c>
      <c r="J24" s="238"/>
      <c r="K24" s="238">
        <f t="shared" si="1"/>
        <v>788211.93308726826</v>
      </c>
      <c r="L24" s="238"/>
    </row>
    <row r="25" spans="1:13" x14ac:dyDescent="0.25">
      <c r="A25" s="351"/>
      <c r="B25" s="237" t="str">
        <f>+'PAC CONSOLIDADO'!E23</f>
        <v>3 Construcción Escuela La Hermosa</v>
      </c>
      <c r="C25" s="238"/>
      <c r="D25" s="238"/>
      <c r="E25" s="238"/>
      <c r="F25" s="238"/>
      <c r="G25" s="238">
        <f>+$G$5*'PAC CONSOLIDADO'!J23</f>
        <v>630569.54646981461</v>
      </c>
      <c r="H25" s="238"/>
      <c r="I25" s="238">
        <f>+'PAC CONSOLIDADO'!J23*'POA CONSOLIDADO'!$I$5</f>
        <v>157642.38661745365</v>
      </c>
      <c r="J25" s="238"/>
      <c r="K25" s="238">
        <f t="shared" si="1"/>
        <v>788211.93308726826</v>
      </c>
      <c r="L25" s="238"/>
    </row>
    <row r="26" spans="1:13" x14ac:dyDescent="0.25">
      <c r="A26" s="351"/>
      <c r="B26" s="237" t="str">
        <f>+'PAC CONSOLIDADO'!E24</f>
        <v>3 Construcción IEGB Colonia Del Valle</v>
      </c>
      <c r="C26" s="238"/>
      <c r="D26" s="238"/>
      <c r="E26" s="238"/>
      <c r="F26" s="238"/>
      <c r="G26" s="238">
        <f>+$G$5*'PAC CONSOLIDADO'!J24</f>
        <v>790434.28721466206</v>
      </c>
      <c r="H26" s="238"/>
      <c r="I26" s="238">
        <f>+'PAC CONSOLIDADO'!J24*'POA CONSOLIDADO'!$I$5</f>
        <v>197608.57180366552</v>
      </c>
      <c r="J26" s="238"/>
      <c r="K26" s="238">
        <f t="shared" si="1"/>
        <v>988042.85901832755</v>
      </c>
      <c r="L26" s="238"/>
    </row>
    <row r="27" spans="1:13" s="489" customFormat="1" ht="31.5" x14ac:dyDescent="0.25">
      <c r="A27" s="352" t="str">
        <f>+'PAC CONSOLIDADO'!E25</f>
        <v>Adquisición de terrenos</v>
      </c>
      <c r="B27" s="487"/>
      <c r="C27" s="239">
        <f>SUM(C28:C32)</f>
        <v>1022889.0921363573</v>
      </c>
      <c r="D27" s="239">
        <f t="shared" ref="D27:J27" si="2">SUM(D28:D32)</f>
        <v>0</v>
      </c>
      <c r="E27" s="239">
        <f t="shared" si="2"/>
        <v>1432044.7289909003</v>
      </c>
      <c r="F27" s="239">
        <f t="shared" si="2"/>
        <v>0</v>
      </c>
      <c r="G27" s="239">
        <f t="shared" si="2"/>
        <v>0</v>
      </c>
      <c r="H27" s="239">
        <f t="shared" si="2"/>
        <v>0</v>
      </c>
      <c r="I27" s="239">
        <f t="shared" si="2"/>
        <v>0</v>
      </c>
      <c r="J27" s="239">
        <f t="shared" si="2"/>
        <v>0</v>
      </c>
      <c r="K27" s="239">
        <f>SUM(K28:K32)</f>
        <v>2454933.8211272578</v>
      </c>
      <c r="L27" s="239"/>
      <c r="M27" s="488"/>
    </row>
    <row r="28" spans="1:13" x14ac:dyDescent="0.25">
      <c r="A28" s="351"/>
      <c r="B28" s="237" t="str">
        <f>+'PAC CONSOLIDADO'!E26</f>
        <v>2 Terreno Escuela Finca La Caja</v>
      </c>
      <c r="C28" s="238">
        <f>+'PAC CONSOLIDADO'!J26</f>
        <v>454617.37428282551</v>
      </c>
      <c r="D28" s="238"/>
      <c r="E28" s="238"/>
      <c r="F28" s="238"/>
      <c r="G28" s="238"/>
      <c r="H28" s="238"/>
      <c r="I28" s="238"/>
      <c r="J28" s="238"/>
      <c r="K28" s="238">
        <f t="shared" si="1"/>
        <v>454617.37428282551</v>
      </c>
      <c r="L28" s="238"/>
    </row>
    <row r="29" spans="1:13" x14ac:dyDescent="0.25">
      <c r="A29" s="351"/>
      <c r="B29" s="237" t="str">
        <f>+'PAC CONSOLIDADO'!E27</f>
        <v>2 Terreno Un.Ped.Sotero Gonzalez B.</v>
      </c>
      <c r="C29" s="238">
        <f>+'PAC CONSOLIDADO'!J27</f>
        <v>568271.71785353182</v>
      </c>
      <c r="D29" s="238"/>
      <c r="E29" s="238"/>
      <c r="F29" s="238"/>
      <c r="G29" s="238"/>
      <c r="H29" s="238"/>
      <c r="I29" s="238"/>
      <c r="J29" s="238"/>
      <c r="K29" s="238">
        <f t="shared" si="1"/>
        <v>568271.71785353182</v>
      </c>
      <c r="L29" s="238"/>
    </row>
    <row r="30" spans="1:13" x14ac:dyDescent="0.25">
      <c r="A30" s="351"/>
      <c r="B30" s="237" t="str">
        <f>+'PAC CONSOLIDADO'!E28</f>
        <v>3 Terreno Escuela Emilio Robert Brouca</v>
      </c>
      <c r="C30" s="238"/>
      <c r="D30" s="238"/>
      <c r="E30" s="238">
        <f>+'PAC CONSOLIDADO'!J28</f>
        <v>477348.24299696676</v>
      </c>
      <c r="F30" s="238"/>
      <c r="G30" s="238"/>
      <c r="H30" s="238"/>
      <c r="I30" s="238"/>
      <c r="J30" s="238"/>
      <c r="K30" s="238">
        <f t="shared" si="1"/>
        <v>477348.24299696676</v>
      </c>
      <c r="L30" s="238"/>
    </row>
    <row r="31" spans="1:13" x14ac:dyDescent="0.25">
      <c r="A31" s="351"/>
      <c r="B31" s="237" t="str">
        <f>+'PAC CONSOLIDADO'!E29</f>
        <v>3 Terreno Escuela Finca Seis-Once</v>
      </c>
      <c r="C31" s="238"/>
      <c r="D31" s="238"/>
      <c r="E31" s="238">
        <f>+'PAC CONSOLIDADO'!J29</f>
        <v>477348.24299696676</v>
      </c>
      <c r="F31" s="238"/>
      <c r="G31" s="238"/>
      <c r="H31" s="238"/>
      <c r="I31" s="238"/>
      <c r="J31" s="238"/>
      <c r="K31" s="238">
        <f t="shared" si="1"/>
        <v>477348.24299696676</v>
      </c>
      <c r="L31" s="238"/>
    </row>
    <row r="32" spans="1:13" x14ac:dyDescent="0.25">
      <c r="A32" s="351"/>
      <c r="B32" s="237" t="str">
        <f>+'PAC CONSOLIDADO'!E30</f>
        <v>3 Terreno Escuela La Hermosa</v>
      </c>
      <c r="C32" s="238"/>
      <c r="D32" s="238"/>
      <c r="E32" s="238">
        <f>+'PAC CONSOLIDADO'!J30</f>
        <v>477348.24299696676</v>
      </c>
      <c r="F32" s="238"/>
      <c r="G32" s="238"/>
      <c r="H32" s="238"/>
      <c r="I32" s="238"/>
      <c r="J32" s="238"/>
      <c r="K32" s="238">
        <f t="shared" si="1"/>
        <v>477348.24299696676</v>
      </c>
      <c r="L32" s="238"/>
    </row>
    <row r="33" spans="1:12" ht="15.75" x14ac:dyDescent="0.25">
      <c r="A33" s="352" t="str">
        <f>+'PAC CONSOLIDADO'!E31</f>
        <v>Mobiliario y equipo</v>
      </c>
      <c r="B33" s="487"/>
      <c r="C33" s="239">
        <f>SUM(C34:C36)</f>
        <v>0</v>
      </c>
      <c r="D33" s="239"/>
      <c r="E33" s="239">
        <f>SUM(E34:E36)</f>
        <v>521873.18720442359</v>
      </c>
      <c r="F33" s="239"/>
      <c r="G33" s="239">
        <f>SUM(G34:G36)</f>
        <v>922612.68538312928</v>
      </c>
      <c r="H33" s="239"/>
      <c r="I33" s="239">
        <f>SUM(I34:I36)</f>
        <v>393253.74335619144</v>
      </c>
      <c r="J33" s="239"/>
      <c r="K33" s="239">
        <f>SUM(K34:K36)</f>
        <v>1837739.6159437443</v>
      </c>
      <c r="L33" s="239"/>
    </row>
    <row r="34" spans="1:12" x14ac:dyDescent="0.25">
      <c r="A34" s="351"/>
      <c r="B34" s="237" t="str">
        <f>+'PAC CONSOLIDADO'!E32</f>
        <v>1 Mobiliario y Equipo escuelas etapa 1</v>
      </c>
      <c r="C34" s="238"/>
      <c r="D34" s="238"/>
      <c r="E34" s="238">
        <f>+'PAC CONSOLIDADO'!J32</f>
        <v>521873.18720442359</v>
      </c>
      <c r="F34" s="238"/>
      <c r="G34" s="238"/>
      <c r="H34" s="238"/>
      <c r="I34" s="238"/>
      <c r="J34" s="238"/>
      <c r="K34" s="238">
        <f>+C34+E34+G34+I34</f>
        <v>521873.18720442359</v>
      </c>
      <c r="L34" s="238"/>
    </row>
    <row r="35" spans="1:12" x14ac:dyDescent="0.25">
      <c r="A35" s="351"/>
      <c r="B35" s="237" t="str">
        <f>+'PAC CONSOLIDADO'!E33</f>
        <v>2 Mobiliario y Equipo escuelas etapa 2</v>
      </c>
      <c r="C35" s="238"/>
      <c r="D35" s="238"/>
      <c r="E35" s="238"/>
      <c r="F35" s="238"/>
      <c r="G35" s="238">
        <f>+'PAC CONSOLIDADO'!J33</f>
        <v>922612.68538312928</v>
      </c>
      <c r="H35" s="238"/>
      <c r="I35" s="238"/>
      <c r="J35" s="238"/>
      <c r="K35" s="238">
        <f t="shared" ref="K35:K36" si="3">+C35+E35+G35+I35</f>
        <v>922612.68538312928</v>
      </c>
      <c r="L35" s="238"/>
    </row>
    <row r="36" spans="1:12" x14ac:dyDescent="0.25">
      <c r="A36" s="351"/>
      <c r="B36" s="237" t="str">
        <f>+'PAC CONSOLIDADO'!E34</f>
        <v>3 Mobiliario y Equpo escuelas etapa 3</v>
      </c>
      <c r="C36" s="238"/>
      <c r="D36" s="238"/>
      <c r="E36" s="238"/>
      <c r="F36" s="238"/>
      <c r="G36" s="238"/>
      <c r="H36" s="238"/>
      <c r="I36" s="238">
        <f>+'PAC CONSOLIDADO'!J34</f>
        <v>393253.74335619144</v>
      </c>
      <c r="J36" s="238"/>
      <c r="K36" s="238">
        <f t="shared" si="3"/>
        <v>393253.74335619144</v>
      </c>
      <c r="L36" s="238"/>
    </row>
    <row r="37" spans="1:12" ht="15.75" x14ac:dyDescent="0.25">
      <c r="A37" s="352" t="str">
        <f>+'PAC CONSOLIDADO'!E35</f>
        <v>Supervisión de obras</v>
      </c>
      <c r="B37" s="487"/>
      <c r="C37" s="239">
        <f>SUM(C38:C40)</f>
        <v>0</v>
      </c>
      <c r="D37" s="239"/>
      <c r="E37" s="239">
        <f>SUM(E38:E40)</f>
        <v>166604.16469307285</v>
      </c>
      <c r="F37" s="239"/>
      <c r="G37" s="239">
        <f>SUM(G38:G40)</f>
        <v>296457.581544374</v>
      </c>
      <c r="H37" s="239"/>
      <c r="I37" s="239">
        <f>SUM(I38:I40)</f>
        <v>112490.6605176919</v>
      </c>
      <c r="J37" s="239"/>
      <c r="K37" s="239">
        <f>+C37+E37+G37+I37</f>
        <v>575552.40675513877</v>
      </c>
      <c r="L37" s="239"/>
    </row>
    <row r="38" spans="1:12" x14ac:dyDescent="0.25">
      <c r="A38" s="351"/>
      <c r="B38" s="237" t="str">
        <f>+'PAC CONSOLIDADO'!E36</f>
        <v>1 Supervisión escuelas etapa 1</v>
      </c>
      <c r="C38" s="238"/>
      <c r="D38" s="238"/>
      <c r="E38" s="238">
        <f>+'PAC CONSOLIDADO'!J36</f>
        <v>166604.16469307285</v>
      </c>
      <c r="F38" s="238"/>
      <c r="G38" s="238"/>
      <c r="H38" s="238"/>
      <c r="I38" s="238"/>
      <c r="J38" s="238"/>
      <c r="K38" s="238">
        <f>+C38+E38+G38+I38</f>
        <v>166604.16469307285</v>
      </c>
      <c r="L38" s="238"/>
    </row>
    <row r="39" spans="1:12" x14ac:dyDescent="0.25">
      <c r="A39" s="351"/>
      <c r="B39" s="237" t="str">
        <f>+'PAC CONSOLIDADO'!E37</f>
        <v>2 Supervisión escuelas etapa 2</v>
      </c>
      <c r="C39" s="238"/>
      <c r="D39" s="238"/>
      <c r="E39" s="238"/>
      <c r="F39" s="238"/>
      <c r="G39" s="238">
        <f>+'PAC CONSOLIDADO'!J37</f>
        <v>296457.581544374</v>
      </c>
      <c r="H39" s="238"/>
      <c r="I39" s="238"/>
      <c r="J39" s="238"/>
      <c r="K39" s="238">
        <f t="shared" ref="K39:K40" si="4">+C39+E39+G39+I39</f>
        <v>296457.581544374</v>
      </c>
      <c r="L39" s="238"/>
    </row>
    <row r="40" spans="1:12" x14ac:dyDescent="0.25">
      <c r="A40" s="351"/>
      <c r="B40" s="237" t="str">
        <f>+'PAC CONSOLIDADO'!E38</f>
        <v>3 Supervisión escuelas etapa 3</v>
      </c>
      <c r="C40" s="238"/>
      <c r="D40" s="238"/>
      <c r="E40" s="238"/>
      <c r="F40" s="238"/>
      <c r="G40" s="238"/>
      <c r="H40" s="238"/>
      <c r="I40" s="238">
        <f>+'PAC CONSOLIDADO'!J38</f>
        <v>112490.6605176919</v>
      </c>
      <c r="J40" s="238"/>
      <c r="K40" s="238">
        <f t="shared" si="4"/>
        <v>112490.6605176919</v>
      </c>
      <c r="L40" s="238"/>
    </row>
    <row r="41" spans="1:12" ht="63" x14ac:dyDescent="0.25">
      <c r="A41" s="352" t="str">
        <f>+'PAC CONSOLIDADO'!E39</f>
        <v>Estudios topográficos y diseños constructivos</v>
      </c>
      <c r="B41" s="487"/>
      <c r="C41" s="239">
        <f>SUM(C42:C44)</f>
        <v>333208.32938614569</v>
      </c>
      <c r="D41" s="239"/>
      <c r="E41" s="239">
        <f>SUM(E42:E44)</f>
        <v>592915.163088748</v>
      </c>
      <c r="F41" s="239"/>
      <c r="G41" s="239">
        <f>SUM(G42:G44)</f>
        <v>224981.32103538379</v>
      </c>
      <c r="H41" s="239"/>
      <c r="I41" s="239">
        <f>SUM(I42:I44)</f>
        <v>0</v>
      </c>
      <c r="J41" s="239"/>
      <c r="K41" s="239">
        <f>SUM(K42:K44)</f>
        <v>1151104.8135102775</v>
      </c>
      <c r="L41" s="239"/>
    </row>
    <row r="42" spans="1:12" x14ac:dyDescent="0.25">
      <c r="A42" s="351"/>
      <c r="B42" s="237" t="str">
        <f>+'PAC CONSOLIDADO'!E40</f>
        <v>1 Estudios y diseños escuelas etapa 1</v>
      </c>
      <c r="C42" s="238">
        <f>+'PAC CONSOLIDADO'!J40</f>
        <v>333208.32938614569</v>
      </c>
      <c r="D42" s="238"/>
      <c r="E42" s="238"/>
      <c r="F42" s="238"/>
      <c r="G42" s="238"/>
      <c r="H42" s="238"/>
      <c r="I42" s="238"/>
      <c r="J42" s="238"/>
      <c r="K42" s="238">
        <f>+C42+E42+G42+I42</f>
        <v>333208.32938614569</v>
      </c>
      <c r="L42" s="238"/>
    </row>
    <row r="43" spans="1:12" x14ac:dyDescent="0.25">
      <c r="A43" s="351"/>
      <c r="B43" s="237" t="str">
        <f>+'PAC CONSOLIDADO'!E41</f>
        <v>2 Estudios y diseños escuelas etapa 2</v>
      </c>
      <c r="C43" s="238"/>
      <c r="D43" s="238"/>
      <c r="E43" s="238">
        <f>+'PAC CONSOLIDADO'!J41</f>
        <v>592915.163088748</v>
      </c>
      <c r="F43" s="238"/>
      <c r="G43" s="238"/>
      <c r="H43" s="238"/>
      <c r="I43" s="238"/>
      <c r="J43" s="238"/>
      <c r="K43" s="238">
        <f t="shared" ref="K43:K44" si="5">+C43+E43+G43+I43</f>
        <v>592915.163088748</v>
      </c>
      <c r="L43" s="238"/>
    </row>
    <row r="44" spans="1:12" x14ac:dyDescent="0.25">
      <c r="A44" s="351"/>
      <c r="B44" s="237" t="str">
        <f>+'PAC CONSOLIDADO'!E42</f>
        <v>3 Estudios y diseños escuelas etapa 3</v>
      </c>
      <c r="C44" s="238"/>
      <c r="D44" s="238"/>
      <c r="E44" s="238"/>
      <c r="F44" s="238"/>
      <c r="G44" s="238">
        <f>+'PAC CONSOLIDADO'!J42</f>
        <v>224981.32103538379</v>
      </c>
      <c r="H44" s="238"/>
      <c r="I44" s="238"/>
      <c r="J44" s="238"/>
      <c r="K44" s="238">
        <f t="shared" si="5"/>
        <v>224981.32103538379</v>
      </c>
      <c r="L44" s="238"/>
    </row>
    <row r="45" spans="1:12" ht="15.75" x14ac:dyDescent="0.25">
      <c r="A45" s="352" t="str">
        <f>+'PAC CONSOLIDADO'!E43</f>
        <v>Zonaje</v>
      </c>
      <c r="B45" s="487"/>
      <c r="C45" s="239">
        <f>SUM(C46:C48)</f>
        <v>533133.32701783313</v>
      </c>
      <c r="D45" s="239"/>
      <c r="E45" s="239">
        <f>SUM(E46:E48)</f>
        <v>948664.2609419967</v>
      </c>
      <c r="F45" s="239"/>
      <c r="G45" s="239">
        <f>SUM(G46:G48)</f>
        <v>359970.11365661403</v>
      </c>
      <c r="H45" s="239"/>
      <c r="I45" s="239">
        <f>SUM(I46:I48)</f>
        <v>0</v>
      </c>
      <c r="J45" s="239"/>
      <c r="K45" s="239">
        <f>SUM(K46:K48)</f>
        <v>1841767.7016164437</v>
      </c>
      <c r="L45" s="239"/>
    </row>
    <row r="46" spans="1:12" x14ac:dyDescent="0.25">
      <c r="A46" s="351"/>
      <c r="B46" s="237" t="str">
        <f>+'PAC CONSOLIDADO'!E44</f>
        <v>1 Zonaje escuelas etapa 1</v>
      </c>
      <c r="C46" s="238">
        <f>+'PAC CONSOLIDADO'!J44</f>
        <v>533133.32701783313</v>
      </c>
      <c r="D46" s="238"/>
      <c r="E46" s="238"/>
      <c r="F46" s="238"/>
      <c r="G46" s="238"/>
      <c r="H46" s="238"/>
      <c r="I46" s="238"/>
      <c r="J46" s="238"/>
      <c r="K46" s="238">
        <f>+C46+E46+G46+I46</f>
        <v>533133.32701783313</v>
      </c>
      <c r="L46" s="238"/>
    </row>
    <row r="47" spans="1:12" x14ac:dyDescent="0.25">
      <c r="A47" s="351"/>
      <c r="B47" s="237" t="str">
        <f>+'PAC CONSOLIDADO'!E45</f>
        <v>2 Zonaje escuelas etapa 2</v>
      </c>
      <c r="C47" s="238"/>
      <c r="D47" s="238"/>
      <c r="E47" s="238">
        <f>+'PAC CONSOLIDADO'!J45</f>
        <v>948664.2609419967</v>
      </c>
      <c r="F47" s="238"/>
      <c r="G47" s="238"/>
      <c r="H47" s="238"/>
      <c r="I47" s="238"/>
      <c r="J47" s="238"/>
      <c r="K47" s="238">
        <f t="shared" ref="K47:K48" si="6">+C47+E47+G47+I47</f>
        <v>948664.2609419967</v>
      </c>
      <c r="L47" s="238"/>
    </row>
    <row r="48" spans="1:12" x14ac:dyDescent="0.25">
      <c r="A48" s="351"/>
      <c r="B48" s="237" t="str">
        <f>+'PAC CONSOLIDADO'!E46</f>
        <v>3 Zonaje escuelas etapa 3</v>
      </c>
      <c r="C48" s="238"/>
      <c r="D48" s="238"/>
      <c r="E48" s="238"/>
      <c r="F48" s="238"/>
      <c r="G48" s="238">
        <f>+'PAC CONSOLIDADO'!J46</f>
        <v>359970.11365661403</v>
      </c>
      <c r="H48" s="238"/>
      <c r="I48" s="238"/>
      <c r="J48" s="238"/>
      <c r="K48" s="238">
        <f t="shared" si="6"/>
        <v>359970.11365661403</v>
      </c>
      <c r="L48" s="238"/>
    </row>
    <row r="49" spans="1:14" ht="15.75" x14ac:dyDescent="0.25">
      <c r="A49" s="544" t="str">
        <f>+'PAC CONSOLIDADO'!E47</f>
        <v>Componente 2. Construcción y equipamiento de colegios de secundaria en áreas rurales y urbano-marginales</v>
      </c>
      <c r="B49" s="544"/>
      <c r="C49" s="493">
        <f t="shared" ref="C49:L49" si="7">+C50+C113+C156+C160+C164+C168</f>
        <v>6044629.5348645877</v>
      </c>
      <c r="D49" s="493">
        <f t="shared" si="7"/>
        <v>0</v>
      </c>
      <c r="E49" s="493">
        <f t="shared" si="7"/>
        <v>38192943.890076131</v>
      </c>
      <c r="F49" s="493">
        <f t="shared" si="7"/>
        <v>0</v>
      </c>
      <c r="G49" s="493">
        <f t="shared" si="7"/>
        <v>54351978.556694359</v>
      </c>
      <c r="H49" s="493">
        <f t="shared" si="7"/>
        <v>0</v>
      </c>
      <c r="I49" s="493">
        <f t="shared" si="7"/>
        <v>17684654.008135021</v>
      </c>
      <c r="J49" s="493">
        <f t="shared" si="7"/>
        <v>0</v>
      </c>
      <c r="K49" s="493">
        <f>+K50+K113+K156+K160+K164+K168</f>
        <v>116274205.98977013</v>
      </c>
      <c r="L49" s="493">
        <f t="shared" si="7"/>
        <v>0</v>
      </c>
    </row>
    <row r="50" spans="1:14" s="489" customFormat="1" ht="31.5" x14ac:dyDescent="0.25">
      <c r="A50" s="352" t="str">
        <f>+'PAC CONSOLIDADO'!E48</f>
        <v>Construcción de centros</v>
      </c>
      <c r="B50" s="487"/>
      <c r="C50" s="239">
        <f>SUM(C51:C112)</f>
        <v>3879784.8954225611</v>
      </c>
      <c r="D50" s="239">
        <f t="shared" ref="D50:L50" si="8">SUM(D51:D112)</f>
        <v>0</v>
      </c>
      <c r="E50" s="239">
        <f t="shared" si="8"/>
        <v>28271343.489291374</v>
      </c>
      <c r="F50" s="239">
        <f t="shared" si="8"/>
        <v>0</v>
      </c>
      <c r="G50" s="239">
        <f t="shared" si="8"/>
        <v>37765452.100913949</v>
      </c>
      <c r="H50" s="239">
        <f t="shared" si="8"/>
        <v>0</v>
      </c>
      <c r="I50" s="239">
        <f t="shared" si="8"/>
        <v>8644350.2810034174</v>
      </c>
      <c r="J50" s="239">
        <f t="shared" si="8"/>
        <v>0</v>
      </c>
      <c r="K50" s="239">
        <f t="shared" si="8"/>
        <v>78560930.76663132</v>
      </c>
      <c r="L50" s="239">
        <f t="shared" si="8"/>
        <v>0</v>
      </c>
      <c r="M50" s="488"/>
    </row>
    <row r="51" spans="1:14" x14ac:dyDescent="0.25">
      <c r="A51" s="490"/>
      <c r="B51" s="237" t="str">
        <f>+'PAC CONSOLIDADO'!E49</f>
        <v>1 Construcción Colegio Guarari</v>
      </c>
      <c r="C51" s="238">
        <f>+$C$5*'PAC CONSOLIDADO'!J49</f>
        <v>402012.9929603737</v>
      </c>
      <c r="D51" s="238"/>
      <c r="E51" s="238">
        <f>+'PAC CONSOLIDADO'!J49*'POA CONSOLIDADO'!$E$5</f>
        <v>1608051.9718414948</v>
      </c>
      <c r="F51" s="238"/>
      <c r="G51" s="238"/>
      <c r="H51" s="238"/>
      <c r="I51" s="238"/>
      <c r="J51" s="238"/>
      <c r="K51" s="238">
        <f t="shared" ref="K51:K112" si="9">+C51+E51+G51+I51</f>
        <v>2010064.9648018684</v>
      </c>
      <c r="L51" s="238">
        <f>D51+F51+H51</f>
        <v>0</v>
      </c>
      <c r="M51" s="240"/>
      <c r="N51" s="241"/>
    </row>
    <row r="52" spans="1:14" x14ac:dyDescent="0.25">
      <c r="A52" s="490"/>
      <c r="B52" s="237" t="str">
        <f>+'PAC CONSOLIDADO'!E50</f>
        <v>1 Construcción Colegio Mata De Platano</v>
      </c>
      <c r="C52" s="238">
        <f>+$C$5*'PAC CONSOLIDADO'!J50</f>
        <v>318257.64724182372</v>
      </c>
      <c r="D52" s="238"/>
      <c r="E52" s="238">
        <f>+'PAC CONSOLIDADO'!J50*'POA CONSOLIDADO'!$E$5</f>
        <v>1273030.5889672949</v>
      </c>
      <c r="F52" s="238"/>
      <c r="G52" s="238"/>
      <c r="H52" s="238"/>
      <c r="I52" s="238"/>
      <c r="J52" s="238"/>
      <c r="K52" s="238">
        <f t="shared" si="9"/>
        <v>1591288.2362091187</v>
      </c>
      <c r="L52" s="238"/>
      <c r="M52" s="240"/>
      <c r="N52" s="241"/>
    </row>
    <row r="53" spans="1:14" x14ac:dyDescent="0.25">
      <c r="A53" s="490"/>
      <c r="B53" s="237" t="str">
        <f>+'PAC CONSOLIDADO'!E51</f>
        <v>1 Construcción Colegio Occidental</v>
      </c>
      <c r="C53" s="238">
        <f>+$C$5*'PAC CONSOLIDADO'!J51</f>
        <v>591563.67536998028</v>
      </c>
      <c r="D53" s="238"/>
      <c r="E53" s="238">
        <f>+'PAC CONSOLIDADO'!J51*'POA CONSOLIDADO'!$E$5</f>
        <v>2366254.7014799211</v>
      </c>
      <c r="F53" s="238"/>
      <c r="G53" s="238"/>
      <c r="H53" s="238"/>
      <c r="I53" s="238"/>
      <c r="J53" s="238"/>
      <c r="K53" s="238">
        <f t="shared" si="9"/>
        <v>2957818.3768499014</v>
      </c>
      <c r="L53" s="238"/>
      <c r="M53" s="240"/>
      <c r="N53" s="241"/>
    </row>
    <row r="54" spans="1:14" x14ac:dyDescent="0.25">
      <c r="A54" s="490"/>
      <c r="B54" s="237" t="str">
        <f>+'PAC CONSOLIDADO'!E52</f>
        <v>1 Construcción Colegio Puente De Piedra</v>
      </c>
      <c r="C54" s="238">
        <f>+$C$5*'PAC CONSOLIDADO'!J52</f>
        <v>318257.64724182372</v>
      </c>
      <c r="D54" s="238"/>
      <c r="E54" s="238">
        <f>+'PAC CONSOLIDADO'!J52*'POA CONSOLIDADO'!$E$5</f>
        <v>1273030.5889672949</v>
      </c>
      <c r="F54" s="238"/>
      <c r="G54" s="238"/>
      <c r="H54" s="238"/>
      <c r="I54" s="238"/>
      <c r="J54" s="238"/>
      <c r="K54" s="238">
        <f t="shared" si="9"/>
        <v>1591288.2362091187</v>
      </c>
      <c r="L54" s="238"/>
      <c r="M54" s="240"/>
      <c r="N54" s="241"/>
    </row>
    <row r="55" spans="1:14" x14ac:dyDescent="0.25">
      <c r="A55" s="490"/>
      <c r="B55" s="237" t="str">
        <f>+'PAC CONSOLIDADO'!E53</f>
        <v xml:space="preserve">1 Construcción Liceo De Cuajiniquil </v>
      </c>
      <c r="C55" s="238">
        <f>+$C$5*'PAC CONSOLIDADO'!J53</f>
        <v>274484.56933771406</v>
      </c>
      <c r="D55" s="238"/>
      <c r="E55" s="238">
        <f>+'PAC CONSOLIDADO'!J53*'POA CONSOLIDADO'!$E$5</f>
        <v>1097938.2773508562</v>
      </c>
      <c r="F55" s="238"/>
      <c r="G55" s="238"/>
      <c r="H55" s="238"/>
      <c r="I55" s="238"/>
      <c r="J55" s="238"/>
      <c r="K55" s="238">
        <f t="shared" si="9"/>
        <v>1372422.8466885702</v>
      </c>
      <c r="L55" s="238"/>
      <c r="M55" s="240"/>
      <c r="N55" s="241"/>
    </row>
    <row r="56" spans="1:14" x14ac:dyDescent="0.25">
      <c r="A56" s="490"/>
      <c r="B56" s="237" t="str">
        <f>+'PAC CONSOLIDADO'!E54</f>
        <v>1 Construcción Liceo Pacto Del Jocote</v>
      </c>
      <c r="C56" s="238">
        <f>+$C$5*'PAC CONSOLIDADO'!J54</f>
        <v>318257.64724182372</v>
      </c>
      <c r="D56" s="238"/>
      <c r="E56" s="238">
        <f>+'PAC CONSOLIDADO'!J54*'POA CONSOLIDADO'!$E$5</f>
        <v>1273030.5889672949</v>
      </c>
      <c r="F56" s="238"/>
      <c r="G56" s="238"/>
      <c r="H56" s="238"/>
      <c r="I56" s="238"/>
      <c r="J56" s="238"/>
      <c r="K56" s="238">
        <f t="shared" si="9"/>
        <v>1591288.2362091187</v>
      </c>
      <c r="L56" s="238"/>
      <c r="M56" s="240"/>
      <c r="N56" s="241"/>
    </row>
    <row r="57" spans="1:14" x14ac:dyDescent="0.25">
      <c r="A57" s="490"/>
      <c r="B57" s="237" t="str">
        <f>+'PAC CONSOLIDADO'!E55</f>
        <v>1 Construcción Liceo Rural Banderas</v>
      </c>
      <c r="C57" s="238">
        <f>+$C$5*'PAC CONSOLIDADO'!J55</f>
        <v>126963.14475922329</v>
      </c>
      <c r="D57" s="238"/>
      <c r="E57" s="238">
        <f>+'PAC CONSOLIDADO'!J55*'POA CONSOLIDADO'!$E$5</f>
        <v>507852.57903689315</v>
      </c>
      <c r="F57" s="238"/>
      <c r="G57" s="238"/>
      <c r="H57" s="238"/>
      <c r="I57" s="238"/>
      <c r="J57" s="238"/>
      <c r="K57" s="238">
        <f t="shared" si="9"/>
        <v>634815.72379611642</v>
      </c>
      <c r="L57" s="238"/>
      <c r="M57" s="240"/>
      <c r="N57" s="241"/>
    </row>
    <row r="58" spans="1:14" x14ac:dyDescent="0.25">
      <c r="A58" s="490"/>
      <c r="B58" s="237" t="str">
        <f>+'PAC CONSOLIDADO'!E56</f>
        <v>1 Construcción Liceo Rural La Gata</v>
      </c>
      <c r="C58" s="238">
        <f>+$C$5*'PAC CONSOLIDADO'!J56</f>
        <v>126963.14475922329</v>
      </c>
      <c r="D58" s="238"/>
      <c r="E58" s="238">
        <f>+'PAC CONSOLIDADO'!J56*'POA CONSOLIDADO'!$E$5</f>
        <v>507852.57903689315</v>
      </c>
      <c r="F58" s="238"/>
      <c r="G58" s="238"/>
      <c r="H58" s="238"/>
      <c r="I58" s="238"/>
      <c r="J58" s="238"/>
      <c r="K58" s="238">
        <f t="shared" si="9"/>
        <v>634815.72379611642</v>
      </c>
      <c r="L58" s="238"/>
      <c r="M58" s="240"/>
      <c r="N58" s="241"/>
    </row>
    <row r="59" spans="1:14" x14ac:dyDescent="0.25">
      <c r="A59" s="490"/>
      <c r="B59" s="237" t="str">
        <f>+'PAC CONSOLIDADO'!E57</f>
        <v>1 Construcción Liceo Rural Labrador</v>
      </c>
      <c r="C59" s="238">
        <f>+$C$5*'PAC CONSOLIDADO'!J57</f>
        <v>162520.45471695042</v>
      </c>
      <c r="D59" s="238"/>
      <c r="E59" s="238">
        <f>+'PAC CONSOLIDADO'!J57*'POA CONSOLIDADO'!$E$5</f>
        <v>650081.81886780169</v>
      </c>
      <c r="F59" s="238"/>
      <c r="G59" s="238"/>
      <c r="H59" s="238"/>
      <c r="I59" s="238"/>
      <c r="J59" s="238"/>
      <c r="K59" s="238">
        <f t="shared" si="9"/>
        <v>812602.27358475211</v>
      </c>
      <c r="L59" s="238"/>
      <c r="M59" s="240"/>
      <c r="N59" s="241"/>
    </row>
    <row r="60" spans="1:14" ht="28.5" customHeight="1" x14ac:dyDescent="0.25">
      <c r="A60" s="490"/>
      <c r="B60" s="237" t="str">
        <f>+'PAC CONSOLIDADO'!E58</f>
        <v>1 Construcción Liceo Rural Londres De Aguirre</v>
      </c>
      <c r="C60" s="238">
        <f>+$C$5*'PAC CONSOLIDADO'!J58</f>
        <v>135447.27481373929</v>
      </c>
      <c r="D60" s="238"/>
      <c r="E60" s="238">
        <f>+'PAC CONSOLIDADO'!J58*'POA CONSOLIDADO'!$E$5</f>
        <v>541789.09925495717</v>
      </c>
      <c r="F60" s="238"/>
      <c r="G60" s="238"/>
      <c r="H60" s="238"/>
      <c r="I60" s="238"/>
      <c r="J60" s="238"/>
      <c r="K60" s="238">
        <f t="shared" si="9"/>
        <v>677236.37406869652</v>
      </c>
      <c r="L60" s="238"/>
      <c r="M60" s="240"/>
      <c r="N60" s="241"/>
    </row>
    <row r="61" spans="1:14" x14ac:dyDescent="0.25">
      <c r="A61" s="490"/>
      <c r="B61" s="237" t="str">
        <f>+'PAC CONSOLIDADO'!E59</f>
        <v>1 Construcción Liceo Rural Zapatón</v>
      </c>
      <c r="C61" s="238">
        <f>+$C$5*'PAC CONSOLIDADO'!J59</f>
        <v>117902.55744949071</v>
      </c>
      <c r="D61" s="238"/>
      <c r="E61" s="238">
        <f>+'PAC CONSOLIDADO'!J59*'POA CONSOLIDADO'!$E$5</f>
        <v>471610.22979796282</v>
      </c>
      <c r="F61" s="238"/>
      <c r="G61" s="238"/>
      <c r="H61" s="238"/>
      <c r="I61" s="238"/>
      <c r="J61" s="238"/>
      <c r="K61" s="238">
        <f t="shared" si="9"/>
        <v>589512.78724745358</v>
      </c>
      <c r="L61" s="238"/>
      <c r="M61" s="240"/>
      <c r="N61" s="241"/>
    </row>
    <row r="62" spans="1:14" x14ac:dyDescent="0.25">
      <c r="A62" s="490"/>
      <c r="B62" s="237" t="str">
        <f>+'PAC CONSOLIDADO'!E60</f>
        <v>1 Construcción T.V. Boca Tapada</v>
      </c>
      <c r="C62" s="238">
        <f>+$C$5*'PAC CONSOLIDADO'!J60</f>
        <v>117902.55744949071</v>
      </c>
      <c r="D62" s="238"/>
      <c r="E62" s="238">
        <f>+'PAC CONSOLIDADO'!J60*'POA CONSOLIDADO'!$E$5</f>
        <v>471610.22979796282</v>
      </c>
      <c r="F62" s="238"/>
      <c r="G62" s="238"/>
      <c r="H62" s="238"/>
      <c r="I62" s="238"/>
      <c r="J62" s="238"/>
      <c r="K62" s="238">
        <f t="shared" si="9"/>
        <v>589512.78724745358</v>
      </c>
      <c r="L62" s="238"/>
      <c r="M62" s="240"/>
      <c r="N62" s="241"/>
    </row>
    <row r="63" spans="1:14" x14ac:dyDescent="0.25">
      <c r="A63" s="490"/>
      <c r="B63" s="237" t="str">
        <f>+'PAC CONSOLIDADO'!E61</f>
        <v>1 Construcción T.V. El Jardín</v>
      </c>
      <c r="C63" s="238">
        <f>+$C$5*'PAC CONSOLIDADO'!J61</f>
        <v>126963.14475922329</v>
      </c>
      <c r="D63" s="238"/>
      <c r="E63" s="238">
        <f>+'PAC CONSOLIDADO'!J61*'POA CONSOLIDADO'!$E$5</f>
        <v>507852.57903689315</v>
      </c>
      <c r="F63" s="238"/>
      <c r="G63" s="238"/>
      <c r="H63" s="238"/>
      <c r="I63" s="238"/>
      <c r="J63" s="238"/>
      <c r="K63" s="238">
        <f t="shared" si="9"/>
        <v>634815.72379611642</v>
      </c>
      <c r="L63" s="238"/>
      <c r="M63" s="240"/>
      <c r="N63" s="241"/>
    </row>
    <row r="64" spans="1:14" x14ac:dyDescent="0.25">
      <c r="A64" s="490"/>
      <c r="B64" s="237" t="str">
        <f>+'PAC CONSOLIDADO'!E62</f>
        <v>1 Construcción T.V. Las Marías</v>
      </c>
      <c r="C64" s="238">
        <f>+$C$5*'PAC CONSOLIDADO'!J62</f>
        <v>117902.55744949071</v>
      </c>
      <c r="D64" s="238"/>
      <c r="E64" s="238">
        <f>+'PAC CONSOLIDADO'!J62*'POA CONSOLIDADO'!$E$5</f>
        <v>471610.22979796282</v>
      </c>
      <c r="F64" s="238"/>
      <c r="G64" s="238"/>
      <c r="H64" s="238"/>
      <c r="I64" s="238"/>
      <c r="J64" s="238"/>
      <c r="K64" s="238">
        <f t="shared" si="9"/>
        <v>589512.78724745358</v>
      </c>
      <c r="L64" s="238"/>
      <c r="M64" s="240"/>
      <c r="N64" s="241"/>
    </row>
    <row r="65" spans="1:14" x14ac:dyDescent="0.25">
      <c r="A65" s="490"/>
      <c r="B65" s="237" t="str">
        <f>+'PAC CONSOLIDADO'!E63</f>
        <v>1 Construcción T.V. Mastatal</v>
      </c>
      <c r="C65" s="238">
        <f>+$C$5*'PAC CONSOLIDADO'!J63</f>
        <v>117902.55744949071</v>
      </c>
      <c r="D65" s="238"/>
      <c r="E65" s="238">
        <f>+'PAC CONSOLIDADO'!J63*'POA CONSOLIDADO'!$E$5</f>
        <v>471610.22979796282</v>
      </c>
      <c r="F65" s="238"/>
      <c r="G65" s="238"/>
      <c r="H65" s="238"/>
      <c r="I65" s="238"/>
      <c r="J65" s="238"/>
      <c r="K65" s="238">
        <f t="shared" si="9"/>
        <v>589512.78724745358</v>
      </c>
      <c r="L65" s="238"/>
      <c r="M65" s="240"/>
      <c r="N65" s="241"/>
    </row>
    <row r="66" spans="1:14" x14ac:dyDescent="0.25">
      <c r="A66" s="490"/>
      <c r="B66" s="237" t="str">
        <f>+'PAC CONSOLIDADO'!E64</f>
        <v>1 Construcción C.T.P. San Rafael</v>
      </c>
      <c r="C66" s="238">
        <f>+$C$5*'PAC CONSOLIDADO'!J64</f>
        <v>506483.3224226993</v>
      </c>
      <c r="D66" s="238"/>
      <c r="E66" s="238">
        <f>+'PAC CONSOLIDADO'!J64*'POA CONSOLIDADO'!$E$5</f>
        <v>2025933.2896907972</v>
      </c>
      <c r="F66" s="238"/>
      <c r="G66" s="238"/>
      <c r="H66" s="238"/>
      <c r="I66" s="238"/>
      <c r="J66" s="238"/>
      <c r="K66" s="238">
        <f t="shared" si="9"/>
        <v>2532416.6121134963</v>
      </c>
      <c r="L66" s="238"/>
      <c r="M66" s="240"/>
      <c r="N66" s="241"/>
    </row>
    <row r="67" spans="1:14" x14ac:dyDescent="0.25">
      <c r="A67" s="490"/>
      <c r="B67" s="237" t="str">
        <f>+'PAC CONSOLIDADO'!E65</f>
        <v>2 Construcción Liceo De Cascajal</v>
      </c>
      <c r="C67" s="238"/>
      <c r="D67" s="238"/>
      <c r="E67" s="238">
        <f>+$E$5*'PAC CONSOLIDADO'!J65</f>
        <v>889455.82757216378</v>
      </c>
      <c r="F67" s="238"/>
      <c r="G67" s="238">
        <f>+'PAC CONSOLIDADO'!J65*'POA CONSOLIDADO'!$C$5</f>
        <v>222363.95689304094</v>
      </c>
      <c r="H67" s="238"/>
      <c r="I67" s="238"/>
      <c r="J67" s="238"/>
      <c r="K67" s="238">
        <f t="shared" si="9"/>
        <v>1111819.7844652047</v>
      </c>
      <c r="L67" s="238"/>
      <c r="M67" s="240"/>
      <c r="N67" s="241"/>
    </row>
    <row r="68" spans="1:14" x14ac:dyDescent="0.25">
      <c r="A68" s="490"/>
      <c r="B68" s="237" t="str">
        <f>+'PAC CONSOLIDADO'!E66</f>
        <v>2 Construcción Liceo De Tierra Blanca</v>
      </c>
      <c r="C68" s="238"/>
      <c r="D68" s="238"/>
      <c r="E68" s="238">
        <f>+$E$5*'PAC CONSOLIDADO'!J66</f>
        <v>1152835.191218399</v>
      </c>
      <c r="F68" s="238"/>
      <c r="G68" s="238">
        <f>+'PAC CONSOLIDADO'!J66*'POA CONSOLIDADO'!$C$5</f>
        <v>288208.79780459974</v>
      </c>
      <c r="H68" s="238"/>
      <c r="I68" s="238"/>
      <c r="J68" s="238"/>
      <c r="K68" s="238">
        <f t="shared" si="9"/>
        <v>1441043.9890229986</v>
      </c>
      <c r="L68" s="238"/>
      <c r="M68" s="240"/>
      <c r="N68" s="241"/>
    </row>
    <row r="69" spans="1:14" x14ac:dyDescent="0.25">
      <c r="A69" s="490"/>
      <c r="B69" s="237" t="str">
        <f>+'PAC CONSOLIDADO'!E67</f>
        <v>2 Construcción Liceo De Tobosi El Guarco</v>
      </c>
      <c r="C69" s="238"/>
      <c r="D69" s="238"/>
      <c r="E69" s="238">
        <f>+$E$5*'PAC CONSOLIDADO'!J67</f>
        <v>1152835.191218399</v>
      </c>
      <c r="F69" s="238"/>
      <c r="G69" s="238">
        <f>+'PAC CONSOLIDADO'!J67*'POA CONSOLIDADO'!$C$5</f>
        <v>288208.79780459974</v>
      </c>
      <c r="H69" s="238"/>
      <c r="I69" s="238"/>
      <c r="J69" s="238"/>
      <c r="K69" s="238">
        <f t="shared" si="9"/>
        <v>1441043.9890229986</v>
      </c>
      <c r="L69" s="238"/>
      <c r="M69" s="240"/>
      <c r="N69" s="241"/>
    </row>
    <row r="70" spans="1:14" x14ac:dyDescent="0.25">
      <c r="A70" s="490"/>
      <c r="B70" s="237" t="str">
        <f>+'PAC CONSOLIDADO'!E68</f>
        <v>2 Construcción Liceo Deportivo Grecia</v>
      </c>
      <c r="C70" s="238"/>
      <c r="D70" s="238"/>
      <c r="E70" s="238">
        <f>+$E$5*'PAC CONSOLIDADO'!J68</f>
        <v>1152835.1926731747</v>
      </c>
      <c r="F70" s="238"/>
      <c r="G70" s="238">
        <f>+'PAC CONSOLIDADO'!J68*'POA CONSOLIDADO'!$C$5</f>
        <v>288208.79816829367</v>
      </c>
      <c r="H70" s="238"/>
      <c r="I70" s="238"/>
      <c r="J70" s="238"/>
      <c r="K70" s="238">
        <f t="shared" si="9"/>
        <v>1441043.9908414683</v>
      </c>
      <c r="L70" s="238"/>
      <c r="M70" s="240"/>
      <c r="N70" s="241"/>
    </row>
    <row r="71" spans="1:14" x14ac:dyDescent="0.25">
      <c r="A71" s="490"/>
      <c r="B71" s="237" t="str">
        <f>+'PAC CONSOLIDADO'!E69</f>
        <v>2 Construcción Liceo El Paraiso</v>
      </c>
      <c r="C71" s="238"/>
      <c r="D71" s="238"/>
      <c r="E71" s="238">
        <f>+$E$5*'PAC CONSOLIDADO'!J69</f>
        <v>889455.82757216378</v>
      </c>
      <c r="F71" s="238"/>
      <c r="G71" s="238">
        <f>+'PAC CONSOLIDADO'!J69*'POA CONSOLIDADO'!$C$5</f>
        <v>222363.95689304094</v>
      </c>
      <c r="H71" s="238"/>
      <c r="I71" s="238"/>
      <c r="J71" s="238"/>
      <c r="K71" s="238">
        <f t="shared" si="9"/>
        <v>1111819.7844652047</v>
      </c>
      <c r="L71" s="238"/>
      <c r="M71" s="240"/>
      <c r="N71" s="241"/>
    </row>
    <row r="72" spans="1:14" x14ac:dyDescent="0.25">
      <c r="A72" s="490"/>
      <c r="B72" s="237" t="str">
        <f>+'PAC CONSOLIDADO'!E70</f>
        <v>2 Construcción Liceo Felix Mata Valle</v>
      </c>
      <c r="C72" s="238"/>
      <c r="D72" s="238"/>
      <c r="E72" s="238">
        <f>+$E$5*'PAC CONSOLIDADO'!J70</f>
        <v>889455.82757216378</v>
      </c>
      <c r="F72" s="238"/>
      <c r="G72" s="238">
        <f>+'PAC CONSOLIDADO'!J70*'POA CONSOLIDADO'!$C$5</f>
        <v>222363.95689304094</v>
      </c>
      <c r="H72" s="238"/>
      <c r="I72" s="238"/>
      <c r="J72" s="238"/>
      <c r="K72" s="238">
        <f t="shared" si="9"/>
        <v>1111819.7844652047</v>
      </c>
      <c r="L72" s="238"/>
      <c r="M72" s="240"/>
      <c r="N72" s="241"/>
    </row>
    <row r="73" spans="1:14" ht="27" customHeight="1" x14ac:dyDescent="0.25">
      <c r="A73" s="490"/>
      <c r="B73" s="237" t="str">
        <f>+'PAC CONSOLIDADO'!E71</f>
        <v>2 Construcción Liceo Rural Cañon De El Guarco</v>
      </c>
      <c r="C73" s="238"/>
      <c r="D73" s="238"/>
      <c r="E73" s="238">
        <f>+$E$5*'PAC CONSOLIDADO'!J71</f>
        <v>495190.74128786096</v>
      </c>
      <c r="F73" s="238"/>
      <c r="G73" s="238">
        <f>+'PAC CONSOLIDADO'!J71*'POA CONSOLIDADO'!$C$5</f>
        <v>123797.68532196524</v>
      </c>
      <c r="H73" s="238"/>
      <c r="I73" s="238"/>
      <c r="J73" s="238"/>
      <c r="K73" s="238">
        <f t="shared" si="9"/>
        <v>618988.42660982616</v>
      </c>
      <c r="L73" s="238"/>
      <c r="M73" s="240"/>
      <c r="N73" s="241"/>
    </row>
    <row r="74" spans="1:14" x14ac:dyDescent="0.25">
      <c r="A74" s="490"/>
      <c r="B74" s="237" t="str">
        <f>+'PAC CONSOLIDADO'!E72</f>
        <v>2 Construcción Liceo Rural Cartagena</v>
      </c>
      <c r="C74" s="238"/>
      <c r="D74" s="238"/>
      <c r="E74" s="238">
        <f>+$E$5*'PAC CONSOLIDADO'!J72</f>
        <v>568878.55421770504</v>
      </c>
      <c r="F74" s="238"/>
      <c r="G74" s="238">
        <f>+'PAC CONSOLIDADO'!J72*'POA CONSOLIDADO'!$C$5</f>
        <v>142219.63855442626</v>
      </c>
      <c r="H74" s="238"/>
      <c r="I74" s="238"/>
      <c r="J74" s="238"/>
      <c r="K74" s="238">
        <f t="shared" si="9"/>
        <v>711098.1927721313</v>
      </c>
      <c r="L74" s="238"/>
      <c r="M74" s="240"/>
      <c r="N74" s="241"/>
    </row>
    <row r="75" spans="1:14" x14ac:dyDescent="0.25">
      <c r="A75" s="490"/>
      <c r="B75" s="237" t="str">
        <f>+'PAC CONSOLIDADO'!E73</f>
        <v>2 Construcción Liceo Rural El Venado</v>
      </c>
      <c r="C75" s="238"/>
      <c r="D75" s="238"/>
      <c r="E75" s="238">
        <f>+$E$5*'PAC CONSOLIDADO'!J73</f>
        <v>533245.20798873785</v>
      </c>
      <c r="F75" s="238"/>
      <c r="G75" s="238">
        <f>+'PAC CONSOLIDADO'!J73*'POA CONSOLIDADO'!$C$5</f>
        <v>133311.30199718446</v>
      </c>
      <c r="H75" s="238"/>
      <c r="I75" s="238"/>
      <c r="J75" s="238"/>
      <c r="K75" s="238">
        <f t="shared" si="9"/>
        <v>666556.50998592237</v>
      </c>
      <c r="L75" s="238"/>
      <c r="M75" s="240"/>
      <c r="N75" s="241"/>
    </row>
    <row r="76" spans="1:14" x14ac:dyDescent="0.25">
      <c r="A76" s="490"/>
      <c r="B76" s="237" t="str">
        <f>+'PAC CONSOLIDADO'!E74</f>
        <v>2 Construcción Liceo Rural Los Almendros</v>
      </c>
      <c r="C76" s="238"/>
      <c r="D76" s="238"/>
      <c r="E76" s="238">
        <f>+$E$5*'PAC CONSOLIDADO'!J74</f>
        <v>495190.74128786096</v>
      </c>
      <c r="F76" s="238"/>
      <c r="G76" s="238">
        <f>+'PAC CONSOLIDADO'!J74*'POA CONSOLIDADO'!$C$5</f>
        <v>123797.68532196524</v>
      </c>
      <c r="H76" s="238"/>
      <c r="I76" s="238"/>
      <c r="J76" s="238"/>
      <c r="K76" s="238">
        <f t="shared" si="9"/>
        <v>618988.42660982616</v>
      </c>
      <c r="L76" s="238"/>
      <c r="M76" s="240"/>
      <c r="N76" s="241"/>
    </row>
    <row r="77" spans="1:14" x14ac:dyDescent="0.25">
      <c r="A77" s="490"/>
      <c r="B77" s="237" t="str">
        <f>+'PAC CONSOLIDADO'!E75</f>
        <v>2 Construcción Liceo Rural Paraiso</v>
      </c>
      <c r="C77" s="238"/>
      <c r="D77" s="238"/>
      <c r="E77" s="238">
        <f>+$E$5*'PAC CONSOLIDADO'!J75</f>
        <v>495190.74128786096</v>
      </c>
      <c r="F77" s="238"/>
      <c r="G77" s="238">
        <f>+'PAC CONSOLIDADO'!J75*'POA CONSOLIDADO'!$C$5</f>
        <v>123797.68532196524</v>
      </c>
      <c r="H77" s="238"/>
      <c r="I77" s="238"/>
      <c r="J77" s="238"/>
      <c r="K77" s="238">
        <f t="shared" si="9"/>
        <v>618988.42660982616</v>
      </c>
      <c r="L77" s="238"/>
      <c r="M77" s="240"/>
      <c r="N77" s="241"/>
    </row>
    <row r="78" spans="1:14" x14ac:dyDescent="0.25">
      <c r="A78" s="490"/>
      <c r="B78" s="237" t="str">
        <f>+'PAC CONSOLIDADO'!E76</f>
        <v>2 Construcción Liceo Rural Santa Rosa</v>
      </c>
      <c r="C78" s="238"/>
      <c r="D78" s="238"/>
      <c r="E78" s="238">
        <f>+$E$5*'PAC CONSOLIDADO'!J76</f>
        <v>533245.20798873785</v>
      </c>
      <c r="F78" s="238"/>
      <c r="G78" s="238">
        <f>+'PAC CONSOLIDADO'!J76*'POA CONSOLIDADO'!$C$5</f>
        <v>133311.30199718446</v>
      </c>
      <c r="H78" s="238"/>
      <c r="I78" s="238"/>
      <c r="J78" s="238"/>
      <c r="K78" s="238">
        <f t="shared" si="9"/>
        <v>666556.50998592237</v>
      </c>
      <c r="L78" s="238"/>
      <c r="M78" s="240"/>
      <c r="N78" s="241"/>
    </row>
    <row r="79" spans="1:14" x14ac:dyDescent="0.25">
      <c r="A79" s="490"/>
      <c r="B79" s="237" t="str">
        <f>+'PAC CONSOLIDADO'!E77</f>
        <v>2 Construcción T.V. Barra Parismina</v>
      </c>
      <c r="C79" s="238"/>
      <c r="D79" s="238"/>
      <c r="E79" s="238">
        <f>+$E$5*'PAC CONSOLIDADO'!J77</f>
        <v>495190.74128786096</v>
      </c>
      <c r="F79" s="238"/>
      <c r="G79" s="238">
        <f>+'PAC CONSOLIDADO'!J77*'POA CONSOLIDADO'!$C$5</f>
        <v>123797.68532196524</v>
      </c>
      <c r="H79" s="238"/>
      <c r="I79" s="238"/>
      <c r="J79" s="238"/>
      <c r="K79" s="238">
        <f t="shared" si="9"/>
        <v>618988.42660982616</v>
      </c>
      <c r="L79" s="238"/>
      <c r="M79" s="240"/>
      <c r="N79" s="241"/>
    </row>
    <row r="80" spans="1:14" x14ac:dyDescent="0.25">
      <c r="A80" s="490"/>
      <c r="B80" s="237" t="str">
        <f>+'PAC CONSOLIDADO'!E78</f>
        <v>2 Construcción T.V. De Mexico</v>
      </c>
      <c r="C80" s="238"/>
      <c r="D80" s="238"/>
      <c r="E80" s="238">
        <f>+$E$5*'PAC CONSOLIDADO'!J78</f>
        <v>533245.20798873785</v>
      </c>
      <c r="F80" s="238"/>
      <c r="G80" s="238">
        <f>+'PAC CONSOLIDADO'!J78*'POA CONSOLIDADO'!$C$5</f>
        <v>133311.30199718446</v>
      </c>
      <c r="H80" s="238"/>
      <c r="I80" s="238"/>
      <c r="J80" s="238"/>
      <c r="K80" s="238">
        <f t="shared" si="9"/>
        <v>666556.50998592237</v>
      </c>
      <c r="L80" s="238"/>
      <c r="M80" s="240"/>
      <c r="N80" s="241"/>
    </row>
    <row r="81" spans="1:14" x14ac:dyDescent="0.25">
      <c r="A81" s="490"/>
      <c r="B81" s="237" t="str">
        <f>+'PAC CONSOLIDADO'!E79</f>
        <v>2 Construcción T.V. La Ceiba</v>
      </c>
      <c r="C81" s="238"/>
      <c r="D81" s="238"/>
      <c r="E81" s="238">
        <f>+$E$5*'PAC CONSOLIDADO'!J79</f>
        <v>495190.74128786096</v>
      </c>
      <c r="F81" s="238"/>
      <c r="G81" s="238">
        <f>+'PAC CONSOLIDADO'!J79*'POA CONSOLIDADO'!$C$5</f>
        <v>123797.68532196524</v>
      </c>
      <c r="H81" s="238"/>
      <c r="I81" s="238"/>
      <c r="J81" s="238"/>
      <c r="K81" s="238">
        <f t="shared" si="9"/>
        <v>618988.42660982616</v>
      </c>
      <c r="L81" s="238"/>
      <c r="M81" s="240"/>
      <c r="N81" s="241"/>
    </row>
    <row r="82" spans="1:14" x14ac:dyDescent="0.25">
      <c r="A82" s="490"/>
      <c r="B82" s="237" t="str">
        <f>+'PAC CONSOLIDADO'!E80</f>
        <v>2 Construcción T.V. Lanas</v>
      </c>
      <c r="C82" s="238"/>
      <c r="D82" s="238"/>
      <c r="E82" s="238">
        <f>+$E$5*'PAC CONSOLIDADO'!J80</f>
        <v>495190.74128786096</v>
      </c>
      <c r="F82" s="238"/>
      <c r="G82" s="238">
        <f>+'PAC CONSOLIDADO'!J80*'POA CONSOLIDADO'!$C$5</f>
        <v>123797.68532196524</v>
      </c>
      <c r="H82" s="238"/>
      <c r="I82" s="238"/>
      <c r="J82" s="238"/>
      <c r="K82" s="238">
        <f t="shared" si="9"/>
        <v>618988.42660982616</v>
      </c>
      <c r="L82" s="238"/>
      <c r="M82" s="240"/>
      <c r="N82" s="241"/>
    </row>
    <row r="83" spans="1:14" x14ac:dyDescent="0.25">
      <c r="A83" s="490"/>
      <c r="B83" s="237" t="str">
        <f>+'PAC CONSOLIDADO'!E81</f>
        <v>2 Construcción T.V. Piedras Azules</v>
      </c>
      <c r="C83" s="238"/>
      <c r="D83" s="238"/>
      <c r="E83" s="238">
        <f>+$E$5*'PAC CONSOLIDADO'!J81</f>
        <v>495190.74128786096</v>
      </c>
      <c r="F83" s="238"/>
      <c r="G83" s="238">
        <f>+'PAC CONSOLIDADO'!J81*'POA CONSOLIDADO'!$C$5</f>
        <v>123797.68532196524</v>
      </c>
      <c r="H83" s="238"/>
      <c r="I83" s="238"/>
      <c r="J83" s="238"/>
      <c r="K83" s="238">
        <f t="shared" si="9"/>
        <v>618988.42660982616</v>
      </c>
      <c r="L83" s="238"/>
      <c r="M83" s="240"/>
      <c r="N83" s="241"/>
    </row>
    <row r="84" spans="1:14" x14ac:dyDescent="0.25">
      <c r="A84" s="490"/>
      <c r="B84" s="237" t="str">
        <f>+'PAC CONSOLIDADO'!E82</f>
        <v>2 Construcción T.V. San Juan</v>
      </c>
      <c r="C84" s="238"/>
      <c r="D84" s="238"/>
      <c r="E84" s="238">
        <f>+$E$5*'PAC CONSOLIDADO'!J82</f>
        <v>495190.74128786096</v>
      </c>
      <c r="F84" s="238"/>
      <c r="G84" s="238">
        <f>+'PAC CONSOLIDADO'!J82*'POA CONSOLIDADO'!$C$5</f>
        <v>123797.68532196524</v>
      </c>
      <c r="H84" s="238"/>
      <c r="I84" s="238"/>
      <c r="J84" s="238"/>
      <c r="K84" s="238">
        <f t="shared" si="9"/>
        <v>618988.42660982616</v>
      </c>
      <c r="L84" s="238"/>
      <c r="M84" s="240"/>
      <c r="N84" s="241"/>
    </row>
    <row r="85" spans="1:14" x14ac:dyDescent="0.25">
      <c r="A85" s="490"/>
      <c r="B85" s="237" t="str">
        <f>+'PAC CONSOLIDADO'!E83</f>
        <v>2 Construcción T.V.Las Brisas</v>
      </c>
      <c r="C85" s="238"/>
      <c r="D85" s="238"/>
      <c r="E85" s="238">
        <f>+$E$5*'PAC CONSOLIDADO'!J83</f>
        <v>495190.74128786096</v>
      </c>
      <c r="F85" s="238"/>
      <c r="G85" s="238">
        <f>+'PAC CONSOLIDADO'!J83*'POA CONSOLIDADO'!$C$5</f>
        <v>123797.68532196524</v>
      </c>
      <c r="H85" s="238"/>
      <c r="I85" s="238"/>
      <c r="J85" s="238"/>
      <c r="K85" s="238">
        <f t="shared" si="9"/>
        <v>618988.42660982616</v>
      </c>
      <c r="L85" s="238"/>
      <c r="M85" s="240"/>
      <c r="N85" s="241"/>
    </row>
    <row r="86" spans="1:14" x14ac:dyDescent="0.25">
      <c r="A86" s="490"/>
      <c r="B86" s="237" t="str">
        <f>+'PAC CONSOLIDADO'!E84</f>
        <v>3 Construcción Colegio Juntas De Caoba</v>
      </c>
      <c r="C86" s="238"/>
      <c r="D86" s="238"/>
      <c r="E86" s="238"/>
      <c r="F86" s="238"/>
      <c r="G86" s="238">
        <f>+$G$5*'PAC CONSOLIDADO'!J84</f>
        <v>790434.28721466206</v>
      </c>
      <c r="H86" s="238"/>
      <c r="I86" s="238">
        <f>+'PAC CONSOLIDADO'!J84*'POA CONSOLIDADO'!$I$5</f>
        <v>197608.57180366552</v>
      </c>
      <c r="J86" s="238"/>
      <c r="K86" s="238">
        <f t="shared" si="9"/>
        <v>988042.85901832755</v>
      </c>
      <c r="L86" s="238"/>
      <c r="M86" s="240"/>
      <c r="N86" s="241"/>
    </row>
    <row r="87" spans="1:14" x14ac:dyDescent="0.25">
      <c r="A87" s="490"/>
      <c r="B87" s="237" t="str">
        <f>+'PAC CONSOLIDADO'!E85</f>
        <v>3 Construcción Colegio Quebrada Ganado</v>
      </c>
      <c r="C87" s="238"/>
      <c r="D87" s="238"/>
      <c r="E87" s="238"/>
      <c r="F87" s="238"/>
      <c r="G87" s="238">
        <f>+$G$5*'PAC CONSOLIDADO'!J85</f>
        <v>1313118.0920700482</v>
      </c>
      <c r="H87" s="238"/>
      <c r="I87" s="238">
        <f>+'PAC CONSOLIDADO'!J85*'POA CONSOLIDADO'!$I$5</f>
        <v>328279.52301751205</v>
      </c>
      <c r="J87" s="238"/>
      <c r="K87" s="238">
        <f t="shared" si="9"/>
        <v>1641397.6150875604</v>
      </c>
      <c r="L87" s="238"/>
      <c r="M87" s="240"/>
      <c r="N87" s="241"/>
    </row>
    <row r="88" spans="1:14" x14ac:dyDescent="0.25">
      <c r="A88" s="490"/>
      <c r="B88" s="237" t="str">
        <f>+'PAC CONSOLIDADO'!E86</f>
        <v>3 Construcción Liceo Corredores (Nuevo)</v>
      </c>
      <c r="C88" s="238"/>
      <c r="D88" s="238"/>
      <c r="E88" s="238"/>
      <c r="F88" s="238"/>
      <c r="G88" s="238">
        <f>+$G$5*'PAC CONSOLIDADO'!J86</f>
        <v>2487382.2176841279</v>
      </c>
      <c r="H88" s="238"/>
      <c r="I88" s="238">
        <f>+'PAC CONSOLIDADO'!J86*'POA CONSOLIDADO'!$I$5</f>
        <v>621845.55442103196</v>
      </c>
      <c r="J88" s="238"/>
      <c r="K88" s="238">
        <f t="shared" si="9"/>
        <v>3109227.7721051597</v>
      </c>
      <c r="L88" s="238"/>
      <c r="M88" s="240"/>
      <c r="N88" s="241"/>
    </row>
    <row r="89" spans="1:14" x14ac:dyDescent="0.25">
      <c r="A89" s="490"/>
      <c r="B89" s="237" t="str">
        <f>+'PAC CONSOLIDADO'!E87</f>
        <v>3 Construcción Liceo De Puriscal (Nuevo)</v>
      </c>
      <c r="C89" s="238"/>
      <c r="D89" s="238"/>
      <c r="E89" s="238"/>
      <c r="F89" s="238"/>
      <c r="G89" s="238">
        <f>+$G$5*'PAC CONSOLIDADO'!J87</f>
        <v>1772877.298955248</v>
      </c>
      <c r="H89" s="238"/>
      <c r="I89" s="238">
        <f>+'PAC CONSOLIDADO'!J87*'POA CONSOLIDADO'!$I$5</f>
        <v>443219.32473881199</v>
      </c>
      <c r="J89" s="238"/>
      <c r="K89" s="238">
        <f t="shared" si="9"/>
        <v>2216096.6236940599</v>
      </c>
      <c r="L89" s="238"/>
      <c r="M89" s="240"/>
      <c r="N89" s="241"/>
    </row>
    <row r="90" spans="1:14" x14ac:dyDescent="0.25">
      <c r="A90" s="490"/>
      <c r="B90" s="237" t="str">
        <f>+'PAC CONSOLIDADO'!E88</f>
        <v>3 Construcción Liceo De San José Del Río</v>
      </c>
      <c r="C90" s="238"/>
      <c r="D90" s="238"/>
      <c r="E90" s="238"/>
      <c r="F90" s="238"/>
      <c r="G90" s="238">
        <f>+$G$5*'PAC CONSOLIDADO'!J88</f>
        <v>1210476.950779319</v>
      </c>
      <c r="H90" s="238"/>
      <c r="I90" s="238">
        <f>+'PAC CONSOLIDADO'!J88*'POA CONSOLIDADO'!$I$5</f>
        <v>302619.23769482976</v>
      </c>
      <c r="J90" s="238"/>
      <c r="K90" s="238">
        <f t="shared" si="9"/>
        <v>1513096.1884741487</v>
      </c>
      <c r="L90" s="238"/>
      <c r="M90" s="240"/>
      <c r="N90" s="241"/>
    </row>
    <row r="91" spans="1:14" x14ac:dyDescent="0.25">
      <c r="A91" s="490"/>
      <c r="B91" s="237" t="str">
        <f>+'PAC CONSOLIDADO'!E89</f>
        <v>3 Construcción Liceo Guacimal</v>
      </c>
      <c r="C91" s="238"/>
      <c r="D91" s="238"/>
      <c r="E91" s="238"/>
      <c r="F91" s="238"/>
      <c r="G91" s="238">
        <f>+$G$5*'PAC CONSOLIDADO'!J89</f>
        <v>138855.24441268455</v>
      </c>
      <c r="H91" s="238"/>
      <c r="I91" s="238">
        <f>+'PAC CONSOLIDADO'!J89*'POA CONSOLIDADO'!$I$5</f>
        <v>34713.811103171138</v>
      </c>
      <c r="J91" s="238"/>
      <c r="K91" s="238">
        <f t="shared" si="9"/>
        <v>173569.0555158557</v>
      </c>
      <c r="L91" s="238"/>
      <c r="M91" s="240"/>
      <c r="N91" s="241"/>
    </row>
    <row r="92" spans="1:14" x14ac:dyDescent="0.25">
      <c r="A92" s="490"/>
      <c r="B92" s="237" t="str">
        <f>+'PAC CONSOLIDADO'!E90</f>
        <v>3 Construcción Liceo Los Ángeles</v>
      </c>
      <c r="C92" s="238"/>
      <c r="D92" s="238"/>
      <c r="E92" s="238"/>
      <c r="F92" s="238"/>
      <c r="G92" s="238">
        <f>+$G$5*'PAC CONSOLIDADO'!J90</f>
        <v>933928.6189507721</v>
      </c>
      <c r="H92" s="238"/>
      <c r="I92" s="238">
        <f>+'PAC CONSOLIDADO'!J90*'POA CONSOLIDADO'!$I$5</f>
        <v>233482.15473769302</v>
      </c>
      <c r="J92" s="238"/>
      <c r="K92" s="238">
        <f t="shared" si="9"/>
        <v>1167410.7736884651</v>
      </c>
      <c r="L92" s="238"/>
      <c r="M92" s="240"/>
      <c r="N92" s="241"/>
    </row>
    <row r="93" spans="1:14" x14ac:dyDescent="0.25">
      <c r="A93" s="490"/>
      <c r="B93" s="237" t="str">
        <f>+'PAC CONSOLIDADO'!E91</f>
        <v>3 Construcción Liceo Quebrada Grande</v>
      </c>
      <c r="C93" s="238"/>
      <c r="D93" s="238"/>
      <c r="E93" s="238"/>
      <c r="F93" s="238"/>
      <c r="G93" s="238">
        <f>+$G$5*'PAC CONSOLIDADO'!J91</f>
        <v>933928.6189507721</v>
      </c>
      <c r="H93" s="238"/>
      <c r="I93" s="238">
        <f>+'PAC CONSOLIDADO'!J91*'POA CONSOLIDADO'!$I$5</f>
        <v>233482.15473769302</v>
      </c>
      <c r="J93" s="238"/>
      <c r="K93" s="238">
        <f t="shared" si="9"/>
        <v>1167410.7736884651</v>
      </c>
      <c r="L93" s="238"/>
      <c r="M93" s="240"/>
      <c r="N93" s="241"/>
    </row>
    <row r="94" spans="1:14" x14ac:dyDescent="0.25">
      <c r="A94" s="490"/>
      <c r="B94" s="237" t="str">
        <f>+'PAC CONSOLIDADO'!E92</f>
        <v>3 Construcción Liceo San Antonio Del  Humo</v>
      </c>
      <c r="C94" s="238"/>
      <c r="D94" s="238"/>
      <c r="E94" s="238"/>
      <c r="F94" s="238"/>
      <c r="G94" s="238">
        <f>+$G$5*'PAC CONSOLIDADO'!J92</f>
        <v>1313118.0920700482</v>
      </c>
      <c r="H94" s="238"/>
      <c r="I94" s="238">
        <f>+'PAC CONSOLIDADO'!J92*'POA CONSOLIDADO'!$I$5</f>
        <v>328279.52301751205</v>
      </c>
      <c r="J94" s="238"/>
      <c r="K94" s="238">
        <f t="shared" si="9"/>
        <v>1641397.6150875604</v>
      </c>
      <c r="L94" s="238"/>
      <c r="M94" s="240"/>
      <c r="N94" s="241"/>
    </row>
    <row r="95" spans="1:14" x14ac:dyDescent="0.25">
      <c r="A95" s="490"/>
      <c r="B95" s="237" t="str">
        <f>+'PAC CONSOLIDADO'!E93</f>
        <v>3 Construcción Liceo Siquirres</v>
      </c>
      <c r="C95" s="238"/>
      <c r="D95" s="238"/>
      <c r="E95" s="238"/>
      <c r="F95" s="238"/>
      <c r="G95" s="238">
        <f>+$G$5*'PAC CONSOLIDADO'!J93</f>
        <v>2487380.3102005497</v>
      </c>
      <c r="H95" s="238"/>
      <c r="I95" s="238">
        <f>+'PAC CONSOLIDADO'!J93*'POA CONSOLIDADO'!$I$5</f>
        <v>621845.07755013742</v>
      </c>
      <c r="J95" s="238"/>
      <c r="K95" s="238">
        <f t="shared" si="9"/>
        <v>3109225.3877506871</v>
      </c>
      <c r="L95" s="238"/>
      <c r="M95" s="240"/>
      <c r="N95" s="241"/>
    </row>
    <row r="96" spans="1:14" x14ac:dyDescent="0.25">
      <c r="A96" s="490"/>
      <c r="B96" s="237" t="str">
        <f>+'PAC CONSOLIDADO'!E94</f>
        <v>3 Construcción Liceo Rural De Tarcoles</v>
      </c>
      <c r="C96" s="238"/>
      <c r="D96" s="238"/>
      <c r="E96" s="238"/>
      <c r="F96" s="238"/>
      <c r="G96" s="238">
        <f>+$G$5*'PAC CONSOLIDADO'!J94</f>
        <v>597322.48192859034</v>
      </c>
      <c r="H96" s="238"/>
      <c r="I96" s="238">
        <f>+'PAC CONSOLIDADO'!J94*'POA CONSOLIDADO'!$I$5</f>
        <v>149330.62048214758</v>
      </c>
      <c r="J96" s="238"/>
      <c r="K96" s="238">
        <f t="shared" si="9"/>
        <v>746653.10241073789</v>
      </c>
      <c r="L96" s="238"/>
      <c r="M96" s="240"/>
      <c r="N96" s="241"/>
    </row>
    <row r="97" spans="1:14" x14ac:dyDescent="0.25">
      <c r="A97" s="490"/>
      <c r="B97" s="237" t="str">
        <f>+'PAC CONSOLIDADO'!E95</f>
        <v>3 Construcción Liceo Rural Islas Del Chirripo</v>
      </c>
      <c r="C97" s="238"/>
      <c r="D97" s="238"/>
      <c r="E97" s="238"/>
      <c r="F97" s="238"/>
      <c r="G97" s="238">
        <f>+$G$5*'PAC CONSOLIDADO'!J95</f>
        <v>597322.48192859034</v>
      </c>
      <c r="H97" s="238"/>
      <c r="I97" s="238">
        <f>+'PAC CONSOLIDADO'!J95*'POA CONSOLIDADO'!$I$5</f>
        <v>149330.62048214758</v>
      </c>
      <c r="J97" s="238"/>
      <c r="K97" s="238">
        <f t="shared" si="9"/>
        <v>746653.10241073789</v>
      </c>
      <c r="L97" s="238"/>
      <c r="M97" s="240"/>
      <c r="N97" s="241"/>
    </row>
    <row r="98" spans="1:14" ht="28.5" customHeight="1" x14ac:dyDescent="0.25">
      <c r="A98" s="490"/>
      <c r="B98" s="237" t="str">
        <f>+'PAC CONSOLIDADO'!E96</f>
        <v>3 Construcción Liceo Rural San Carlos Pacuarito</v>
      </c>
      <c r="C98" s="238"/>
      <c r="D98" s="238"/>
      <c r="E98" s="238"/>
      <c r="F98" s="238"/>
      <c r="G98" s="238">
        <f>+$G$5*'PAC CONSOLIDADO'!J96</f>
        <v>559907.46838817466</v>
      </c>
      <c r="H98" s="238"/>
      <c r="I98" s="238">
        <f>+'PAC CONSOLIDADO'!J96*'POA CONSOLIDADO'!$I$5</f>
        <v>139976.86709704367</v>
      </c>
      <c r="J98" s="238"/>
      <c r="K98" s="238">
        <f t="shared" si="9"/>
        <v>699884.33548521833</v>
      </c>
      <c r="L98" s="238"/>
      <c r="M98" s="240"/>
      <c r="N98" s="241"/>
    </row>
    <row r="99" spans="1:14" x14ac:dyDescent="0.25">
      <c r="A99" s="490"/>
      <c r="B99" s="237" t="str">
        <f>+'PAC CONSOLIDADO'!E97</f>
        <v>3 Construcción Liceo Rural San Isidro</v>
      </c>
      <c r="C99" s="238"/>
      <c r="D99" s="238"/>
      <c r="E99" s="238"/>
      <c r="F99" s="238"/>
      <c r="G99" s="238">
        <f>+$G$5*'PAC CONSOLIDADO'!J97</f>
        <v>530276.82430430443</v>
      </c>
      <c r="H99" s="238"/>
      <c r="I99" s="238">
        <f>+'PAC CONSOLIDADO'!J97*'POA CONSOLIDADO'!$I$5</f>
        <v>132569.20607607611</v>
      </c>
      <c r="J99" s="238"/>
      <c r="K99" s="238">
        <f t="shared" si="9"/>
        <v>662846.03038038057</v>
      </c>
      <c r="L99" s="238"/>
      <c r="M99" s="240"/>
      <c r="N99" s="241"/>
    </row>
    <row r="100" spans="1:14" x14ac:dyDescent="0.25">
      <c r="A100" s="490"/>
      <c r="B100" s="237" t="str">
        <f>+'PAC CONSOLIDADO'!E98</f>
        <v>3 Construcción Liceo Rural Yorkin</v>
      </c>
      <c r="C100" s="238"/>
      <c r="D100" s="238"/>
      <c r="E100" s="238"/>
      <c r="F100" s="238"/>
      <c r="G100" s="238">
        <f>+$G$5*'PAC CONSOLIDADO'!J98</f>
        <v>519950.27835225401</v>
      </c>
      <c r="H100" s="238"/>
      <c r="I100" s="238">
        <f>+'PAC CONSOLIDADO'!J98*'POA CONSOLIDADO'!$I$5</f>
        <v>129987.5695880635</v>
      </c>
      <c r="J100" s="238"/>
      <c r="K100" s="238">
        <f t="shared" si="9"/>
        <v>649937.84794031747</v>
      </c>
      <c r="L100" s="238"/>
      <c r="M100" s="240"/>
      <c r="N100" s="241"/>
    </row>
    <row r="101" spans="1:14" x14ac:dyDescent="0.25">
      <c r="A101" s="490"/>
      <c r="B101" s="237" t="str">
        <f>+'PAC CONSOLIDADO'!E99</f>
        <v>3 Construcción T.V. De Puerto Viejo</v>
      </c>
      <c r="C101" s="238"/>
      <c r="D101" s="238"/>
      <c r="E101" s="238"/>
      <c r="F101" s="238"/>
      <c r="G101" s="238">
        <f>+$G$5*'PAC CONSOLIDADO'!J99</f>
        <v>716715.2053017515</v>
      </c>
      <c r="H101" s="238"/>
      <c r="I101" s="238">
        <f>+'PAC CONSOLIDADO'!J99*'POA CONSOLIDADO'!$I$5</f>
        <v>179178.80132543787</v>
      </c>
      <c r="J101" s="238"/>
      <c r="K101" s="238">
        <f t="shared" si="9"/>
        <v>895894.00662718934</v>
      </c>
      <c r="L101" s="238"/>
      <c r="M101" s="240"/>
      <c r="N101" s="241"/>
    </row>
    <row r="102" spans="1:14" x14ac:dyDescent="0.25">
      <c r="A102" s="490"/>
      <c r="B102" s="237" t="str">
        <f>+'PAC CONSOLIDADO'!E100</f>
        <v>3 Construcción T.V. El Llano</v>
      </c>
      <c r="C102" s="238"/>
      <c r="D102" s="238"/>
      <c r="E102" s="238"/>
      <c r="F102" s="238"/>
      <c r="G102" s="238">
        <f>+$G$5*'PAC CONSOLIDADO'!J100</f>
        <v>519950.27835225401</v>
      </c>
      <c r="H102" s="238"/>
      <c r="I102" s="238">
        <f>+'PAC CONSOLIDADO'!J100*'POA CONSOLIDADO'!$I$5</f>
        <v>129987.5695880635</v>
      </c>
      <c r="J102" s="238"/>
      <c r="K102" s="238">
        <f t="shared" si="9"/>
        <v>649937.84794031747</v>
      </c>
      <c r="L102" s="238"/>
      <c r="M102" s="240"/>
      <c r="N102" s="241"/>
    </row>
    <row r="103" spans="1:14" x14ac:dyDescent="0.25">
      <c r="A103" s="490"/>
      <c r="B103" s="237" t="str">
        <f>+'PAC CONSOLIDADO'!E101</f>
        <v>3 Construcción T.V. Ida San Luis</v>
      </c>
      <c r="C103" s="238"/>
      <c r="D103" s="238"/>
      <c r="E103" s="238"/>
      <c r="F103" s="238"/>
      <c r="G103" s="238">
        <f>+$G$5*'PAC CONSOLIDADO'!J101</f>
        <v>559907.46838817466</v>
      </c>
      <c r="H103" s="238"/>
      <c r="I103" s="238">
        <f>+'PAC CONSOLIDADO'!J101*'POA CONSOLIDADO'!$I$5</f>
        <v>139976.86709704367</v>
      </c>
      <c r="J103" s="238"/>
      <c r="K103" s="238">
        <f t="shared" si="9"/>
        <v>699884.33548521833</v>
      </c>
      <c r="L103" s="238"/>
      <c r="M103" s="240"/>
      <c r="N103" s="241"/>
    </row>
    <row r="104" spans="1:14" x14ac:dyDescent="0.25">
      <c r="A104" s="490"/>
      <c r="B104" s="237" t="str">
        <f>+'PAC CONSOLIDADO'!E102</f>
        <v>3 Construcción T.V. Las Ceibas</v>
      </c>
      <c r="C104" s="238"/>
      <c r="D104" s="238"/>
      <c r="E104" s="238"/>
      <c r="F104" s="238"/>
      <c r="G104" s="238">
        <f>+$G$5*'PAC CONSOLIDADO'!J102</f>
        <v>559907.46838817466</v>
      </c>
      <c r="H104" s="238"/>
      <c r="I104" s="238">
        <f>+'PAC CONSOLIDADO'!J102*'POA CONSOLIDADO'!$I$5</f>
        <v>139976.86709704367</v>
      </c>
      <c r="J104" s="238"/>
      <c r="K104" s="238">
        <f t="shared" si="9"/>
        <v>699884.33548521833</v>
      </c>
      <c r="L104" s="238"/>
      <c r="M104" s="240"/>
      <c r="N104" s="241"/>
    </row>
    <row r="105" spans="1:14" x14ac:dyDescent="0.25">
      <c r="A105" s="490"/>
      <c r="B105" s="237" t="str">
        <f>+'PAC CONSOLIDADO'!E103</f>
        <v>3 Construcción T.V. Las Colonias</v>
      </c>
      <c r="C105" s="238"/>
      <c r="D105" s="238"/>
      <c r="E105" s="238"/>
      <c r="F105" s="238"/>
      <c r="G105" s="238">
        <f>+$G$5*'PAC CONSOLIDADO'!J103</f>
        <v>519950.27835225401</v>
      </c>
      <c r="H105" s="238"/>
      <c r="I105" s="238">
        <f>+'PAC CONSOLIDADO'!J103*'POA CONSOLIDADO'!$I$5</f>
        <v>129987.5695880635</v>
      </c>
      <c r="J105" s="238"/>
      <c r="K105" s="238">
        <f t="shared" si="9"/>
        <v>649937.84794031747</v>
      </c>
      <c r="L105" s="238"/>
      <c r="M105" s="240"/>
      <c r="N105" s="241"/>
    </row>
    <row r="106" spans="1:14" x14ac:dyDescent="0.25">
      <c r="A106" s="490"/>
      <c r="B106" s="237" t="str">
        <f>+'PAC CONSOLIDADO'!E104</f>
        <v>3 Construcción T.V. Los Jazmines B.</v>
      </c>
      <c r="C106" s="238"/>
      <c r="D106" s="238"/>
      <c r="E106" s="238"/>
      <c r="F106" s="238"/>
      <c r="G106" s="238">
        <f>+$G$5*'PAC CONSOLIDADO'!J104</f>
        <v>519950.27835225401</v>
      </c>
      <c r="H106" s="238"/>
      <c r="I106" s="238">
        <f>+'PAC CONSOLIDADO'!J104*'POA CONSOLIDADO'!$I$5</f>
        <v>129987.5695880635</v>
      </c>
      <c r="J106" s="238"/>
      <c r="K106" s="238">
        <f t="shared" si="9"/>
        <v>649937.84794031747</v>
      </c>
      <c r="L106" s="238"/>
      <c r="M106" s="240"/>
      <c r="N106" s="241"/>
    </row>
    <row r="107" spans="1:14" x14ac:dyDescent="0.25">
      <c r="A107" s="490"/>
      <c r="B107" s="237" t="str">
        <f>+'PAC CONSOLIDADO'!E105</f>
        <v>3 Construcción T.V. San Julián</v>
      </c>
      <c r="C107" s="238"/>
      <c r="D107" s="238"/>
      <c r="E107" s="238"/>
      <c r="F107" s="238"/>
      <c r="G107" s="238">
        <f>+$G$5*'PAC CONSOLIDADO'!J105</f>
        <v>597322.48192859034</v>
      </c>
      <c r="H107" s="238"/>
      <c r="I107" s="238">
        <f>+'PAC CONSOLIDADO'!J105*'POA CONSOLIDADO'!$I$5</f>
        <v>149330.62048214758</v>
      </c>
      <c r="J107" s="238"/>
      <c r="K107" s="238">
        <f t="shared" si="9"/>
        <v>746653.10241073789</v>
      </c>
      <c r="L107" s="238"/>
      <c r="M107" s="240"/>
      <c r="N107" s="241"/>
    </row>
    <row r="108" spans="1:14" x14ac:dyDescent="0.25">
      <c r="A108" s="490"/>
      <c r="B108" s="237" t="str">
        <f>+'PAC CONSOLIDADO'!E106</f>
        <v>3 Construcción T.V. Valle Verde</v>
      </c>
      <c r="C108" s="238"/>
      <c r="D108" s="238"/>
      <c r="E108" s="238"/>
      <c r="F108" s="238"/>
      <c r="G108" s="238">
        <f>+$G$5*'PAC CONSOLIDADO'!J106</f>
        <v>519950.27835225401</v>
      </c>
      <c r="H108" s="238"/>
      <c r="I108" s="238">
        <f>+'PAC CONSOLIDADO'!J106*'POA CONSOLIDADO'!$I$5</f>
        <v>129987.5695880635</v>
      </c>
      <c r="J108" s="238"/>
      <c r="K108" s="238">
        <f t="shared" si="9"/>
        <v>649937.84794031747</v>
      </c>
      <c r="L108" s="238"/>
      <c r="M108" s="240"/>
      <c r="N108" s="241"/>
    </row>
    <row r="109" spans="1:14" x14ac:dyDescent="0.25">
      <c r="A109" s="490"/>
      <c r="B109" s="237" t="str">
        <f>+'PAC CONSOLIDADO'!E107</f>
        <v>3 Construcción C.T.P. Alajuelita</v>
      </c>
      <c r="C109" s="238"/>
      <c r="D109" s="238"/>
      <c r="E109" s="238"/>
      <c r="F109" s="238"/>
      <c r="G109" s="238">
        <f>+$G$5*'PAC CONSOLIDADO'!J107</f>
        <v>3469367.0301019545</v>
      </c>
      <c r="H109" s="238"/>
      <c r="I109" s="238">
        <f>+'PAC CONSOLIDADO'!J107*'POA CONSOLIDADO'!$I$5</f>
        <v>867341.75752548862</v>
      </c>
      <c r="J109" s="238"/>
      <c r="K109" s="238">
        <f t="shared" si="9"/>
        <v>4336708.7876274427</v>
      </c>
      <c r="L109" s="238"/>
      <c r="M109" s="240"/>
      <c r="N109" s="241"/>
    </row>
    <row r="110" spans="1:14" x14ac:dyDescent="0.25">
      <c r="A110" s="490"/>
      <c r="B110" s="237" t="str">
        <f>+'PAC CONSOLIDADO'!E108</f>
        <v>3 Construcción C.T.P. Belen</v>
      </c>
      <c r="C110" s="238"/>
      <c r="D110" s="238"/>
      <c r="E110" s="238"/>
      <c r="F110" s="238"/>
      <c r="G110" s="238">
        <f>+$G$5*'PAC CONSOLIDADO'!J108</f>
        <v>3469367.0301019545</v>
      </c>
      <c r="H110" s="238"/>
      <c r="I110" s="238">
        <f>+'PAC CONSOLIDADO'!J108*'POA CONSOLIDADO'!$I$5</f>
        <v>867341.75752548862</v>
      </c>
      <c r="J110" s="238"/>
      <c r="K110" s="238">
        <f t="shared" si="9"/>
        <v>4336708.7876274427</v>
      </c>
      <c r="L110" s="238"/>
      <c r="M110" s="240"/>
      <c r="N110" s="241"/>
    </row>
    <row r="111" spans="1:14" x14ac:dyDescent="0.25">
      <c r="A111" s="490"/>
      <c r="B111" s="237" t="str">
        <f>+'PAC CONSOLIDADO'!E109</f>
        <v>3 Construcción C.T.P. Hatillo</v>
      </c>
      <c r="C111" s="238"/>
      <c r="D111" s="238"/>
      <c r="E111" s="238"/>
      <c r="F111" s="238"/>
      <c r="G111" s="238">
        <f>+$G$5*'PAC CONSOLIDADO'!J109</f>
        <v>3469367.0301019545</v>
      </c>
      <c r="H111" s="238"/>
      <c r="I111" s="238">
        <f>+'PAC CONSOLIDADO'!J109*'POA CONSOLIDADO'!$I$5</f>
        <v>867341.75752548862</v>
      </c>
      <c r="J111" s="238"/>
      <c r="K111" s="238">
        <f t="shared" si="9"/>
        <v>4336708.7876274427</v>
      </c>
      <c r="L111" s="238"/>
      <c r="M111" s="240"/>
      <c r="N111" s="241"/>
    </row>
    <row r="112" spans="1:14" x14ac:dyDescent="0.25">
      <c r="A112" s="490"/>
      <c r="B112" s="237" t="str">
        <f>+'PAC CONSOLIDADO'!E110</f>
        <v>3 Construcción C.T.P. La Carpio</v>
      </c>
      <c r="C112" s="238"/>
      <c r="D112" s="238"/>
      <c r="E112" s="238"/>
      <c r="F112" s="238"/>
      <c r="G112" s="238">
        <f>+$G$5*'PAC CONSOLIDADO'!J110</f>
        <v>3469367.0301019545</v>
      </c>
      <c r="H112" s="238"/>
      <c r="I112" s="238">
        <f>+'PAC CONSOLIDADO'!J110*'POA CONSOLIDADO'!$I$5</f>
        <v>867341.75752548862</v>
      </c>
      <c r="J112" s="238"/>
      <c r="K112" s="238">
        <f t="shared" si="9"/>
        <v>4336708.7876274427</v>
      </c>
      <c r="L112" s="238"/>
      <c r="M112" s="240"/>
      <c r="N112" s="241"/>
    </row>
    <row r="113" spans="1:14" s="489" customFormat="1" ht="31.5" x14ac:dyDescent="0.25">
      <c r="A113" s="352" t="str">
        <f>+'PAC CONSOLIDADO'!E111</f>
        <v>Adquisición de terrenos</v>
      </c>
      <c r="B113" s="487"/>
      <c r="C113" s="239">
        <f>SUM(C114:C155)</f>
        <v>2164844.6394420261</v>
      </c>
      <c r="D113" s="239">
        <f t="shared" ref="D113:L113" si="10">SUM(D114:D155)</f>
        <v>0</v>
      </c>
      <c r="E113" s="239">
        <f t="shared" si="10"/>
        <v>5341754.1478232006</v>
      </c>
      <c r="F113" s="239">
        <f t="shared" si="10"/>
        <v>0</v>
      </c>
      <c r="G113" s="239">
        <f t="shared" si="10"/>
        <v>12594253.946629319</v>
      </c>
      <c r="H113" s="239">
        <f t="shared" si="10"/>
        <v>0</v>
      </c>
      <c r="I113" s="239">
        <f t="shared" si="10"/>
        <v>0</v>
      </c>
      <c r="J113" s="239">
        <f t="shared" si="10"/>
        <v>0</v>
      </c>
      <c r="K113" s="239">
        <f t="shared" si="10"/>
        <v>20100852.733894534</v>
      </c>
      <c r="L113" s="239">
        <f t="shared" si="10"/>
        <v>0</v>
      </c>
      <c r="M113" s="488"/>
    </row>
    <row r="114" spans="1:14" x14ac:dyDescent="0.25">
      <c r="A114" s="490"/>
      <c r="B114" s="237" t="str">
        <f>+'PAC CONSOLIDADO'!E112</f>
        <v xml:space="preserve">1 Terreno Liceo De Cuajiniquil </v>
      </c>
      <c r="C114" s="238">
        <f>+'PAC CONSOLIDADO'!J112</f>
        <v>541211.15986050654</v>
      </c>
      <c r="D114" s="238"/>
      <c r="E114" s="238"/>
      <c r="F114" s="238"/>
      <c r="G114" s="238"/>
      <c r="H114" s="238"/>
      <c r="I114" s="238"/>
      <c r="J114" s="238"/>
      <c r="K114" s="238">
        <f>+C114+E114+G114+I114</f>
        <v>541211.15986050654</v>
      </c>
      <c r="L114" s="238"/>
      <c r="M114" s="240"/>
      <c r="N114" s="241"/>
    </row>
    <row r="115" spans="1:14" x14ac:dyDescent="0.25">
      <c r="A115" s="490"/>
      <c r="B115" s="237" t="str">
        <f>+'PAC CONSOLIDADO'!E113</f>
        <v>1 Terreno Liceo Rural Labrador</v>
      </c>
      <c r="C115" s="238">
        <f>+'PAC CONSOLIDADO'!J113</f>
        <v>324726.6959163039</v>
      </c>
      <c r="D115" s="238"/>
      <c r="E115" s="238"/>
      <c r="F115" s="238"/>
      <c r="G115" s="238"/>
      <c r="H115" s="238"/>
      <c r="I115" s="238"/>
      <c r="J115" s="238"/>
      <c r="K115" s="238">
        <f t="shared" ref="K115:K155" si="11">+C115+E115+G115+I115</f>
        <v>324726.6959163039</v>
      </c>
      <c r="L115" s="238"/>
      <c r="M115" s="240"/>
      <c r="N115" s="241"/>
    </row>
    <row r="116" spans="1:14" x14ac:dyDescent="0.25">
      <c r="A116" s="490"/>
      <c r="B116" s="237" t="str">
        <f>+'PAC CONSOLIDADO'!E114</f>
        <v>1 Terreno Liceo Rural Londres De Aguirre</v>
      </c>
      <c r="C116" s="238">
        <f>+'PAC CONSOLIDADO'!J114</f>
        <v>324726.6959163039</v>
      </c>
      <c r="D116" s="238"/>
      <c r="E116" s="238"/>
      <c r="F116" s="238"/>
      <c r="G116" s="238"/>
      <c r="H116" s="238"/>
      <c r="I116" s="238"/>
      <c r="J116" s="238"/>
      <c r="K116" s="238">
        <f t="shared" si="11"/>
        <v>324726.6959163039</v>
      </c>
      <c r="L116" s="238"/>
      <c r="M116" s="240"/>
      <c r="N116" s="241"/>
    </row>
    <row r="117" spans="1:14" x14ac:dyDescent="0.25">
      <c r="A117" s="490"/>
      <c r="B117" s="237" t="str">
        <f>+'PAC CONSOLIDADO'!E115</f>
        <v>1 Terreno Liceo Rural Zapatón</v>
      </c>
      <c r="C117" s="238">
        <f>+'PAC CONSOLIDADO'!J115</f>
        <v>324726.6959163039</v>
      </c>
      <c r="D117" s="238"/>
      <c r="E117" s="238"/>
      <c r="F117" s="238"/>
      <c r="G117" s="238"/>
      <c r="H117" s="238"/>
      <c r="I117" s="238"/>
      <c r="J117" s="238"/>
      <c r="K117" s="238">
        <f t="shared" si="11"/>
        <v>324726.6959163039</v>
      </c>
      <c r="L117" s="238"/>
      <c r="M117" s="240"/>
      <c r="N117" s="241"/>
    </row>
    <row r="118" spans="1:14" x14ac:dyDescent="0.25">
      <c r="A118" s="490"/>
      <c r="B118" s="237" t="str">
        <f>+'PAC CONSOLIDADO'!E116</f>
        <v>1 Terreno T.V. Boca Tapada</v>
      </c>
      <c r="C118" s="238">
        <f>+'PAC CONSOLIDADO'!J116</f>
        <v>324726.6959163039</v>
      </c>
      <c r="D118" s="238"/>
      <c r="E118" s="238"/>
      <c r="F118" s="238"/>
      <c r="G118" s="238"/>
      <c r="H118" s="238"/>
      <c r="I118" s="238"/>
      <c r="J118" s="238"/>
      <c r="K118" s="238">
        <f t="shared" si="11"/>
        <v>324726.6959163039</v>
      </c>
      <c r="L118" s="238"/>
      <c r="M118" s="240"/>
      <c r="N118" s="241"/>
    </row>
    <row r="119" spans="1:14" x14ac:dyDescent="0.25">
      <c r="A119" s="490"/>
      <c r="B119" s="237" t="str">
        <f>+'PAC CONSOLIDADO'!E117</f>
        <v>1 Terreno T.V. Mastatal</v>
      </c>
      <c r="C119" s="238">
        <f>+'PAC CONSOLIDADO'!J117</f>
        <v>324726.6959163039</v>
      </c>
      <c r="D119" s="238"/>
      <c r="E119" s="238"/>
      <c r="F119" s="238"/>
      <c r="G119" s="238"/>
      <c r="H119" s="238"/>
      <c r="I119" s="238"/>
      <c r="J119" s="238"/>
      <c r="K119" s="238">
        <f t="shared" si="11"/>
        <v>324726.6959163039</v>
      </c>
      <c r="L119" s="238"/>
      <c r="M119" s="240"/>
      <c r="N119" s="241"/>
    </row>
    <row r="120" spans="1:14" x14ac:dyDescent="0.25">
      <c r="A120" s="490"/>
      <c r="B120" s="237" t="str">
        <f>+'PAC CONSOLIDADO'!E118</f>
        <v>2 Terreno Liceo De Cascajal</v>
      </c>
      <c r="C120" s="238"/>
      <c r="D120" s="238"/>
      <c r="E120" s="238">
        <f>+'PAC CONSOLIDADO'!J118</f>
        <v>568271.71785353182</v>
      </c>
      <c r="F120" s="238"/>
      <c r="G120" s="238"/>
      <c r="H120" s="238"/>
      <c r="I120" s="238"/>
      <c r="J120" s="238"/>
      <c r="K120" s="238">
        <f t="shared" si="11"/>
        <v>568271.71785353182</v>
      </c>
      <c r="L120" s="238"/>
      <c r="M120" s="240"/>
      <c r="N120" s="241"/>
    </row>
    <row r="121" spans="1:14" x14ac:dyDescent="0.25">
      <c r="A121" s="490"/>
      <c r="B121" s="237" t="str">
        <f>+'PAC CONSOLIDADO'!E119</f>
        <v>2 Terreno Liceo De Tierra Blanca</v>
      </c>
      <c r="C121" s="238"/>
      <c r="D121" s="238"/>
      <c r="E121" s="238">
        <f>+'PAC CONSOLIDADO'!J119</f>
        <v>568271.71785353182</v>
      </c>
      <c r="F121" s="238"/>
      <c r="G121" s="238"/>
      <c r="H121" s="238"/>
      <c r="I121" s="238"/>
      <c r="J121" s="238"/>
      <c r="K121" s="238">
        <f t="shared" si="11"/>
        <v>568271.71785353182</v>
      </c>
      <c r="L121" s="238"/>
      <c r="M121" s="240"/>
      <c r="N121" s="241"/>
    </row>
    <row r="122" spans="1:14" x14ac:dyDescent="0.25">
      <c r="A122" s="490"/>
      <c r="B122" s="237" t="str">
        <f>+'PAC CONSOLIDADO'!E120</f>
        <v>2 Terreno Liceo Deportivo Grecia</v>
      </c>
      <c r="C122" s="238"/>
      <c r="D122" s="238"/>
      <c r="E122" s="238">
        <f>+'PAC CONSOLIDADO'!J120</f>
        <v>568271.71785353182</v>
      </c>
      <c r="F122" s="238"/>
      <c r="G122" s="238"/>
      <c r="H122" s="238"/>
      <c r="I122" s="238"/>
      <c r="J122" s="238"/>
      <c r="K122" s="238">
        <f t="shared" si="11"/>
        <v>568271.71785353182</v>
      </c>
      <c r="L122" s="238"/>
      <c r="M122" s="240"/>
      <c r="N122" s="241"/>
    </row>
    <row r="123" spans="1:14" x14ac:dyDescent="0.25">
      <c r="A123" s="490"/>
      <c r="B123" s="237" t="str">
        <f>+'PAC CONSOLIDADO'!E121</f>
        <v>2 Terreno Liceo Felix Mata Valle</v>
      </c>
      <c r="C123" s="238"/>
      <c r="D123" s="238"/>
      <c r="E123" s="238">
        <f>+'PAC CONSOLIDADO'!J121</f>
        <v>568271.71785353182</v>
      </c>
      <c r="F123" s="238"/>
      <c r="G123" s="238"/>
      <c r="H123" s="238"/>
      <c r="I123" s="238"/>
      <c r="J123" s="238"/>
      <c r="K123" s="238">
        <f t="shared" si="11"/>
        <v>568271.71785353182</v>
      </c>
      <c r="L123" s="238"/>
      <c r="M123" s="240"/>
      <c r="N123" s="241"/>
    </row>
    <row r="124" spans="1:14" x14ac:dyDescent="0.25">
      <c r="A124" s="490"/>
      <c r="B124" s="237" t="str">
        <f>+'PAC CONSOLIDADO'!E122</f>
        <v>2 Terreno Liceo Rural Cañon De El Guarco</v>
      </c>
      <c r="C124" s="238"/>
      <c r="D124" s="238"/>
      <c r="E124" s="238">
        <f>+'PAC CONSOLIDADO'!J122</f>
        <v>340963.03071211913</v>
      </c>
      <c r="F124" s="238"/>
      <c r="G124" s="238"/>
      <c r="H124" s="238"/>
      <c r="I124" s="238"/>
      <c r="J124" s="238"/>
      <c r="K124" s="238">
        <f t="shared" si="11"/>
        <v>340963.03071211913</v>
      </c>
      <c r="L124" s="238"/>
      <c r="M124" s="240"/>
      <c r="N124" s="241"/>
    </row>
    <row r="125" spans="1:14" x14ac:dyDescent="0.25">
      <c r="A125" s="490"/>
      <c r="B125" s="237" t="str">
        <f>+'PAC CONSOLIDADO'!E123</f>
        <v>2 Terreno Liceo Rural Cartagena</v>
      </c>
      <c r="C125" s="238"/>
      <c r="D125" s="238"/>
      <c r="E125" s="238">
        <f>+'PAC CONSOLIDADO'!J123</f>
        <v>340963.03071211913</v>
      </c>
      <c r="F125" s="238"/>
      <c r="G125" s="238"/>
      <c r="H125" s="238"/>
      <c r="I125" s="238"/>
      <c r="J125" s="238"/>
      <c r="K125" s="238">
        <f t="shared" si="11"/>
        <v>340963.03071211913</v>
      </c>
      <c r="L125" s="238"/>
      <c r="M125" s="240"/>
      <c r="N125" s="241"/>
    </row>
    <row r="126" spans="1:14" x14ac:dyDescent="0.25">
      <c r="A126" s="490"/>
      <c r="B126" s="237" t="str">
        <f>+'PAC CONSOLIDADO'!E124</f>
        <v>2 Terreno Liceo Rural Los Almendros</v>
      </c>
      <c r="C126" s="238"/>
      <c r="D126" s="238"/>
      <c r="E126" s="238">
        <f>+'PAC CONSOLIDADO'!J124</f>
        <v>340963.03071211913</v>
      </c>
      <c r="F126" s="238"/>
      <c r="G126" s="238"/>
      <c r="H126" s="238"/>
      <c r="I126" s="238"/>
      <c r="J126" s="238"/>
      <c r="K126" s="238">
        <f t="shared" si="11"/>
        <v>340963.03071211913</v>
      </c>
      <c r="L126" s="238"/>
      <c r="M126" s="240"/>
      <c r="N126" s="241"/>
    </row>
    <row r="127" spans="1:14" x14ac:dyDescent="0.25">
      <c r="A127" s="490"/>
      <c r="B127" s="237" t="str">
        <f>+'PAC CONSOLIDADO'!E125</f>
        <v>2 Terreno T.V. De Mexico</v>
      </c>
      <c r="C127" s="238"/>
      <c r="D127" s="238"/>
      <c r="E127" s="238">
        <f>+'PAC CONSOLIDADO'!J125</f>
        <v>340963.03071211913</v>
      </c>
      <c r="F127" s="238"/>
      <c r="G127" s="238"/>
      <c r="H127" s="238"/>
      <c r="I127" s="238"/>
      <c r="J127" s="238"/>
      <c r="K127" s="238">
        <f t="shared" si="11"/>
        <v>340963.03071211913</v>
      </c>
      <c r="L127" s="238"/>
      <c r="M127" s="240"/>
      <c r="N127" s="241"/>
    </row>
    <row r="128" spans="1:14" x14ac:dyDescent="0.25">
      <c r="A128" s="490"/>
      <c r="B128" s="237" t="str">
        <f>+'PAC CONSOLIDADO'!E126</f>
        <v>2 Terreno T.V. La Ceiba</v>
      </c>
      <c r="C128" s="238"/>
      <c r="D128" s="238"/>
      <c r="E128" s="238">
        <f>+'PAC CONSOLIDADO'!J126</f>
        <v>340963.03071211913</v>
      </c>
      <c r="F128" s="238"/>
      <c r="G128" s="238"/>
      <c r="H128" s="238"/>
      <c r="I128" s="238"/>
      <c r="J128" s="238"/>
      <c r="K128" s="238">
        <f t="shared" si="11"/>
        <v>340963.03071211913</v>
      </c>
      <c r="L128" s="238"/>
      <c r="M128" s="240"/>
      <c r="N128" s="241"/>
    </row>
    <row r="129" spans="1:14" x14ac:dyDescent="0.25">
      <c r="A129" s="490"/>
      <c r="B129" s="237" t="str">
        <f>+'PAC CONSOLIDADO'!E127</f>
        <v>2 Terreno T.V. Lanas</v>
      </c>
      <c r="C129" s="238"/>
      <c r="D129" s="238"/>
      <c r="E129" s="238">
        <f>+'PAC CONSOLIDADO'!J127</f>
        <v>340963.03071211913</v>
      </c>
      <c r="F129" s="238"/>
      <c r="G129" s="238"/>
      <c r="H129" s="238"/>
      <c r="I129" s="238"/>
      <c r="J129" s="238"/>
      <c r="K129" s="238">
        <f t="shared" si="11"/>
        <v>340963.03071211913</v>
      </c>
      <c r="L129" s="238"/>
      <c r="M129" s="240"/>
      <c r="N129" s="241"/>
    </row>
    <row r="130" spans="1:14" x14ac:dyDescent="0.25">
      <c r="A130" s="490"/>
      <c r="B130" s="237" t="str">
        <f>+'PAC CONSOLIDADO'!E128</f>
        <v>2 Terreno T.V. Piedras Azules</v>
      </c>
      <c r="C130" s="238"/>
      <c r="D130" s="238"/>
      <c r="E130" s="238">
        <f>+'PAC CONSOLIDADO'!J128</f>
        <v>340963.03071211913</v>
      </c>
      <c r="F130" s="238"/>
      <c r="G130" s="238"/>
      <c r="H130" s="238"/>
      <c r="I130" s="238"/>
      <c r="J130" s="238"/>
      <c r="K130" s="238">
        <f t="shared" si="11"/>
        <v>340963.03071211913</v>
      </c>
      <c r="L130" s="238"/>
      <c r="M130" s="240"/>
      <c r="N130" s="241"/>
    </row>
    <row r="131" spans="1:14" x14ac:dyDescent="0.25">
      <c r="A131" s="490"/>
      <c r="B131" s="237" t="str">
        <f>+'PAC CONSOLIDADO'!E129</f>
        <v>2 Terreno T.V. San Juan</v>
      </c>
      <c r="C131" s="238"/>
      <c r="D131" s="238"/>
      <c r="E131" s="238">
        <f>+'PAC CONSOLIDADO'!J129</f>
        <v>340963.03071211913</v>
      </c>
      <c r="F131" s="238"/>
      <c r="G131" s="238"/>
      <c r="H131" s="238"/>
      <c r="I131" s="238"/>
      <c r="J131" s="238"/>
      <c r="K131" s="238">
        <f t="shared" si="11"/>
        <v>340963.03071211913</v>
      </c>
      <c r="L131" s="238"/>
      <c r="M131" s="240"/>
      <c r="N131" s="241"/>
    </row>
    <row r="132" spans="1:14" x14ac:dyDescent="0.25">
      <c r="A132" s="490"/>
      <c r="B132" s="237" t="str">
        <f>+'PAC CONSOLIDADO'!E130</f>
        <v>2 Terreno T.V.Las Brisas</v>
      </c>
      <c r="C132" s="238"/>
      <c r="D132" s="238"/>
      <c r="E132" s="238">
        <f>+'PAC CONSOLIDADO'!J130</f>
        <v>340963.03071211913</v>
      </c>
      <c r="F132" s="238"/>
      <c r="G132" s="238"/>
      <c r="H132" s="238"/>
      <c r="I132" s="238"/>
      <c r="J132" s="238"/>
      <c r="K132" s="238">
        <f t="shared" si="11"/>
        <v>340963.03071211913</v>
      </c>
      <c r="L132" s="238"/>
      <c r="M132" s="240"/>
      <c r="N132" s="241"/>
    </row>
    <row r="133" spans="1:14" x14ac:dyDescent="0.25">
      <c r="A133" s="490"/>
      <c r="B133" s="237" t="str">
        <f>+'PAC CONSOLIDADO'!E131</f>
        <v>3 Terreno Colegio Quebrada Ganado</v>
      </c>
      <c r="C133" s="238"/>
      <c r="D133" s="238"/>
      <c r="E133" s="238"/>
      <c r="F133" s="238"/>
      <c r="G133" s="238">
        <f>+'PAC CONSOLIDADO'!J131</f>
        <v>484384.0019540806</v>
      </c>
      <c r="H133" s="238"/>
      <c r="I133" s="238"/>
      <c r="J133" s="238"/>
      <c r="K133" s="238">
        <f t="shared" si="11"/>
        <v>484384.0019540806</v>
      </c>
      <c r="L133" s="238"/>
      <c r="M133" s="240"/>
      <c r="N133" s="241"/>
    </row>
    <row r="134" spans="1:14" x14ac:dyDescent="0.25">
      <c r="A134" s="490"/>
      <c r="B134" s="237" t="str">
        <f>+'PAC CONSOLIDADO'!E132</f>
        <v>3 Terreno Liceo Corredores (Nuevo)</v>
      </c>
      <c r="C134" s="238"/>
      <c r="D134" s="238"/>
      <c r="E134" s="238"/>
      <c r="F134" s="238"/>
      <c r="G134" s="238">
        <f>+'PAC CONSOLIDADO'!J132</f>
        <v>549329.01204453269</v>
      </c>
      <c r="H134" s="238"/>
      <c r="I134" s="238"/>
      <c r="J134" s="238"/>
      <c r="K134" s="238">
        <f t="shared" si="11"/>
        <v>549329.01204453269</v>
      </c>
      <c r="L134" s="238"/>
      <c r="M134" s="240"/>
      <c r="N134" s="241"/>
    </row>
    <row r="135" spans="1:14" x14ac:dyDescent="0.25">
      <c r="A135" s="490"/>
      <c r="B135" s="237" t="str">
        <f>+'PAC CONSOLIDADO'!E133</f>
        <v>3 Terreno Liceo De Puriscal (Nuevo)</v>
      </c>
      <c r="C135" s="238"/>
      <c r="D135" s="238"/>
      <c r="E135" s="238"/>
      <c r="F135" s="238"/>
      <c r="G135" s="238">
        <f>+'PAC CONSOLIDADO'!J133</f>
        <v>596685.30374620843</v>
      </c>
      <c r="H135" s="238"/>
      <c r="I135" s="238"/>
      <c r="J135" s="238"/>
      <c r="K135" s="238">
        <f t="shared" si="11"/>
        <v>596685.30374620843</v>
      </c>
      <c r="L135" s="238"/>
      <c r="M135" s="240"/>
      <c r="N135" s="241"/>
    </row>
    <row r="136" spans="1:14" x14ac:dyDescent="0.25">
      <c r="A136" s="490"/>
      <c r="B136" s="237" t="str">
        <f>+'PAC CONSOLIDADO'!E134</f>
        <v>3 Terreno Liceo Guacimal</v>
      </c>
      <c r="C136" s="238"/>
      <c r="D136" s="238"/>
      <c r="E136" s="238"/>
      <c r="F136" s="238"/>
      <c r="G136" s="238">
        <f>+'PAC CONSOLIDADO'!J134</f>
        <v>419438.99582561891</v>
      </c>
      <c r="H136" s="238"/>
      <c r="I136" s="238"/>
      <c r="J136" s="238"/>
      <c r="K136" s="238">
        <f t="shared" si="11"/>
        <v>419438.99582561891</v>
      </c>
      <c r="L136" s="238"/>
      <c r="M136" s="240"/>
      <c r="N136" s="241"/>
    </row>
    <row r="137" spans="1:14" x14ac:dyDescent="0.25">
      <c r="A137" s="490"/>
      <c r="B137" s="237" t="str">
        <f>+'PAC CONSOLIDADO'!E135</f>
        <v>3 Terreno Liceo San Antonio Del  Humo</v>
      </c>
      <c r="C137" s="238"/>
      <c r="D137" s="238"/>
      <c r="E137" s="238"/>
      <c r="F137" s="238"/>
      <c r="G137" s="238">
        <f>+'PAC CONSOLIDADO'!J135</f>
        <v>484384.0019540806</v>
      </c>
      <c r="H137" s="238"/>
      <c r="I137" s="238"/>
      <c r="J137" s="238"/>
      <c r="K137" s="238">
        <f t="shared" si="11"/>
        <v>484384.0019540806</v>
      </c>
      <c r="L137" s="238"/>
      <c r="M137" s="240"/>
      <c r="N137" s="241"/>
    </row>
    <row r="138" spans="1:14" x14ac:dyDescent="0.25">
      <c r="A138" s="490"/>
      <c r="B138" s="237" t="str">
        <f>+'PAC CONSOLIDADO'!E136</f>
        <v>3 Terreno Liceo Siquirres</v>
      </c>
      <c r="C138" s="238"/>
      <c r="D138" s="238"/>
      <c r="E138" s="238"/>
      <c r="F138" s="238"/>
      <c r="G138" s="238">
        <f>+'PAC CONSOLIDADO'!J136</f>
        <v>549329.01204453269</v>
      </c>
      <c r="H138" s="238"/>
      <c r="I138" s="238"/>
      <c r="J138" s="238"/>
      <c r="K138" s="238">
        <f t="shared" si="11"/>
        <v>549329.01204453269</v>
      </c>
      <c r="L138" s="238"/>
      <c r="M138" s="240"/>
      <c r="N138" s="241"/>
    </row>
    <row r="139" spans="1:14" x14ac:dyDescent="0.25">
      <c r="A139" s="490"/>
      <c r="B139" s="237" t="str">
        <f>+'PAC CONSOLIDADO'!E137</f>
        <v>3 Terreno Liceo Rural De Tarcoles</v>
      </c>
      <c r="C139" s="238"/>
      <c r="D139" s="238"/>
      <c r="E139" s="238"/>
      <c r="F139" s="238"/>
      <c r="G139" s="238">
        <f>+'PAC CONSOLIDADO'!J137</f>
        <v>358011.18224772508</v>
      </c>
      <c r="H139" s="238"/>
      <c r="I139" s="238"/>
      <c r="J139" s="238"/>
      <c r="K139" s="238">
        <f t="shared" si="11"/>
        <v>358011.18224772508</v>
      </c>
      <c r="L139" s="238"/>
      <c r="M139" s="240"/>
      <c r="N139" s="241"/>
    </row>
    <row r="140" spans="1:14" x14ac:dyDescent="0.25">
      <c r="A140" s="490"/>
      <c r="B140" s="237" t="str">
        <f>+'PAC CONSOLIDADO'!E138</f>
        <v>3 Terreno Liceo Rural Islas Del Chirripo</v>
      </c>
      <c r="C140" s="238"/>
      <c r="D140" s="238"/>
      <c r="E140" s="238"/>
      <c r="F140" s="238"/>
      <c r="G140" s="238">
        <f>+'PAC CONSOLIDADO'!J138</f>
        <v>358011.18224772508</v>
      </c>
      <c r="H140" s="238"/>
      <c r="I140" s="238"/>
      <c r="J140" s="238"/>
      <c r="K140" s="238">
        <f t="shared" si="11"/>
        <v>358011.18224772508</v>
      </c>
      <c r="L140" s="238"/>
      <c r="M140" s="240"/>
      <c r="N140" s="241"/>
    </row>
    <row r="141" spans="1:14" x14ac:dyDescent="0.25">
      <c r="A141" s="490"/>
      <c r="B141" s="237" t="str">
        <f>+'PAC CONSOLIDADO'!E139</f>
        <v>3 Terreno Liceo Rural San Carlos Pacuarito</v>
      </c>
      <c r="C141" s="238"/>
      <c r="D141" s="238"/>
      <c r="E141" s="238"/>
      <c r="F141" s="238"/>
      <c r="G141" s="238">
        <f>+'PAC CONSOLIDADO'!J139</f>
        <v>358011.18224772508</v>
      </c>
      <c r="H141" s="238"/>
      <c r="I141" s="238"/>
      <c r="J141" s="238"/>
      <c r="K141" s="238">
        <f t="shared" si="11"/>
        <v>358011.18224772508</v>
      </c>
      <c r="L141" s="238"/>
      <c r="M141" s="240"/>
      <c r="N141" s="241"/>
    </row>
    <row r="142" spans="1:14" x14ac:dyDescent="0.25">
      <c r="A142" s="490"/>
      <c r="B142" s="237" t="str">
        <f>+'PAC CONSOLIDADO'!E140</f>
        <v>3 Terreno Liceo Rural San Isidro</v>
      </c>
      <c r="C142" s="238"/>
      <c r="D142" s="238"/>
      <c r="E142" s="238"/>
      <c r="F142" s="238"/>
      <c r="G142" s="238">
        <f>+'PAC CONSOLIDADO'!J140</f>
        <v>441087.00211789412</v>
      </c>
      <c r="H142" s="238"/>
      <c r="I142" s="238"/>
      <c r="J142" s="238"/>
      <c r="K142" s="238">
        <f t="shared" si="11"/>
        <v>441087.00211789412</v>
      </c>
      <c r="L142" s="238"/>
      <c r="M142" s="240"/>
      <c r="N142" s="241"/>
    </row>
    <row r="143" spans="1:14" x14ac:dyDescent="0.25">
      <c r="A143" s="490"/>
      <c r="B143" s="237" t="str">
        <f>+'PAC CONSOLIDADO'!E141</f>
        <v>3 Terreno Liceo Rural Yorkin</v>
      </c>
      <c r="C143" s="238"/>
      <c r="D143" s="238"/>
      <c r="E143" s="238"/>
      <c r="F143" s="238"/>
      <c r="G143" s="238">
        <f>+'PAC CONSOLIDADO'!J141</f>
        <v>358011.18224772508</v>
      </c>
      <c r="H143" s="238"/>
      <c r="I143" s="238"/>
      <c r="J143" s="238"/>
      <c r="K143" s="238">
        <f t="shared" si="11"/>
        <v>358011.18224772508</v>
      </c>
      <c r="L143" s="238"/>
      <c r="M143" s="240"/>
      <c r="N143" s="241"/>
    </row>
    <row r="144" spans="1:14" x14ac:dyDescent="0.25">
      <c r="A144" s="490"/>
      <c r="B144" s="237" t="str">
        <f>+'PAC CONSOLIDADO'!E142</f>
        <v>3 T.V. Liceo De Puerto Viejo</v>
      </c>
      <c r="C144" s="238"/>
      <c r="D144" s="238"/>
      <c r="E144" s="238"/>
      <c r="F144" s="238"/>
      <c r="G144" s="238">
        <f>+'PAC CONSOLIDADO'!J142</f>
        <v>358011.18224772508</v>
      </c>
      <c r="H144" s="238"/>
      <c r="I144" s="238"/>
      <c r="J144" s="238"/>
      <c r="K144" s="238">
        <f t="shared" si="11"/>
        <v>358011.18224772508</v>
      </c>
      <c r="L144" s="238"/>
      <c r="M144" s="240"/>
      <c r="N144" s="241"/>
    </row>
    <row r="145" spans="1:14" x14ac:dyDescent="0.25">
      <c r="A145" s="490"/>
      <c r="B145" s="237" t="str">
        <f>+'PAC CONSOLIDADO'!E143</f>
        <v>3 T.V. Liceo El Llano</v>
      </c>
      <c r="C145" s="238"/>
      <c r="D145" s="238"/>
      <c r="E145" s="238"/>
      <c r="F145" s="238"/>
      <c r="G145" s="238">
        <f>+'PAC CONSOLIDADO'!J143</f>
        <v>358011.18224772508</v>
      </c>
      <c r="H145" s="238"/>
      <c r="I145" s="238"/>
      <c r="J145" s="238"/>
      <c r="K145" s="238">
        <f t="shared" si="11"/>
        <v>358011.18224772508</v>
      </c>
      <c r="L145" s="238"/>
      <c r="M145" s="240"/>
      <c r="N145" s="241"/>
    </row>
    <row r="146" spans="1:14" x14ac:dyDescent="0.25">
      <c r="A146" s="490"/>
      <c r="B146" s="237" t="str">
        <f>+'PAC CONSOLIDADO'!E144</f>
        <v>3 T.V. Liceo Ida San Luis</v>
      </c>
      <c r="C146" s="238"/>
      <c r="D146" s="238"/>
      <c r="E146" s="238"/>
      <c r="F146" s="238"/>
      <c r="G146" s="238">
        <f>+'PAC CONSOLIDADO'!J144</f>
        <v>358011.18224772508</v>
      </c>
      <c r="H146" s="238"/>
      <c r="I146" s="238"/>
      <c r="J146" s="238"/>
      <c r="K146" s="238">
        <f t="shared" si="11"/>
        <v>358011.18224772508</v>
      </c>
      <c r="L146" s="238"/>
      <c r="M146" s="240"/>
      <c r="N146" s="241"/>
    </row>
    <row r="147" spans="1:14" x14ac:dyDescent="0.25">
      <c r="A147" s="490"/>
      <c r="B147" s="237" t="str">
        <f>+'PAC CONSOLIDADO'!E145</f>
        <v>3 T.V. Liceo Las Ceibas</v>
      </c>
      <c r="C147" s="238"/>
      <c r="D147" s="238"/>
      <c r="E147" s="238"/>
      <c r="F147" s="238"/>
      <c r="G147" s="238">
        <f>+'PAC CONSOLIDADO'!J145</f>
        <v>358011.18224772508</v>
      </c>
      <c r="H147" s="238"/>
      <c r="I147" s="238"/>
      <c r="J147" s="238"/>
      <c r="K147" s="238">
        <f t="shared" si="11"/>
        <v>358011.18224772508</v>
      </c>
      <c r="L147" s="238"/>
      <c r="M147" s="240"/>
      <c r="N147" s="241"/>
    </row>
    <row r="148" spans="1:14" x14ac:dyDescent="0.25">
      <c r="A148" s="490"/>
      <c r="B148" s="237" t="str">
        <f>+'PAC CONSOLIDADO'!E146</f>
        <v>3 T.V. Liceo Las Colonias</v>
      </c>
      <c r="C148" s="238"/>
      <c r="D148" s="238"/>
      <c r="E148" s="238"/>
      <c r="F148" s="238"/>
      <c r="G148" s="238">
        <f>+'PAC CONSOLIDADO'!J146</f>
        <v>358011.18224772508</v>
      </c>
      <c r="H148" s="238"/>
      <c r="I148" s="238"/>
      <c r="J148" s="238"/>
      <c r="K148" s="238">
        <f t="shared" si="11"/>
        <v>358011.18224772508</v>
      </c>
      <c r="L148" s="238"/>
      <c r="M148" s="240"/>
      <c r="N148" s="241"/>
    </row>
    <row r="149" spans="1:14" x14ac:dyDescent="0.25">
      <c r="A149" s="490"/>
      <c r="B149" s="237" t="str">
        <f>+'PAC CONSOLIDADO'!E147</f>
        <v>3 T.V. Liceo Los Jazmines B.</v>
      </c>
      <c r="C149" s="238"/>
      <c r="D149" s="238"/>
      <c r="E149" s="238"/>
      <c r="F149" s="238"/>
      <c r="G149" s="238">
        <f>+'PAC CONSOLIDADO'!J147</f>
        <v>358011.18224772508</v>
      </c>
      <c r="H149" s="238"/>
      <c r="I149" s="238"/>
      <c r="J149" s="238"/>
      <c r="K149" s="238">
        <f t="shared" si="11"/>
        <v>358011.18224772508</v>
      </c>
      <c r="L149" s="238"/>
      <c r="M149" s="240"/>
      <c r="N149" s="241"/>
    </row>
    <row r="150" spans="1:14" x14ac:dyDescent="0.25">
      <c r="A150" s="490"/>
      <c r="B150" s="237" t="str">
        <f>+'PAC CONSOLIDADO'!E148</f>
        <v>3 T.V. Liceo San Julián</v>
      </c>
      <c r="C150" s="238"/>
      <c r="D150" s="238"/>
      <c r="E150" s="238"/>
      <c r="F150" s="238"/>
      <c r="G150" s="238">
        <f>+'PAC CONSOLIDADO'!J148</f>
        <v>358011.18224772508</v>
      </c>
      <c r="H150" s="238"/>
      <c r="I150" s="238"/>
      <c r="J150" s="238"/>
      <c r="K150" s="238">
        <f t="shared" si="11"/>
        <v>358011.18224772508</v>
      </c>
      <c r="L150" s="238"/>
      <c r="M150" s="240"/>
      <c r="N150" s="241"/>
    </row>
    <row r="151" spans="1:14" x14ac:dyDescent="0.25">
      <c r="A151" s="490"/>
      <c r="B151" s="237" t="str">
        <f>+'PAC CONSOLIDADO'!E149</f>
        <v>3 T.V. Liceo Valle Verde</v>
      </c>
      <c r="C151" s="238"/>
      <c r="D151" s="238"/>
      <c r="E151" s="238"/>
      <c r="F151" s="238"/>
      <c r="G151" s="238">
        <f>+'PAC CONSOLIDADO'!J149</f>
        <v>358011.18224772508</v>
      </c>
      <c r="H151" s="238"/>
      <c r="I151" s="238"/>
      <c r="J151" s="238"/>
      <c r="K151" s="238">
        <f t="shared" si="11"/>
        <v>358011.18224772508</v>
      </c>
      <c r="L151" s="238"/>
      <c r="M151" s="240"/>
      <c r="N151" s="241"/>
    </row>
    <row r="152" spans="1:14" x14ac:dyDescent="0.25">
      <c r="A152" s="490"/>
      <c r="B152" s="237" t="str">
        <f>+'PAC CONSOLIDADO'!E150</f>
        <v>3 C.T.P. Liceo Alajuelita</v>
      </c>
      <c r="C152" s="238"/>
      <c r="D152" s="238"/>
      <c r="E152" s="238"/>
      <c r="F152" s="238"/>
      <c r="G152" s="238">
        <f>+'PAC CONSOLIDADO'!J150</f>
        <v>1193370.6074924169</v>
      </c>
      <c r="H152" s="238"/>
      <c r="I152" s="238"/>
      <c r="J152" s="238"/>
      <c r="K152" s="238">
        <f t="shared" si="11"/>
        <v>1193370.6074924169</v>
      </c>
      <c r="L152" s="238"/>
      <c r="M152" s="240"/>
      <c r="N152" s="241"/>
    </row>
    <row r="153" spans="1:14" x14ac:dyDescent="0.25">
      <c r="A153" s="491"/>
      <c r="B153" s="237" t="str">
        <f>+'PAC CONSOLIDADO'!E151</f>
        <v>3 C.T.P. Liceo Belen</v>
      </c>
      <c r="C153" s="238"/>
      <c r="D153" s="238"/>
      <c r="E153" s="238"/>
      <c r="F153" s="238"/>
      <c r="G153" s="238">
        <f>+'PAC CONSOLIDADO'!J151</f>
        <v>1193370.6074924169</v>
      </c>
      <c r="H153" s="238"/>
      <c r="I153" s="238"/>
      <c r="J153" s="238"/>
      <c r="K153" s="238">
        <f t="shared" si="11"/>
        <v>1193370.6074924169</v>
      </c>
      <c r="L153" s="238"/>
    </row>
    <row r="154" spans="1:14" x14ac:dyDescent="0.25">
      <c r="A154" s="491"/>
      <c r="B154" s="237" t="str">
        <f>+'PAC CONSOLIDADO'!E152</f>
        <v>3 C.T.P. Liceo Hatillo</v>
      </c>
      <c r="C154" s="238"/>
      <c r="D154" s="238"/>
      <c r="E154" s="238"/>
      <c r="F154" s="238"/>
      <c r="G154" s="238">
        <f>+'PAC CONSOLIDADO'!J152</f>
        <v>1193370.6074924169</v>
      </c>
      <c r="H154" s="238"/>
      <c r="I154" s="238"/>
      <c r="J154" s="238"/>
      <c r="K154" s="238">
        <f t="shared" si="11"/>
        <v>1193370.6074924169</v>
      </c>
      <c r="L154" s="238"/>
    </row>
    <row r="155" spans="1:14" x14ac:dyDescent="0.25">
      <c r="A155" s="491"/>
      <c r="B155" s="237" t="str">
        <f>+'PAC CONSOLIDADO'!E153</f>
        <v>3 C.T.P. Liceo La Carpio</v>
      </c>
      <c r="C155" s="238"/>
      <c r="D155" s="238"/>
      <c r="E155" s="238"/>
      <c r="F155" s="238"/>
      <c r="G155" s="238">
        <f>+'PAC CONSOLIDADO'!J153</f>
        <v>1193370.6074924169</v>
      </c>
      <c r="H155" s="238"/>
      <c r="I155" s="238"/>
      <c r="J155" s="238"/>
      <c r="K155" s="238">
        <f t="shared" si="11"/>
        <v>1193370.6074924169</v>
      </c>
      <c r="L155" s="238"/>
    </row>
    <row r="156" spans="1:14" s="489" customFormat="1" ht="15.75" x14ac:dyDescent="0.25">
      <c r="A156" s="352" t="str">
        <f>+'PAC CONSOLIDADO'!E154</f>
        <v>Mobiliario y equipo</v>
      </c>
      <c r="B156" s="487"/>
      <c r="C156" s="239">
        <f>SUM(C157:C159)</f>
        <v>0</v>
      </c>
      <c r="D156" s="239">
        <f t="shared" ref="D156:L156" si="12">SUM(D157:D159)</f>
        <v>0</v>
      </c>
      <c r="E156" s="239">
        <f t="shared" si="12"/>
        <v>1573012.9590090744</v>
      </c>
      <c r="F156" s="239">
        <f t="shared" si="12"/>
        <v>0</v>
      </c>
      <c r="G156" s="239">
        <f t="shared" si="12"/>
        <v>1521533.0020533754</v>
      </c>
      <c r="H156" s="239">
        <f t="shared" si="12"/>
        <v>0</v>
      </c>
      <c r="I156" s="239">
        <f t="shared" si="12"/>
        <v>2340932.2593539553</v>
      </c>
      <c r="J156" s="239">
        <f t="shared" si="12"/>
        <v>0</v>
      </c>
      <c r="K156" s="239">
        <f t="shared" si="12"/>
        <v>5435478.2204164052</v>
      </c>
      <c r="L156" s="239">
        <f t="shared" si="12"/>
        <v>0</v>
      </c>
      <c r="M156" s="488"/>
    </row>
    <row r="157" spans="1:14" x14ac:dyDescent="0.25">
      <c r="A157" s="491"/>
      <c r="B157" s="237" t="str">
        <f>+'PAC CONSOLIDADO'!E155</f>
        <v>1 Mobiliario y Equipo colegios etapa 1</v>
      </c>
      <c r="C157" s="238"/>
      <c r="D157" s="238"/>
      <c r="E157" s="238">
        <f>+'PAC CONSOLIDADO'!J155</f>
        <v>1573012.9590090744</v>
      </c>
      <c r="F157" s="238"/>
      <c r="G157" s="238"/>
      <c r="H157" s="238"/>
      <c r="I157" s="238"/>
      <c r="J157" s="238"/>
      <c r="K157" s="238">
        <f>+C157+E157+G157+I157</f>
        <v>1573012.9590090744</v>
      </c>
      <c r="L157" s="238"/>
    </row>
    <row r="158" spans="1:14" x14ac:dyDescent="0.25">
      <c r="A158" s="491"/>
      <c r="B158" s="237" t="str">
        <f>+'PAC CONSOLIDADO'!E156</f>
        <v>2 Mobiliario y Equipo colegios etapa 2</v>
      </c>
      <c r="C158" s="238"/>
      <c r="D158" s="238"/>
      <c r="E158" s="238"/>
      <c r="F158" s="238"/>
      <c r="G158" s="238">
        <f>+'PAC CONSOLIDADO'!J156</f>
        <v>1521533.0020533754</v>
      </c>
      <c r="H158" s="238"/>
      <c r="I158" s="238"/>
      <c r="J158" s="238"/>
      <c r="K158" s="238">
        <f t="shared" ref="K158:K159" si="13">+C158+E158+G158+I158</f>
        <v>1521533.0020533754</v>
      </c>
      <c r="L158" s="238"/>
    </row>
    <row r="159" spans="1:14" x14ac:dyDescent="0.25">
      <c r="A159" s="491"/>
      <c r="B159" s="237" t="str">
        <f>+'PAC CONSOLIDADO'!E157</f>
        <v>3 Mobiliario y Equpo colegios etapa 3</v>
      </c>
      <c r="C159" s="238"/>
      <c r="D159" s="238"/>
      <c r="E159" s="238"/>
      <c r="F159" s="238"/>
      <c r="G159" s="238"/>
      <c r="H159" s="238"/>
      <c r="I159" s="238">
        <f>+'PAC CONSOLIDADO'!J157</f>
        <v>2340932.2593539553</v>
      </c>
      <c r="J159" s="238"/>
      <c r="K159" s="238">
        <f t="shared" si="13"/>
        <v>2340932.2593539553</v>
      </c>
      <c r="L159" s="238"/>
    </row>
    <row r="160" spans="1:14" s="489" customFormat="1" ht="15.75" x14ac:dyDescent="0.25">
      <c r="A160" s="352" t="str">
        <f>+'PAC CONSOLIDADO'!E158</f>
        <v>Supervisión de obras</v>
      </c>
      <c r="B160" s="487"/>
      <c r="C160" s="239">
        <f>SUM(C161:C163)</f>
        <v>0</v>
      </c>
      <c r="D160" s="239">
        <f t="shared" ref="D160:L160" si="14">SUM(D161:D163)</f>
        <v>0</v>
      </c>
      <c r="E160" s="239">
        <f t="shared" si="14"/>
        <v>484973.11192782002</v>
      </c>
      <c r="F160" s="239">
        <f t="shared" si="14"/>
        <v>0</v>
      </c>
      <c r="G160" s="239">
        <f t="shared" si="14"/>
        <v>398506.37211253517</v>
      </c>
      <c r="H160" s="239">
        <f t="shared" si="14"/>
        <v>0</v>
      </c>
      <c r="I160" s="239">
        <f t="shared" si="14"/>
        <v>1080543.7851254274</v>
      </c>
      <c r="J160" s="239">
        <f t="shared" si="14"/>
        <v>0</v>
      </c>
      <c r="K160" s="239">
        <f t="shared" si="14"/>
        <v>1964023.2691657827</v>
      </c>
      <c r="L160" s="239">
        <f t="shared" si="14"/>
        <v>0</v>
      </c>
      <c r="M160" s="488"/>
    </row>
    <row r="161" spans="1:13" x14ac:dyDescent="0.25">
      <c r="A161" s="491"/>
      <c r="B161" s="237" t="str">
        <f>+'PAC CONSOLIDADO'!E159</f>
        <v>1 Supervisión colegios etapa 1</v>
      </c>
      <c r="C161" s="238"/>
      <c r="D161" s="238"/>
      <c r="E161" s="238">
        <f>+'PAC CONSOLIDADO'!J159</f>
        <v>484973.11192782002</v>
      </c>
      <c r="F161" s="238"/>
      <c r="G161" s="238"/>
      <c r="H161" s="238"/>
      <c r="I161" s="238"/>
      <c r="J161" s="238"/>
      <c r="K161" s="238">
        <f>+C161+E161+G161+I161</f>
        <v>484973.11192782002</v>
      </c>
      <c r="L161" s="238"/>
    </row>
    <row r="162" spans="1:13" x14ac:dyDescent="0.25">
      <c r="A162" s="491"/>
      <c r="B162" s="237" t="str">
        <f>+'PAC CONSOLIDADO'!E160</f>
        <v>2 Supervisión colegios etapa 2</v>
      </c>
      <c r="C162" s="238"/>
      <c r="D162" s="238"/>
      <c r="E162" s="238"/>
      <c r="F162" s="238"/>
      <c r="G162" s="238">
        <f>+'PAC CONSOLIDADO'!J160</f>
        <v>398506.37211253517</v>
      </c>
      <c r="H162" s="238"/>
      <c r="I162" s="238"/>
      <c r="J162" s="238"/>
      <c r="K162" s="238">
        <f t="shared" ref="K162:K163" si="15">+C162+E162+G162+I162</f>
        <v>398506.37211253517</v>
      </c>
      <c r="L162" s="238"/>
    </row>
    <row r="163" spans="1:13" x14ac:dyDescent="0.25">
      <c r="A163" s="491"/>
      <c r="B163" s="237" t="str">
        <f>+'PAC CONSOLIDADO'!E161</f>
        <v>3 Supervisión colegios etapa 3</v>
      </c>
      <c r="C163" s="238"/>
      <c r="D163" s="238"/>
      <c r="E163" s="238"/>
      <c r="F163" s="238"/>
      <c r="G163" s="238"/>
      <c r="H163" s="238"/>
      <c r="I163" s="238">
        <f>+'PAC CONSOLIDADO'!J161</f>
        <v>1080543.7851254274</v>
      </c>
      <c r="J163" s="238"/>
      <c r="K163" s="238">
        <f t="shared" si="15"/>
        <v>1080543.7851254274</v>
      </c>
      <c r="L163" s="238"/>
    </row>
    <row r="164" spans="1:13" s="489" customFormat="1" ht="63" x14ac:dyDescent="0.25">
      <c r="A164" s="352" t="str">
        <f>+'PAC CONSOLIDADO'!E162</f>
        <v>Estudios topográficos y diseños constructivos</v>
      </c>
      <c r="B164" s="487"/>
      <c r="C164" s="239">
        <f>SUM(C165:C167)</f>
        <v>0</v>
      </c>
      <c r="D164" s="239">
        <f t="shared" ref="D164:L164" si="16">SUM(D165:D167)</f>
        <v>0</v>
      </c>
      <c r="E164" s="239">
        <f t="shared" si="16"/>
        <v>969946.22385564004</v>
      </c>
      <c r="F164" s="239">
        <f t="shared" si="16"/>
        <v>0</v>
      </c>
      <c r="G164" s="239">
        <f t="shared" si="16"/>
        <v>797012.74422507035</v>
      </c>
      <c r="H164" s="239">
        <f t="shared" si="16"/>
        <v>0</v>
      </c>
      <c r="I164" s="239">
        <f t="shared" si="16"/>
        <v>2161087.5702508548</v>
      </c>
      <c r="J164" s="239">
        <f t="shared" si="16"/>
        <v>0</v>
      </c>
      <c r="K164" s="239">
        <f t="shared" si="16"/>
        <v>3928046.5383315654</v>
      </c>
      <c r="L164" s="239">
        <f t="shared" si="16"/>
        <v>0</v>
      </c>
      <c r="M164" s="488"/>
    </row>
    <row r="165" spans="1:13" x14ac:dyDescent="0.25">
      <c r="A165" s="491"/>
      <c r="B165" s="237" t="str">
        <f>+'PAC CONSOLIDADO'!E163</f>
        <v>1 Estudios y diseños colegios etapa 1</v>
      </c>
      <c r="C165" s="238"/>
      <c r="D165" s="238"/>
      <c r="E165" s="238">
        <f>+'PAC CONSOLIDADO'!J163</f>
        <v>969946.22385564004</v>
      </c>
      <c r="F165" s="238"/>
      <c r="G165" s="238"/>
      <c r="H165" s="238"/>
      <c r="I165" s="238"/>
      <c r="J165" s="238"/>
      <c r="K165" s="238">
        <f>+C165+E165+G165+I165</f>
        <v>969946.22385564004</v>
      </c>
      <c r="L165" s="238"/>
    </row>
    <row r="166" spans="1:13" x14ac:dyDescent="0.25">
      <c r="A166" s="491"/>
      <c r="B166" s="237" t="str">
        <f>+'PAC CONSOLIDADO'!E164</f>
        <v>2 Estudios y diseños colegios etapa 2</v>
      </c>
      <c r="C166" s="238"/>
      <c r="D166" s="238"/>
      <c r="E166" s="238"/>
      <c r="F166" s="238"/>
      <c r="G166" s="238">
        <f>+'PAC CONSOLIDADO'!J164</f>
        <v>797012.74422507035</v>
      </c>
      <c r="H166" s="238"/>
      <c r="I166" s="238"/>
      <c r="J166" s="238"/>
      <c r="K166" s="238">
        <f t="shared" ref="K166:K167" si="17">+C166+E166+G166+I166</f>
        <v>797012.74422507035</v>
      </c>
      <c r="L166" s="238"/>
    </row>
    <row r="167" spans="1:13" x14ac:dyDescent="0.25">
      <c r="A167" s="491"/>
      <c r="B167" s="237" t="str">
        <f>+'PAC CONSOLIDADO'!E165</f>
        <v>3 Estudios y diseños colegios etapa 3</v>
      </c>
      <c r="C167" s="238"/>
      <c r="D167" s="238"/>
      <c r="E167" s="238"/>
      <c r="F167" s="238"/>
      <c r="G167" s="238"/>
      <c r="H167" s="238"/>
      <c r="I167" s="238">
        <f>+'PAC CONSOLIDADO'!J165</f>
        <v>2161087.5702508548</v>
      </c>
      <c r="J167" s="238"/>
      <c r="K167" s="238">
        <f t="shared" si="17"/>
        <v>2161087.5702508548</v>
      </c>
      <c r="L167" s="238"/>
    </row>
    <row r="168" spans="1:13" s="489" customFormat="1" ht="15.75" x14ac:dyDescent="0.25">
      <c r="A168" s="352" t="str">
        <f>+'PAC CONSOLIDADO'!E166</f>
        <v>Zonaje</v>
      </c>
      <c r="B168" s="487"/>
      <c r="C168" s="239">
        <f>SUM(C169:C171)</f>
        <v>0</v>
      </c>
      <c r="D168" s="239">
        <f t="shared" ref="D168:L168" si="18">SUM(D169:D171)</f>
        <v>0</v>
      </c>
      <c r="E168" s="239">
        <f t="shared" si="18"/>
        <v>1551913.958169024</v>
      </c>
      <c r="F168" s="239">
        <f t="shared" si="18"/>
        <v>0</v>
      </c>
      <c r="G168" s="239">
        <f t="shared" si="18"/>
        <v>1275220.3907601123</v>
      </c>
      <c r="H168" s="239">
        <f t="shared" si="18"/>
        <v>0</v>
      </c>
      <c r="I168" s="239">
        <f t="shared" si="18"/>
        <v>3457740.1124013676</v>
      </c>
      <c r="J168" s="239">
        <f t="shared" si="18"/>
        <v>0</v>
      </c>
      <c r="K168" s="239">
        <f t="shared" si="18"/>
        <v>6284874.4613305032</v>
      </c>
      <c r="L168" s="239">
        <f t="shared" si="18"/>
        <v>0</v>
      </c>
      <c r="M168" s="488"/>
    </row>
    <row r="169" spans="1:13" x14ac:dyDescent="0.25">
      <c r="A169" s="491"/>
      <c r="B169" s="237" t="str">
        <f>+'PAC CONSOLIDADO'!E167</f>
        <v>1 Zonaje colegios etapa 1</v>
      </c>
      <c r="C169" s="238"/>
      <c r="D169" s="238"/>
      <c r="E169" s="238">
        <f>+'PAC CONSOLIDADO'!J167</f>
        <v>1551913.958169024</v>
      </c>
      <c r="F169" s="238"/>
      <c r="G169" s="238"/>
      <c r="H169" s="238"/>
      <c r="I169" s="238"/>
      <c r="J169" s="238"/>
      <c r="K169" s="238">
        <f>+C169+E169+G169+I169</f>
        <v>1551913.958169024</v>
      </c>
      <c r="L169" s="238"/>
    </row>
    <row r="170" spans="1:13" x14ac:dyDescent="0.25">
      <c r="A170" s="491"/>
      <c r="B170" s="237" t="str">
        <f>+'PAC CONSOLIDADO'!E168</f>
        <v>2 Zonaje colegios etapa 2</v>
      </c>
      <c r="C170" s="238"/>
      <c r="D170" s="238"/>
      <c r="E170" s="238"/>
      <c r="F170" s="238"/>
      <c r="G170" s="238">
        <f>+'PAC CONSOLIDADO'!J168</f>
        <v>1275220.3907601123</v>
      </c>
      <c r="H170" s="238"/>
      <c r="I170" s="238"/>
      <c r="J170" s="238"/>
      <c r="K170" s="238">
        <f t="shared" ref="K170:K171" si="19">+C170+E170+G170+I170</f>
        <v>1275220.3907601123</v>
      </c>
      <c r="L170" s="238"/>
    </row>
    <row r="171" spans="1:13" x14ac:dyDescent="0.25">
      <c r="A171" s="491"/>
      <c r="B171" s="237" t="str">
        <f>+'PAC CONSOLIDADO'!E169</f>
        <v>3 Zonaje colegios etapa 3</v>
      </c>
      <c r="C171" s="238"/>
      <c r="D171" s="238"/>
      <c r="E171" s="238"/>
      <c r="F171" s="238"/>
      <c r="G171" s="238"/>
      <c r="H171" s="238"/>
      <c r="I171" s="238">
        <f>+'PAC CONSOLIDADO'!J169</f>
        <v>3457740.1124013676</v>
      </c>
      <c r="J171" s="238"/>
      <c r="K171" s="238">
        <f t="shared" si="19"/>
        <v>3457740.1124013676</v>
      </c>
      <c r="L171" s="238"/>
    </row>
    <row r="172" spans="1:13" ht="15.75" x14ac:dyDescent="0.25">
      <c r="A172" s="544" t="str">
        <f>+'PAC CONSOLIDADO'!E170</f>
        <v>Componente 3. Construcción de espacios culturales y deportivos en centros de alta densidad estudiantil</v>
      </c>
      <c r="B172" s="544"/>
      <c r="C172" s="493">
        <f>+C173+C198+C201+C204</f>
        <v>5688642.7912823986</v>
      </c>
      <c r="D172" s="493">
        <f t="shared" ref="D172:J172" si="20">+D173+D198+D201+D204</f>
        <v>0</v>
      </c>
      <c r="E172" s="493">
        <f t="shared" si="20"/>
        <v>2872764.6095976117</v>
      </c>
      <c r="F172" s="493">
        <f t="shared" si="20"/>
        <v>0</v>
      </c>
      <c r="G172" s="493">
        <f t="shared" si="20"/>
        <v>308608.87142707023</v>
      </c>
      <c r="H172" s="493">
        <f t="shared" si="20"/>
        <v>0</v>
      </c>
      <c r="I172" s="493">
        <f t="shared" si="20"/>
        <v>0</v>
      </c>
      <c r="J172" s="493">
        <f t="shared" si="20"/>
        <v>0</v>
      </c>
      <c r="K172" s="493">
        <f t="shared" ref="K172:L172" si="21">+K173+K198+K201+K204+K207</f>
        <v>19842599.376839228</v>
      </c>
      <c r="L172" s="493">
        <f t="shared" si="21"/>
        <v>0</v>
      </c>
    </row>
    <row r="173" spans="1:13" s="489" customFormat="1" ht="31.5" x14ac:dyDescent="0.25">
      <c r="A173" s="352" t="str">
        <f>+'PAC CONSOLIDADO'!E171</f>
        <v>Construcción de canchas multiusos</v>
      </c>
      <c r="B173" s="487"/>
      <c r="C173" s="239">
        <f>SUM(C174:C197)</f>
        <v>5688642.7912823986</v>
      </c>
      <c r="D173" s="239">
        <f t="shared" ref="D173:L173" si="22">SUM(D174:D197)</f>
        <v>0</v>
      </c>
      <c r="E173" s="239">
        <f t="shared" si="22"/>
        <v>1991024.9769488401</v>
      </c>
      <c r="F173" s="239">
        <f t="shared" si="22"/>
        <v>0</v>
      </c>
      <c r="G173" s="239">
        <f t="shared" si="22"/>
        <v>0</v>
      </c>
      <c r="H173" s="239">
        <f t="shared" si="22"/>
        <v>0</v>
      </c>
      <c r="I173" s="239">
        <f t="shared" si="22"/>
        <v>0</v>
      </c>
      <c r="J173" s="239">
        <f t="shared" si="22"/>
        <v>0</v>
      </c>
      <c r="K173" s="239">
        <f>SUM(K174:K197)</f>
        <v>7679667.7682312373</v>
      </c>
      <c r="L173" s="239">
        <f t="shared" si="22"/>
        <v>0</v>
      </c>
      <c r="M173" s="488"/>
    </row>
    <row r="174" spans="1:13" x14ac:dyDescent="0.25">
      <c r="A174" s="491"/>
      <c r="B174" s="237" t="str">
        <f>+'PAC CONSOLIDADO'!E172</f>
        <v>1 Construcción Canchas C.T.P 27 De Abril</v>
      </c>
      <c r="C174" s="238">
        <f>+$D$5*'PAC CONSOLIDADO'!J172</f>
        <v>316035.71062679996</v>
      </c>
      <c r="D174" s="238"/>
      <c r="E174" s="238"/>
      <c r="F174" s="238"/>
      <c r="G174" s="238"/>
      <c r="H174" s="238"/>
      <c r="I174" s="238"/>
      <c r="J174" s="238"/>
      <c r="K174" s="238">
        <f>+C174+E174+G174+I174</f>
        <v>316035.71062679996</v>
      </c>
      <c r="L174" s="238"/>
    </row>
    <row r="175" spans="1:13" x14ac:dyDescent="0.25">
      <c r="A175" s="491"/>
      <c r="B175" s="237" t="str">
        <f>+'PAC CONSOLIDADO'!E173</f>
        <v>1 Construcción Canchas C.T.P Carrizal</v>
      </c>
      <c r="C175" s="238">
        <f>+$D$5*'PAC CONSOLIDADO'!J173</f>
        <v>316035.71062679996</v>
      </c>
      <c r="D175" s="238"/>
      <c r="E175" s="238"/>
      <c r="F175" s="238"/>
      <c r="G175" s="238"/>
      <c r="H175" s="238"/>
      <c r="I175" s="238"/>
      <c r="J175" s="238"/>
      <c r="K175" s="238">
        <f t="shared" ref="K175:K206" si="23">+C175+E175+G175+I175</f>
        <v>316035.71062679996</v>
      </c>
      <c r="L175" s="238"/>
    </row>
    <row r="176" spans="1:13" x14ac:dyDescent="0.25">
      <c r="A176" s="491"/>
      <c r="B176" s="237" t="str">
        <f>+'PAC CONSOLIDADO'!E174</f>
        <v>1 Construcción Canchas C.T.P De Bataán</v>
      </c>
      <c r="C176" s="238">
        <f>+$D$5*'PAC CONSOLIDADO'!J174</f>
        <v>316035.71062679996</v>
      </c>
      <c r="D176" s="238"/>
      <c r="E176" s="238"/>
      <c r="F176" s="238"/>
      <c r="G176" s="238"/>
      <c r="H176" s="238"/>
      <c r="I176" s="238"/>
      <c r="J176" s="238"/>
      <c r="K176" s="238">
        <f t="shared" si="23"/>
        <v>316035.71062679996</v>
      </c>
      <c r="L176" s="238"/>
    </row>
    <row r="177" spans="1:12" ht="25.5" x14ac:dyDescent="0.25">
      <c r="A177" s="491"/>
      <c r="B177" s="237" t="str">
        <f>+'PAC CONSOLIDADO'!E175</f>
        <v>1 Construcción Canchas C.T.P De Puerto Jimenez</v>
      </c>
      <c r="C177" s="238">
        <f>+$D$5*'PAC CONSOLIDADO'!J175</f>
        <v>316035.71062679996</v>
      </c>
      <c r="D177" s="238"/>
      <c r="E177" s="238"/>
      <c r="F177" s="238"/>
      <c r="G177" s="238"/>
      <c r="H177" s="238"/>
      <c r="I177" s="238"/>
      <c r="J177" s="238"/>
      <c r="K177" s="238">
        <f t="shared" si="23"/>
        <v>316035.71062679996</v>
      </c>
      <c r="L177" s="238"/>
    </row>
    <row r="178" spans="1:12" ht="25.5" x14ac:dyDescent="0.25">
      <c r="A178" s="491"/>
      <c r="B178" s="237" t="str">
        <f>+'PAC CONSOLIDADO'!E176</f>
        <v>1 Construcción Canchas C.T.P Jose Daniel Flores</v>
      </c>
      <c r="C178" s="238">
        <f>+$D$5*'PAC CONSOLIDADO'!J176</f>
        <v>316035.71062679996</v>
      </c>
      <c r="D178" s="238"/>
      <c r="E178" s="238"/>
      <c r="F178" s="238"/>
      <c r="G178" s="238"/>
      <c r="H178" s="238"/>
      <c r="I178" s="238"/>
      <c r="J178" s="238"/>
      <c r="K178" s="238">
        <f t="shared" si="23"/>
        <v>316035.71062679996</v>
      </c>
      <c r="L178" s="238"/>
    </row>
    <row r="179" spans="1:12" x14ac:dyDescent="0.25">
      <c r="A179" s="491"/>
      <c r="B179" s="237" t="str">
        <f>+'PAC CONSOLIDADO'!E177</f>
        <v>1 Construcción Canchas C.T.P Nicoya</v>
      </c>
      <c r="C179" s="238">
        <f>+$D$5*'PAC CONSOLIDADO'!J177</f>
        <v>316035.71062679996</v>
      </c>
      <c r="D179" s="238"/>
      <c r="E179" s="238"/>
      <c r="F179" s="238"/>
      <c r="G179" s="238"/>
      <c r="H179" s="238"/>
      <c r="I179" s="238"/>
      <c r="J179" s="238"/>
      <c r="K179" s="238">
        <f t="shared" si="23"/>
        <v>316035.71062679996</v>
      </c>
      <c r="L179" s="238"/>
    </row>
    <row r="180" spans="1:12" ht="25.5" x14ac:dyDescent="0.25">
      <c r="A180" s="491"/>
      <c r="B180" s="237" t="str">
        <f>+'PAC CONSOLIDADO'!E178</f>
        <v>1 Construcción Canchas C.T.P San Pedro De Barva</v>
      </c>
      <c r="C180" s="238">
        <f>+$D$5*'PAC CONSOLIDADO'!J178</f>
        <v>316035.71062679996</v>
      </c>
      <c r="D180" s="238"/>
      <c r="E180" s="238"/>
      <c r="F180" s="238"/>
      <c r="G180" s="238"/>
      <c r="H180" s="238"/>
      <c r="I180" s="238"/>
      <c r="J180" s="238"/>
      <c r="K180" s="238">
        <f t="shared" si="23"/>
        <v>316035.71062679996</v>
      </c>
      <c r="L180" s="238"/>
    </row>
    <row r="181" spans="1:12" x14ac:dyDescent="0.25">
      <c r="A181" s="491"/>
      <c r="B181" s="237" t="str">
        <f>+'PAC CONSOLIDADO'!E179</f>
        <v>1 Construcción Canchas C.T.P Tronadora</v>
      </c>
      <c r="C181" s="238">
        <f>+$D$5*'PAC CONSOLIDADO'!J179</f>
        <v>316035.71062679996</v>
      </c>
      <c r="D181" s="238"/>
      <c r="E181" s="238"/>
      <c r="F181" s="238"/>
      <c r="G181" s="238"/>
      <c r="H181" s="238"/>
      <c r="I181" s="238"/>
      <c r="J181" s="238"/>
      <c r="K181" s="238">
        <f t="shared" si="23"/>
        <v>316035.71062679996</v>
      </c>
      <c r="L181" s="238"/>
    </row>
    <row r="182" spans="1:12" x14ac:dyDescent="0.25">
      <c r="A182" s="491"/>
      <c r="B182" s="237" t="str">
        <f>+'PAC CONSOLIDADO'!E180</f>
        <v>1 Construcción Canchas Colegio De Jimenez</v>
      </c>
      <c r="C182" s="238">
        <f>+$D$5*'PAC CONSOLIDADO'!J180</f>
        <v>316035.71062679996</v>
      </c>
      <c r="D182" s="238"/>
      <c r="E182" s="238"/>
      <c r="F182" s="238"/>
      <c r="G182" s="238"/>
      <c r="H182" s="238"/>
      <c r="I182" s="238"/>
      <c r="J182" s="238"/>
      <c r="K182" s="238">
        <f t="shared" si="23"/>
        <v>316035.71062679996</v>
      </c>
      <c r="L182" s="238"/>
    </row>
    <row r="183" spans="1:12" x14ac:dyDescent="0.25">
      <c r="A183" s="491"/>
      <c r="B183" s="237" t="str">
        <f>+'PAC CONSOLIDADO'!E181</f>
        <v>1 Construcción Canchas Colegio Katira</v>
      </c>
      <c r="C183" s="238">
        <f>+$D$5*'PAC CONSOLIDADO'!J181</f>
        <v>316035.71062679996</v>
      </c>
      <c r="D183" s="238"/>
      <c r="E183" s="238"/>
      <c r="F183" s="238"/>
      <c r="G183" s="238"/>
      <c r="H183" s="238"/>
      <c r="I183" s="238"/>
      <c r="J183" s="238"/>
      <c r="K183" s="238">
        <f t="shared" si="23"/>
        <v>316035.71062679996</v>
      </c>
      <c r="L183" s="238"/>
    </row>
    <row r="184" spans="1:12" x14ac:dyDescent="0.25">
      <c r="A184" s="491"/>
      <c r="B184" s="237" t="str">
        <f>+'PAC CONSOLIDADO'!E182</f>
        <v>1 Construcción Canchas Colegio Liverpool</v>
      </c>
      <c r="C184" s="238">
        <f>+$D$5*'PAC CONSOLIDADO'!J182</f>
        <v>316035.71062679996</v>
      </c>
      <c r="D184" s="238"/>
      <c r="E184" s="238"/>
      <c r="F184" s="238"/>
      <c r="G184" s="238"/>
      <c r="H184" s="238"/>
      <c r="I184" s="238"/>
      <c r="J184" s="238"/>
      <c r="K184" s="238">
        <f t="shared" si="23"/>
        <v>316035.71062679996</v>
      </c>
      <c r="L184" s="238"/>
    </row>
    <row r="185" spans="1:12" x14ac:dyDescent="0.25">
      <c r="A185" s="491"/>
      <c r="B185" s="237" t="str">
        <f>+'PAC CONSOLIDADO'!E183</f>
        <v>1 Construcción Canchas Colegio San Rafael</v>
      </c>
      <c r="C185" s="238">
        <f>+$D$5*'PAC CONSOLIDADO'!J183</f>
        <v>316035.71062679996</v>
      </c>
      <c r="D185" s="238"/>
      <c r="E185" s="238"/>
      <c r="F185" s="238"/>
      <c r="G185" s="238"/>
      <c r="H185" s="238"/>
      <c r="I185" s="238"/>
      <c r="J185" s="238"/>
      <c r="K185" s="238">
        <f t="shared" si="23"/>
        <v>316035.71062679996</v>
      </c>
      <c r="L185" s="238"/>
    </row>
    <row r="186" spans="1:12" x14ac:dyDescent="0.25">
      <c r="A186" s="491"/>
      <c r="B186" s="237" t="str">
        <f>+'PAC CONSOLIDADO'!E184</f>
        <v>1 Construcción Canchas Colegio Venecia</v>
      </c>
      <c r="C186" s="238">
        <f>+$D$5*'PAC CONSOLIDADO'!J184</f>
        <v>316035.71062679996</v>
      </c>
      <c r="D186" s="238"/>
      <c r="E186" s="238"/>
      <c r="F186" s="238"/>
      <c r="G186" s="238"/>
      <c r="H186" s="238"/>
      <c r="I186" s="238"/>
      <c r="J186" s="238"/>
      <c r="K186" s="238">
        <f t="shared" si="23"/>
        <v>316035.71062679996</v>
      </c>
      <c r="L186" s="238"/>
    </row>
    <row r="187" spans="1:12" x14ac:dyDescent="0.25">
      <c r="A187" s="491"/>
      <c r="B187" s="237" t="str">
        <f>+'PAC CONSOLIDADO'!E185</f>
        <v>1 Construcción Canchas Liceo De Pavón</v>
      </c>
      <c r="C187" s="238">
        <f>+$D$5*'PAC CONSOLIDADO'!J185</f>
        <v>316035.71062679996</v>
      </c>
      <c r="D187" s="238"/>
      <c r="E187" s="238"/>
      <c r="F187" s="238"/>
      <c r="G187" s="238"/>
      <c r="H187" s="238"/>
      <c r="I187" s="238"/>
      <c r="J187" s="238"/>
      <c r="K187" s="238">
        <f t="shared" si="23"/>
        <v>316035.71062679996</v>
      </c>
      <c r="L187" s="238"/>
    </row>
    <row r="188" spans="1:12" x14ac:dyDescent="0.25">
      <c r="A188" s="491"/>
      <c r="B188" s="237" t="str">
        <f>+'PAC CONSOLIDADO'!E186</f>
        <v>1 Construcción Canchas Liceo De Purral</v>
      </c>
      <c r="C188" s="238">
        <f>+$D$5*'PAC CONSOLIDADO'!J186</f>
        <v>316035.71062679996</v>
      </c>
      <c r="D188" s="238"/>
      <c r="E188" s="238"/>
      <c r="F188" s="238"/>
      <c r="G188" s="238"/>
      <c r="H188" s="238"/>
      <c r="I188" s="238"/>
      <c r="J188" s="238"/>
      <c r="K188" s="238">
        <f t="shared" si="23"/>
        <v>316035.71062679996</v>
      </c>
      <c r="L188" s="238"/>
    </row>
    <row r="189" spans="1:12" ht="27.75" customHeight="1" x14ac:dyDescent="0.25">
      <c r="A189" s="491"/>
      <c r="B189" s="237" t="str">
        <f>+'PAC CONSOLIDADO'!E187</f>
        <v>1 Construcción Canchas Liceo Nuevo De Limón</v>
      </c>
      <c r="C189" s="238">
        <f>+$D$5*'PAC CONSOLIDADO'!J187</f>
        <v>316035.71062679996</v>
      </c>
      <c r="D189" s="238"/>
      <c r="E189" s="238"/>
      <c r="F189" s="238"/>
      <c r="G189" s="238"/>
      <c r="H189" s="238"/>
      <c r="I189" s="238"/>
      <c r="J189" s="238"/>
      <c r="K189" s="238">
        <f t="shared" si="23"/>
        <v>316035.71062679996</v>
      </c>
      <c r="L189" s="238"/>
    </row>
    <row r="190" spans="1:12" x14ac:dyDescent="0.25">
      <c r="A190" s="491"/>
      <c r="B190" s="237" t="str">
        <f>+'PAC CONSOLIDADO'!E188</f>
        <v>1 Construcción Canchas Liceo Santa Marta</v>
      </c>
      <c r="C190" s="238">
        <f>+$D$5*'PAC CONSOLIDADO'!J188</f>
        <v>316035.71062679996</v>
      </c>
      <c r="D190" s="238"/>
      <c r="E190" s="238"/>
      <c r="F190" s="238"/>
      <c r="G190" s="238"/>
      <c r="H190" s="238"/>
      <c r="I190" s="238"/>
      <c r="J190" s="238"/>
      <c r="K190" s="238">
        <f t="shared" si="23"/>
        <v>316035.71062679996</v>
      </c>
      <c r="L190" s="238"/>
    </row>
    <row r="191" spans="1:12" ht="31.5" customHeight="1" x14ac:dyDescent="0.25">
      <c r="A191" s="491"/>
      <c r="B191" s="237" t="str">
        <f>+'PAC CONSOLIDADO'!E189</f>
        <v>1 Construcción Canchas Escuela Pbro Yanuario Quesada</v>
      </c>
      <c r="C191" s="238">
        <f>+$D$5*'PAC CONSOLIDADO'!J189</f>
        <v>316035.71062679996</v>
      </c>
      <c r="D191" s="238"/>
      <c r="E191" s="238"/>
      <c r="F191" s="238"/>
      <c r="G191" s="238"/>
      <c r="H191" s="238"/>
      <c r="I191" s="238"/>
      <c r="J191" s="238"/>
      <c r="K191" s="238">
        <f t="shared" si="23"/>
        <v>316035.71062679996</v>
      </c>
      <c r="L191" s="238"/>
    </row>
    <row r="192" spans="1:12" x14ac:dyDescent="0.25">
      <c r="A192" s="491"/>
      <c r="B192" s="237" t="str">
        <f>+'PAC CONSOLIDADO'!E190</f>
        <v>2 Construcción Canchas C.T.P. De Hojancha</v>
      </c>
      <c r="C192" s="238"/>
      <c r="D192" s="238"/>
      <c r="E192" s="238">
        <f>+$D$5*'PAC CONSOLIDADO'!J190</f>
        <v>331837.49615814001</v>
      </c>
      <c r="F192" s="238"/>
      <c r="G192" s="238"/>
      <c r="H192" s="238"/>
      <c r="I192" s="238"/>
      <c r="J192" s="238"/>
      <c r="K192" s="238">
        <f t="shared" si="23"/>
        <v>331837.49615814001</v>
      </c>
      <c r="L192" s="238"/>
    </row>
    <row r="193" spans="1:13" x14ac:dyDescent="0.25">
      <c r="A193" s="491"/>
      <c r="B193" s="237" t="str">
        <f>+'PAC CONSOLIDADO'!E191</f>
        <v>2 Construcción Canchas C.T.P. Liberia</v>
      </c>
      <c r="C193" s="238"/>
      <c r="D193" s="238"/>
      <c r="E193" s="238">
        <f>+$D$5*'PAC CONSOLIDADO'!J191</f>
        <v>331837.49615814001</v>
      </c>
      <c r="F193" s="238"/>
      <c r="G193" s="238"/>
      <c r="H193" s="238"/>
      <c r="I193" s="238"/>
      <c r="J193" s="238"/>
      <c r="K193" s="238">
        <f t="shared" si="23"/>
        <v>331837.49615814001</v>
      </c>
      <c r="L193" s="238"/>
    </row>
    <row r="194" spans="1:13" x14ac:dyDescent="0.25">
      <c r="A194" s="491"/>
      <c r="B194" s="237" t="str">
        <f>+'PAC CONSOLIDADO'!E192</f>
        <v>2 Construcción Canchas C.T.P. Nandayure</v>
      </c>
      <c r="C194" s="238"/>
      <c r="D194" s="238"/>
      <c r="E194" s="238">
        <f>+$D$5*'PAC CONSOLIDADO'!J192</f>
        <v>331837.49615814001</v>
      </c>
      <c r="F194" s="238"/>
      <c r="G194" s="238"/>
      <c r="H194" s="238"/>
      <c r="I194" s="238"/>
      <c r="J194" s="238"/>
      <c r="K194" s="238">
        <f t="shared" si="23"/>
        <v>331837.49615814001</v>
      </c>
      <c r="L194" s="238"/>
    </row>
    <row r="195" spans="1:13" x14ac:dyDescent="0.25">
      <c r="A195" s="491"/>
      <c r="B195" s="237" t="str">
        <f>+'PAC CONSOLIDADO'!E193</f>
        <v>2 Construcción Canchas C.T.P. Sardinal</v>
      </c>
      <c r="C195" s="238"/>
      <c r="D195" s="238"/>
      <c r="E195" s="238">
        <f>+$D$5*'PAC CONSOLIDADO'!J193</f>
        <v>331837.49615814001</v>
      </c>
      <c r="F195" s="238"/>
      <c r="G195" s="238"/>
      <c r="H195" s="238"/>
      <c r="I195" s="238"/>
      <c r="J195" s="238"/>
      <c r="K195" s="238">
        <f t="shared" si="23"/>
        <v>331837.49615814001</v>
      </c>
      <c r="L195" s="238"/>
    </row>
    <row r="196" spans="1:13" ht="25.5" x14ac:dyDescent="0.25">
      <c r="A196" s="491"/>
      <c r="B196" s="237" t="str">
        <f>+'PAC CONSOLIDADO'!E194</f>
        <v>2 Construcción Canchas C.T.P.Ricardo Castro Beer</v>
      </c>
      <c r="C196" s="238"/>
      <c r="D196" s="238"/>
      <c r="E196" s="238">
        <f>+$D$5*'PAC CONSOLIDADO'!J194</f>
        <v>331837.49615814001</v>
      </c>
      <c r="F196" s="238"/>
      <c r="G196" s="238"/>
      <c r="H196" s="238"/>
      <c r="I196" s="238"/>
      <c r="J196" s="238"/>
      <c r="K196" s="238">
        <f t="shared" si="23"/>
        <v>331837.49615814001</v>
      </c>
      <c r="L196" s="238"/>
    </row>
    <row r="197" spans="1:13" x14ac:dyDescent="0.25">
      <c r="A197" s="491"/>
      <c r="B197" s="237" t="str">
        <f>+'PAC CONSOLIDADO'!E195</f>
        <v>2 Construcción Canchas Colegio Tucurrique</v>
      </c>
      <c r="C197" s="238"/>
      <c r="D197" s="238"/>
      <c r="E197" s="238">
        <f>+$D$5*'PAC CONSOLIDADO'!J195</f>
        <v>331837.49615814001</v>
      </c>
      <c r="F197" s="238"/>
      <c r="G197" s="238"/>
      <c r="H197" s="238"/>
      <c r="I197" s="238"/>
      <c r="J197" s="238"/>
      <c r="K197" s="238">
        <f t="shared" si="23"/>
        <v>331837.49615814001</v>
      </c>
      <c r="L197" s="238"/>
    </row>
    <row r="198" spans="1:13" s="489" customFormat="1" ht="15.75" x14ac:dyDescent="0.25">
      <c r="A198" s="352" t="str">
        <f>+'PAC CONSOLIDADO'!E196</f>
        <v>Supervisión de obras</v>
      </c>
      <c r="B198" s="487"/>
      <c r="C198" s="239">
        <f>SUM(C199:C200)</f>
        <v>0</v>
      </c>
      <c r="D198" s="239">
        <f t="shared" ref="D198:J198" si="24">SUM(D199:D200)</f>
        <v>0</v>
      </c>
      <c r="E198" s="239">
        <f t="shared" si="24"/>
        <v>142216.06978205996</v>
      </c>
      <c r="F198" s="239">
        <f t="shared" si="24"/>
        <v>0</v>
      </c>
      <c r="G198" s="239">
        <f t="shared" si="24"/>
        <v>49775.624423721005</v>
      </c>
      <c r="H198" s="239">
        <f t="shared" si="24"/>
        <v>0</v>
      </c>
      <c r="I198" s="239">
        <f t="shared" si="24"/>
        <v>0</v>
      </c>
      <c r="J198" s="239">
        <f t="shared" si="24"/>
        <v>0</v>
      </c>
      <c r="K198" s="239">
        <f>SUM(K199:K200)</f>
        <v>191991.69420578098</v>
      </c>
      <c r="L198" s="239">
        <f t="shared" ref="L198" si="25">SUM(L199:L201)</f>
        <v>0</v>
      </c>
      <c r="M198" s="488"/>
    </row>
    <row r="199" spans="1:13" x14ac:dyDescent="0.25">
      <c r="A199" s="491"/>
      <c r="B199" s="237" t="str">
        <f>+'PAC CONSOLIDADO'!E197</f>
        <v>1 Supervisión canchas etapa 1</v>
      </c>
      <c r="C199" s="238"/>
      <c r="D199" s="238"/>
      <c r="E199" s="238">
        <f>+'PAC CONSOLIDADO'!J197</f>
        <v>142216.06978205996</v>
      </c>
      <c r="F199" s="238"/>
      <c r="G199" s="238"/>
      <c r="H199" s="238"/>
      <c r="I199" s="238"/>
      <c r="J199" s="238"/>
      <c r="K199" s="238">
        <f t="shared" si="23"/>
        <v>142216.06978205996</v>
      </c>
      <c r="L199" s="238"/>
    </row>
    <row r="200" spans="1:13" x14ac:dyDescent="0.25">
      <c r="A200" s="491"/>
      <c r="B200" s="237" t="str">
        <f>+'PAC CONSOLIDADO'!E198</f>
        <v>2 Supervisión canchas etapa 2</v>
      </c>
      <c r="C200" s="238"/>
      <c r="D200" s="238"/>
      <c r="E200" s="238"/>
      <c r="F200" s="238"/>
      <c r="G200" s="238">
        <f>+'PAC CONSOLIDADO'!J198</f>
        <v>49775.624423721005</v>
      </c>
      <c r="H200" s="238"/>
      <c r="I200" s="238"/>
      <c r="J200" s="238"/>
      <c r="K200" s="238">
        <f t="shared" si="23"/>
        <v>49775.624423721005</v>
      </c>
      <c r="L200" s="238"/>
    </row>
    <row r="201" spans="1:13" s="489" customFormat="1" ht="63" x14ac:dyDescent="0.25">
      <c r="A201" s="352" t="str">
        <f>+'PAC CONSOLIDADO'!E199</f>
        <v>Estudios topográficos y diseños constructivos</v>
      </c>
      <c r="B201" s="487"/>
      <c r="C201" s="239">
        <f>SUM(C202:C203)</f>
        <v>0</v>
      </c>
      <c r="D201" s="239">
        <f t="shared" ref="D201:L201" si="26">SUM(D202:D203)</f>
        <v>0</v>
      </c>
      <c r="E201" s="239">
        <f t="shared" si="26"/>
        <v>284432.13956411992</v>
      </c>
      <c r="F201" s="239">
        <f t="shared" si="26"/>
        <v>0</v>
      </c>
      <c r="G201" s="239">
        <f t="shared" si="26"/>
        <v>99551.24884744201</v>
      </c>
      <c r="H201" s="239">
        <f t="shared" si="26"/>
        <v>0</v>
      </c>
      <c r="I201" s="239">
        <f t="shared" si="26"/>
        <v>0</v>
      </c>
      <c r="J201" s="239">
        <f t="shared" si="26"/>
        <v>0</v>
      </c>
      <c r="K201" s="239">
        <f t="shared" si="26"/>
        <v>383983.38841156196</v>
      </c>
      <c r="L201" s="239">
        <f t="shared" si="26"/>
        <v>0</v>
      </c>
      <c r="M201" s="488"/>
    </row>
    <row r="202" spans="1:13" x14ac:dyDescent="0.25">
      <c r="A202" s="491"/>
      <c r="B202" s="237" t="str">
        <f>+'PAC CONSOLIDADO'!E200</f>
        <v>1 Estudios y diseños canchas etapa 1</v>
      </c>
      <c r="C202" s="238"/>
      <c r="D202" s="238"/>
      <c r="E202" s="238">
        <f>+'PAC CONSOLIDADO'!J200</f>
        <v>284432.13956411992</v>
      </c>
      <c r="F202" s="238"/>
      <c r="G202" s="238"/>
      <c r="H202" s="238"/>
      <c r="I202" s="238"/>
      <c r="J202" s="238"/>
      <c r="K202" s="238">
        <f t="shared" si="23"/>
        <v>284432.13956411992</v>
      </c>
      <c r="L202" s="238"/>
    </row>
    <row r="203" spans="1:13" x14ac:dyDescent="0.25">
      <c r="A203" s="491"/>
      <c r="B203" s="237" t="str">
        <f>+'PAC CONSOLIDADO'!E201</f>
        <v>2 Estudios y diseños canchas etapa 2</v>
      </c>
      <c r="C203" s="238"/>
      <c r="D203" s="238"/>
      <c r="E203" s="238"/>
      <c r="F203" s="238"/>
      <c r="G203" s="238">
        <f>+'PAC CONSOLIDADO'!J201</f>
        <v>99551.24884744201</v>
      </c>
      <c r="H203" s="238"/>
      <c r="I203" s="238"/>
      <c r="J203" s="238"/>
      <c r="K203" s="238">
        <f t="shared" si="23"/>
        <v>99551.24884744201</v>
      </c>
      <c r="L203" s="238"/>
    </row>
    <row r="204" spans="1:13" s="489" customFormat="1" ht="15.75" x14ac:dyDescent="0.25">
      <c r="A204" s="352" t="str">
        <f>+'PAC CONSOLIDADO'!E202</f>
        <v>Zonaje</v>
      </c>
      <c r="B204" s="487"/>
      <c r="C204" s="239">
        <f>SUM(C205:C206)</f>
        <v>0</v>
      </c>
      <c r="D204" s="239">
        <f t="shared" ref="D204:L204" si="27">SUM(D205:D206)</f>
        <v>0</v>
      </c>
      <c r="E204" s="239">
        <f t="shared" si="27"/>
        <v>455091.42330259189</v>
      </c>
      <c r="F204" s="239">
        <f t="shared" si="27"/>
        <v>0</v>
      </c>
      <c r="G204" s="239">
        <f t="shared" si="27"/>
        <v>159281.9981559072</v>
      </c>
      <c r="H204" s="239">
        <f t="shared" si="27"/>
        <v>0</v>
      </c>
      <c r="I204" s="239">
        <f t="shared" si="27"/>
        <v>0</v>
      </c>
      <c r="J204" s="239">
        <f t="shared" si="27"/>
        <v>0</v>
      </c>
      <c r="K204" s="239">
        <f t="shared" si="27"/>
        <v>614373.42145849904</v>
      </c>
      <c r="L204" s="239">
        <f t="shared" si="27"/>
        <v>0</v>
      </c>
      <c r="M204" s="488"/>
    </row>
    <row r="205" spans="1:13" x14ac:dyDescent="0.25">
      <c r="A205" s="491"/>
      <c r="B205" s="237" t="str">
        <f>+'PAC CONSOLIDADO'!E203</f>
        <v>1 Zonaje canchas etapa 1</v>
      </c>
      <c r="C205" s="238"/>
      <c r="D205" s="238"/>
      <c r="E205" s="238">
        <f>+'PAC CONSOLIDADO'!J203</f>
        <v>455091.42330259189</v>
      </c>
      <c r="F205" s="238"/>
      <c r="G205" s="238"/>
      <c r="H205" s="238"/>
      <c r="I205" s="238"/>
      <c r="J205" s="238"/>
      <c r="K205" s="238">
        <f t="shared" si="23"/>
        <v>455091.42330259189</v>
      </c>
      <c r="L205" s="238"/>
    </row>
    <row r="206" spans="1:13" x14ac:dyDescent="0.25">
      <c r="A206" s="491"/>
      <c r="B206" s="237" t="str">
        <f>+'PAC CONSOLIDADO'!E204</f>
        <v>2 Zonaje canchas etapa 2</v>
      </c>
      <c r="C206" s="238"/>
      <c r="D206" s="238"/>
      <c r="E206" s="238"/>
      <c r="F206" s="238"/>
      <c r="G206" s="238">
        <f>+'PAC CONSOLIDADO'!J204</f>
        <v>159281.9981559072</v>
      </c>
      <c r="H206" s="238"/>
      <c r="I206" s="238"/>
      <c r="J206" s="238"/>
      <c r="K206" s="238">
        <f t="shared" si="23"/>
        <v>159281.9981559072</v>
      </c>
      <c r="L206" s="238"/>
    </row>
    <row r="207" spans="1:13" ht="15.75" x14ac:dyDescent="0.25">
      <c r="A207" s="544" t="s">
        <v>1126</v>
      </c>
      <c r="B207" s="544"/>
      <c r="C207" s="493">
        <f>SUM(C208:C209)</f>
        <v>1518008.3783726094</v>
      </c>
      <c r="D207" s="493">
        <f t="shared" ref="D207:L207" si="28">SUM(D208:D209)</f>
        <v>0</v>
      </c>
      <c r="E207" s="493">
        <f t="shared" si="28"/>
        <v>3778861.2670799652</v>
      </c>
      <c r="F207" s="493">
        <f t="shared" si="28"/>
        <v>0</v>
      </c>
      <c r="G207" s="493">
        <f t="shared" si="28"/>
        <v>3465524.3468952412</v>
      </c>
      <c r="H207" s="493">
        <f t="shared" si="28"/>
        <v>0</v>
      </c>
      <c r="I207" s="493">
        <f t="shared" si="28"/>
        <v>2210189.112184335</v>
      </c>
      <c r="J207" s="493">
        <f t="shared" si="28"/>
        <v>0</v>
      </c>
      <c r="K207" s="493">
        <f t="shared" si="28"/>
        <v>10972583.104532151</v>
      </c>
      <c r="L207" s="493">
        <f t="shared" si="28"/>
        <v>0</v>
      </c>
    </row>
    <row r="208" spans="1:13" x14ac:dyDescent="0.25">
      <c r="A208" s="244"/>
      <c r="B208" s="245" t="s">
        <v>931</v>
      </c>
      <c r="C208" s="242">
        <f>+'PAC CONSOLIDADO'!J206*0.4</f>
        <v>698538.14483459853</v>
      </c>
      <c r="D208" s="246"/>
      <c r="E208" s="246">
        <f>('PAC CONSOLIDADO'!J206*0.6)+('PAC CONSOLIDADO'!J207*1)</f>
        <v>2686234.2890292839</v>
      </c>
      <c r="F208" s="246"/>
      <c r="G208" s="246">
        <f>+'PAC CONSOLIDADO'!J208*0.8</f>
        <v>2099740.6243318897</v>
      </c>
      <c r="H208" s="242"/>
      <c r="I208" s="242">
        <f>+'PAC CONSOLIDADO'!J208*0.2</f>
        <v>524935.15608297242</v>
      </c>
      <c r="J208" s="242"/>
      <c r="K208" s="243">
        <f>SUM(C208:J208)</f>
        <v>6009448.2142787445</v>
      </c>
      <c r="L208" s="243"/>
      <c r="M208" s="247"/>
    </row>
    <row r="209" spans="1:13" x14ac:dyDescent="0.25">
      <c r="A209" s="244"/>
      <c r="B209" s="248" t="s">
        <v>1125</v>
      </c>
      <c r="C209" s="246">
        <v>819470.23353801086</v>
      </c>
      <c r="D209" s="246"/>
      <c r="E209" s="246">
        <v>1092626.9780506813</v>
      </c>
      <c r="F209" s="246"/>
      <c r="G209" s="246">
        <v>1365783.7225633515</v>
      </c>
      <c r="H209" s="246"/>
      <c r="I209" s="246">
        <v>1685253.9561013626</v>
      </c>
      <c r="J209" s="246"/>
      <c r="K209" s="243">
        <f>SUM(C209:J209)</f>
        <v>4963134.890253406</v>
      </c>
      <c r="L209" s="243"/>
      <c r="M209" s="247"/>
    </row>
    <row r="210" spans="1:13" ht="15.75" x14ac:dyDescent="0.25">
      <c r="A210" s="544" t="s">
        <v>27</v>
      </c>
      <c r="B210" s="544"/>
      <c r="C210" s="493">
        <f>+C8+C49+C172+C207</f>
        <v>16473344.770604515</v>
      </c>
      <c r="D210" s="493">
        <f t="shared" ref="D210:L210" si="29">+D8+D49+D172</f>
        <v>0</v>
      </c>
      <c r="E210" s="493">
        <f>+E8+E49+E172+E207</f>
        <v>63324647.151271142</v>
      </c>
      <c r="F210" s="493">
        <f t="shared" si="29"/>
        <v>0</v>
      </c>
      <c r="G210" s="493">
        <f>+G8+G49+G172+G207</f>
        <v>65901495.265557304</v>
      </c>
      <c r="H210" s="493">
        <f t="shared" si="29"/>
        <v>0</v>
      </c>
      <c r="I210" s="493">
        <f>+I8+I49+I172+I207</f>
        <v>21300512.808334775</v>
      </c>
      <c r="J210" s="493">
        <f t="shared" si="29"/>
        <v>0</v>
      </c>
      <c r="K210" s="493">
        <f t="shared" si="29"/>
        <v>166999999.99576774</v>
      </c>
      <c r="L210" s="493">
        <f t="shared" si="29"/>
        <v>0</v>
      </c>
    </row>
    <row r="211" spans="1:13" x14ac:dyDescent="0.25">
      <c r="B211" s="249"/>
      <c r="K211" s="250">
        <f>SUM(C210:I210)</f>
        <v>166999999.99576771</v>
      </c>
    </row>
    <row r="212" spans="1:13" ht="18.75" x14ac:dyDescent="0.3">
      <c r="A212" s="251"/>
      <c r="B212" s="249"/>
      <c r="C212" s="251"/>
      <c r="D212" s="251"/>
      <c r="E212" s="251"/>
      <c r="F212" s="251"/>
      <c r="G212" s="251"/>
      <c r="H212" s="251"/>
      <c r="I212" s="251"/>
      <c r="J212" s="251"/>
      <c r="K212" s="251"/>
      <c r="L212" s="252"/>
    </row>
    <row r="213" spans="1:13" x14ac:dyDescent="0.25">
      <c r="B213" s="253"/>
      <c r="C213" s="236"/>
    </row>
    <row r="214" spans="1:13" x14ac:dyDescent="0.25">
      <c r="B214" s="254"/>
      <c r="C214" s="236"/>
      <c r="K214" s="236">
        <f>+K211-167500000</f>
        <v>-500000.00423228741</v>
      </c>
    </row>
    <row r="215" spans="1:13" x14ac:dyDescent="0.25">
      <c r="B215" s="255"/>
    </row>
    <row r="216" spans="1:13" x14ac:dyDescent="0.25">
      <c r="B216" s="253"/>
    </row>
    <row r="217" spans="1:13" x14ac:dyDescent="0.25">
      <c r="B217" s="254"/>
      <c r="E217" s="236"/>
    </row>
    <row r="218" spans="1:13" x14ac:dyDescent="0.25">
      <c r="B218" s="256"/>
    </row>
    <row r="220" spans="1:13" ht="18.75" x14ac:dyDescent="0.3">
      <c r="B220" s="251"/>
    </row>
    <row r="224" spans="1:13" x14ac:dyDescent="0.25">
      <c r="B224" s="241"/>
    </row>
  </sheetData>
  <mergeCells count="14">
    <mergeCell ref="A2:E2"/>
    <mergeCell ref="A4:H4"/>
    <mergeCell ref="C6:D6"/>
    <mergeCell ref="E6:F6"/>
    <mergeCell ref="G6:H6"/>
    <mergeCell ref="A6:A7"/>
    <mergeCell ref="B6:B7"/>
    <mergeCell ref="A210:B210"/>
    <mergeCell ref="A207:B207"/>
    <mergeCell ref="K6:L6"/>
    <mergeCell ref="A8:B8"/>
    <mergeCell ref="A49:B49"/>
    <mergeCell ref="I6:J6"/>
    <mergeCell ref="A172:B172"/>
  </mergeCells>
  <phoneticPr fontId="18" type="noConversion"/>
  <printOptions horizontalCentered="1"/>
  <pageMargins left="0.70866141732283472" right="0.70866141732283472" top="0.74803149606299213" bottom="0.74803149606299213" header="0.31496062992125984" footer="0.31496062992125984"/>
  <pageSetup paperSize="5" scale="8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0"/>
  <sheetViews>
    <sheetView topLeftCell="A182" zoomScale="90" zoomScaleNormal="90" workbookViewId="0">
      <selection activeCell="J210" sqref="J210"/>
    </sheetView>
  </sheetViews>
  <sheetFormatPr defaultColWidth="11.42578125" defaultRowHeight="12.75" x14ac:dyDescent="0.2"/>
  <cols>
    <col min="1" max="1" width="6.42578125" style="272" customWidth="1"/>
    <col min="2" max="2" width="5.7109375" style="272" customWidth="1"/>
    <col min="3" max="3" width="6" style="272" customWidth="1"/>
    <col min="4" max="4" width="4.85546875" style="272" customWidth="1"/>
    <col min="5" max="5" width="41.7109375" style="272" customWidth="1"/>
    <col min="6" max="6" width="13.140625" style="272" customWidth="1"/>
    <col min="7" max="7" width="15.7109375" style="272" customWidth="1"/>
    <col min="8" max="8" width="15.140625" style="272" customWidth="1"/>
    <col min="9" max="9" width="19.85546875" style="272" customWidth="1"/>
    <col min="10" max="10" width="22.5703125" style="272" customWidth="1"/>
    <col min="11" max="11" width="10" style="295" bestFit="1" customWidth="1"/>
    <col min="12" max="12" width="10.5703125" style="295" customWidth="1"/>
    <col min="13" max="13" width="17.85546875" style="272" customWidth="1"/>
    <col min="14" max="14" width="8.85546875" style="272" customWidth="1"/>
    <col min="15" max="15" width="15.28515625" style="272" customWidth="1"/>
    <col min="16" max="16" width="11.5703125" style="272" bestFit="1" customWidth="1"/>
    <col min="17" max="17" width="11.140625" style="272" customWidth="1"/>
    <col min="18" max="18" width="14.140625" style="272" customWidth="1"/>
    <col min="19" max="19" width="15.28515625" style="272" customWidth="1"/>
    <col min="20" max="20" width="12.85546875" style="272" hidden="1" customWidth="1"/>
    <col min="21" max="21" width="21" style="272" hidden="1" customWidth="1"/>
    <col min="22" max="22" width="18.85546875" style="272" hidden="1" customWidth="1"/>
    <col min="23" max="23" width="17.28515625" style="272" hidden="1" customWidth="1"/>
    <col min="24" max="24" width="15.42578125" style="272" hidden="1" customWidth="1"/>
    <col min="25" max="25" width="16.140625" style="272" hidden="1" customWidth="1"/>
    <col min="26" max="26" width="16.85546875" style="272" hidden="1" customWidth="1"/>
    <col min="27" max="27" width="16.140625" style="272" hidden="1" customWidth="1"/>
    <col min="28" max="28" width="15.42578125" style="272" hidden="1" customWidth="1"/>
    <col min="29" max="29" width="17.28515625" style="272" hidden="1" customWidth="1"/>
    <col min="30" max="34" width="0" style="272" hidden="1" customWidth="1"/>
    <col min="35" max="16384" width="11.42578125" style="272"/>
  </cols>
  <sheetData>
    <row r="1" spans="1:31" x14ac:dyDescent="0.2">
      <c r="A1" s="279" t="s">
        <v>1136</v>
      </c>
      <c r="B1" s="279"/>
      <c r="D1" s="278"/>
      <c r="E1" s="290"/>
      <c r="F1" s="290"/>
      <c r="G1" s="290"/>
      <c r="H1" s="290"/>
      <c r="I1" s="290"/>
      <c r="AD1" s="290" t="s">
        <v>1139</v>
      </c>
      <c r="AE1" s="290">
        <v>504.42418827868198</v>
      </c>
    </row>
    <row r="2" spans="1:31" ht="15.75" x14ac:dyDescent="0.2">
      <c r="A2" s="547" t="s">
        <v>1124</v>
      </c>
      <c r="B2" s="547"/>
      <c r="C2" s="547"/>
      <c r="D2" s="547"/>
      <c r="E2" s="547"/>
      <c r="F2" s="290"/>
      <c r="G2" s="290"/>
      <c r="H2" s="290"/>
      <c r="I2" s="290"/>
      <c r="J2" s="290"/>
      <c r="K2" s="273"/>
      <c r="L2" s="288"/>
      <c r="M2" s="283"/>
      <c r="N2" s="283"/>
    </row>
    <row r="3" spans="1:31" x14ac:dyDescent="0.2">
      <c r="A3" s="279" t="s">
        <v>1137</v>
      </c>
      <c r="B3" s="279"/>
      <c r="D3" s="278"/>
      <c r="E3" s="290"/>
      <c r="F3" s="290"/>
      <c r="G3" s="290"/>
      <c r="H3" s="290"/>
      <c r="K3" s="273"/>
      <c r="L3" s="288"/>
      <c r="M3" s="283"/>
      <c r="N3" s="283"/>
    </row>
    <row r="4" spans="1:31" ht="36" customHeight="1" x14ac:dyDescent="0.2">
      <c r="A4" s="563" t="s">
        <v>117</v>
      </c>
      <c r="B4" s="568" t="s">
        <v>126</v>
      </c>
      <c r="C4" s="568" t="s">
        <v>118</v>
      </c>
      <c r="D4" s="568" t="s">
        <v>190</v>
      </c>
      <c r="E4" s="327" t="s">
        <v>121</v>
      </c>
      <c r="F4" s="357"/>
      <c r="G4" s="357"/>
      <c r="H4" s="357"/>
      <c r="I4" s="569" t="s">
        <v>127</v>
      </c>
      <c r="J4" s="561" t="s">
        <v>260</v>
      </c>
      <c r="K4" s="554" t="s">
        <v>91</v>
      </c>
      <c r="L4" s="566" t="s">
        <v>200</v>
      </c>
      <c r="M4" s="561" t="s">
        <v>0</v>
      </c>
      <c r="N4" s="561"/>
      <c r="O4" s="562" t="s">
        <v>1</v>
      </c>
      <c r="P4" s="562"/>
      <c r="Q4" s="562"/>
      <c r="R4" s="562"/>
      <c r="S4" s="554" t="s">
        <v>92</v>
      </c>
      <c r="T4" s="554" t="s">
        <v>2</v>
      </c>
      <c r="U4" s="554" t="s">
        <v>2</v>
      </c>
      <c r="V4" s="554" t="s">
        <v>2</v>
      </c>
      <c r="W4" s="554" t="s">
        <v>2</v>
      </c>
      <c r="X4" s="554" t="s">
        <v>2</v>
      </c>
      <c r="Y4" s="554" t="s">
        <v>2</v>
      </c>
      <c r="Z4" s="554" t="s">
        <v>2</v>
      </c>
      <c r="AA4" s="554" t="s">
        <v>2</v>
      </c>
      <c r="AB4" s="554" t="s">
        <v>2</v>
      </c>
      <c r="AC4" s="554" t="s">
        <v>2</v>
      </c>
      <c r="AD4" s="564" t="s">
        <v>2</v>
      </c>
    </row>
    <row r="5" spans="1:31" ht="48" x14ac:dyDescent="0.2">
      <c r="A5" s="563"/>
      <c r="B5" s="568"/>
      <c r="C5" s="568"/>
      <c r="D5" s="568"/>
      <c r="E5" s="327" t="s">
        <v>263</v>
      </c>
      <c r="F5" s="357"/>
      <c r="G5" s="357"/>
      <c r="H5" s="357"/>
      <c r="I5" s="569"/>
      <c r="J5" s="561"/>
      <c r="K5" s="554"/>
      <c r="L5" s="567"/>
      <c r="M5" s="353" t="s">
        <v>3</v>
      </c>
      <c r="N5" s="353" t="s">
        <v>4</v>
      </c>
      <c r="O5" s="354" t="s">
        <v>5</v>
      </c>
      <c r="P5" s="354" t="s">
        <v>119</v>
      </c>
      <c r="Q5" s="354" t="s">
        <v>120</v>
      </c>
      <c r="R5" s="354" t="s">
        <v>6</v>
      </c>
      <c r="S5" s="554"/>
      <c r="T5" s="554"/>
      <c r="U5" s="554"/>
      <c r="V5" s="554"/>
      <c r="W5" s="554"/>
      <c r="X5" s="554"/>
      <c r="Y5" s="554"/>
      <c r="Z5" s="554"/>
      <c r="AA5" s="554"/>
      <c r="AB5" s="554"/>
      <c r="AC5" s="554"/>
      <c r="AD5" s="565"/>
    </row>
    <row r="6" spans="1:31" x14ac:dyDescent="0.2">
      <c r="A6" s="357"/>
      <c r="B6" s="357"/>
      <c r="C6" s="357"/>
      <c r="D6" s="357"/>
      <c r="E6" s="327" t="s">
        <v>259</v>
      </c>
      <c r="F6" s="357"/>
      <c r="G6" s="357"/>
      <c r="H6" s="357"/>
      <c r="I6" s="357"/>
      <c r="J6" s="319">
        <f>+J7+J25+J31+J35+J39+J43</f>
        <v>30883194.629158404</v>
      </c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315"/>
      <c r="AD6" s="357"/>
    </row>
    <row r="7" spans="1:31" x14ac:dyDescent="0.2">
      <c r="A7" s="342"/>
      <c r="B7" s="335"/>
      <c r="C7" s="335"/>
      <c r="D7" s="335"/>
      <c r="E7" s="330" t="s">
        <v>261</v>
      </c>
      <c r="F7" s="340" t="s">
        <v>229</v>
      </c>
      <c r="G7" s="340" t="s">
        <v>230</v>
      </c>
      <c r="H7" s="340" t="s">
        <v>231</v>
      </c>
      <c r="I7" s="323"/>
      <c r="J7" s="483">
        <f>SUM(J8:J24)</f>
        <v>23022096.270205542</v>
      </c>
      <c r="K7" s="335"/>
      <c r="L7" s="342"/>
      <c r="M7" s="322"/>
      <c r="N7" s="322"/>
      <c r="O7" s="331"/>
      <c r="P7" s="331"/>
      <c r="Q7" s="331"/>
      <c r="R7" s="331"/>
      <c r="S7" s="324"/>
      <c r="T7" s="335"/>
      <c r="U7" s="315"/>
      <c r="AD7" s="335"/>
    </row>
    <row r="8" spans="1:31" s="496" customFormat="1" ht="12" x14ac:dyDescent="0.25">
      <c r="A8" s="497">
        <v>2</v>
      </c>
      <c r="B8" s="497" t="s">
        <v>936</v>
      </c>
      <c r="C8" s="497">
        <v>2</v>
      </c>
      <c r="D8" s="497">
        <v>1</v>
      </c>
      <c r="E8" s="498" t="s">
        <v>275</v>
      </c>
      <c r="F8" s="497" t="s">
        <v>210</v>
      </c>
      <c r="G8" s="497" t="s">
        <v>211</v>
      </c>
      <c r="H8" s="497" t="s">
        <v>130</v>
      </c>
      <c r="I8" s="336">
        <f t="shared" ref="I8:I46" si="0">J8</f>
        <v>1591288.2362242723</v>
      </c>
      <c r="J8" s="336">
        <f t="shared" ref="J8:J24" si="1">+U8/$AE$1</f>
        <v>1591288.2362242723</v>
      </c>
      <c r="K8" s="328" t="s">
        <v>129</v>
      </c>
      <c r="L8" s="328" t="s">
        <v>132</v>
      </c>
      <c r="M8" s="321">
        <v>1</v>
      </c>
      <c r="N8" s="321">
        <v>0</v>
      </c>
      <c r="O8" s="510">
        <v>41548</v>
      </c>
      <c r="P8" s="510">
        <v>41579</v>
      </c>
      <c r="Q8" s="510">
        <v>41609</v>
      </c>
      <c r="R8" s="510">
        <v>41913</v>
      </c>
      <c r="S8" s="309" t="s">
        <v>128</v>
      </c>
      <c r="U8" s="496">
        <v>802684276.87484407</v>
      </c>
      <c r="V8" s="496">
        <v>802684276.87484407</v>
      </c>
    </row>
    <row r="9" spans="1:31" s="293" customFormat="1" ht="15" x14ac:dyDescent="0.2">
      <c r="A9" s="497">
        <v>2</v>
      </c>
      <c r="B9" s="497" t="s">
        <v>937</v>
      </c>
      <c r="C9" s="497">
        <v>2</v>
      </c>
      <c r="D9" s="497">
        <v>2</v>
      </c>
      <c r="E9" s="338" t="s">
        <v>927</v>
      </c>
      <c r="F9" s="313" t="s">
        <v>210</v>
      </c>
      <c r="G9" s="313" t="s">
        <v>212</v>
      </c>
      <c r="H9" s="311" t="s">
        <v>130</v>
      </c>
      <c r="I9" s="336">
        <f t="shared" si="0"/>
        <v>877623.44467791892</v>
      </c>
      <c r="J9" s="336">
        <f t="shared" si="1"/>
        <v>877623.44467791892</v>
      </c>
      <c r="K9" s="328" t="s">
        <v>129</v>
      </c>
      <c r="L9" s="328" t="s">
        <v>132</v>
      </c>
      <c r="M9" s="321">
        <v>1</v>
      </c>
      <c r="N9" s="321">
        <v>0</v>
      </c>
      <c r="O9" s="510">
        <v>41548</v>
      </c>
      <c r="P9" s="510">
        <v>41579</v>
      </c>
      <c r="Q9" s="510">
        <v>41609</v>
      </c>
      <c r="R9" s="510">
        <v>41913</v>
      </c>
      <c r="S9" s="309" t="s">
        <v>128</v>
      </c>
      <c r="T9" s="341"/>
      <c r="U9" s="392">
        <v>442694493.69600004</v>
      </c>
      <c r="V9" s="392">
        <v>442694493.69600004</v>
      </c>
    </row>
    <row r="10" spans="1:31" s="293" customFormat="1" ht="15" x14ac:dyDescent="0.2">
      <c r="A10" s="497">
        <v>2</v>
      </c>
      <c r="B10" s="497" t="s">
        <v>938</v>
      </c>
      <c r="C10" s="497">
        <v>2</v>
      </c>
      <c r="D10" s="497">
        <v>3</v>
      </c>
      <c r="E10" s="338" t="s">
        <v>276</v>
      </c>
      <c r="F10" s="313" t="s">
        <v>221</v>
      </c>
      <c r="G10" s="313" t="s">
        <v>221</v>
      </c>
      <c r="H10" s="311" t="s">
        <v>130</v>
      </c>
      <c r="I10" s="336">
        <f t="shared" si="0"/>
        <v>1220004.0087324418</v>
      </c>
      <c r="J10" s="336">
        <f t="shared" si="1"/>
        <v>1220004.0087324418</v>
      </c>
      <c r="K10" s="328" t="s">
        <v>129</v>
      </c>
      <c r="L10" s="328" t="s">
        <v>132</v>
      </c>
      <c r="M10" s="321">
        <v>1</v>
      </c>
      <c r="N10" s="321">
        <v>0</v>
      </c>
      <c r="O10" s="510">
        <v>41548</v>
      </c>
      <c r="P10" s="510">
        <v>41579</v>
      </c>
      <c r="Q10" s="510">
        <v>41609</v>
      </c>
      <c r="R10" s="510">
        <v>41913</v>
      </c>
      <c r="S10" s="309" t="s">
        <v>128</v>
      </c>
      <c r="T10" s="341"/>
      <c r="U10" s="392">
        <v>615399531.80159998</v>
      </c>
      <c r="V10" s="392">
        <v>615399531.80159998</v>
      </c>
    </row>
    <row r="11" spans="1:31" s="293" customFormat="1" ht="15" x14ac:dyDescent="0.2">
      <c r="A11" s="497">
        <v>2</v>
      </c>
      <c r="B11" s="497" t="s">
        <v>939</v>
      </c>
      <c r="C11" s="497">
        <v>2</v>
      </c>
      <c r="D11" s="497">
        <v>4</v>
      </c>
      <c r="E11" s="338" t="s">
        <v>277</v>
      </c>
      <c r="F11" s="313" t="s">
        <v>213</v>
      </c>
      <c r="G11" s="313" t="s">
        <v>214</v>
      </c>
      <c r="H11" s="311" t="s">
        <v>130</v>
      </c>
      <c r="I11" s="336">
        <f t="shared" si="0"/>
        <v>877623.44467791892</v>
      </c>
      <c r="J11" s="336">
        <f t="shared" si="1"/>
        <v>877623.44467791892</v>
      </c>
      <c r="K11" s="328" t="s">
        <v>129</v>
      </c>
      <c r="L11" s="328" t="s">
        <v>132</v>
      </c>
      <c r="M11" s="321">
        <v>1</v>
      </c>
      <c r="N11" s="321">
        <v>0</v>
      </c>
      <c r="O11" s="510">
        <v>41548</v>
      </c>
      <c r="P11" s="510">
        <v>41579</v>
      </c>
      <c r="Q11" s="510">
        <v>41609</v>
      </c>
      <c r="R11" s="510">
        <v>41913</v>
      </c>
      <c r="S11" s="309" t="s">
        <v>128</v>
      </c>
      <c r="T11" s="341"/>
      <c r="U11" s="402">
        <v>442694493.69600004</v>
      </c>
      <c r="V11" s="402">
        <v>442694493.69600004</v>
      </c>
    </row>
    <row r="12" spans="1:31" s="293" customFormat="1" ht="15" x14ac:dyDescent="0.2">
      <c r="A12" s="497">
        <v>2</v>
      </c>
      <c r="B12" s="497" t="s">
        <v>940</v>
      </c>
      <c r="C12" s="497">
        <v>2</v>
      </c>
      <c r="D12" s="497">
        <v>5</v>
      </c>
      <c r="E12" s="338" t="s">
        <v>278</v>
      </c>
      <c r="F12" s="313" t="s">
        <v>210</v>
      </c>
      <c r="G12" s="313" t="s">
        <v>223</v>
      </c>
      <c r="H12" s="311" t="s">
        <v>130</v>
      </c>
      <c r="I12" s="336">
        <f t="shared" si="0"/>
        <v>877623.44467791892</v>
      </c>
      <c r="J12" s="336">
        <f t="shared" si="1"/>
        <v>877623.44467791892</v>
      </c>
      <c r="K12" s="328" t="s">
        <v>129</v>
      </c>
      <c r="L12" s="328" t="s">
        <v>132</v>
      </c>
      <c r="M12" s="321">
        <v>1</v>
      </c>
      <c r="N12" s="321">
        <v>0</v>
      </c>
      <c r="O12" s="510">
        <v>41548</v>
      </c>
      <c r="P12" s="510">
        <v>41579</v>
      </c>
      <c r="Q12" s="510">
        <v>41609</v>
      </c>
      <c r="R12" s="510">
        <v>41913</v>
      </c>
      <c r="S12" s="309" t="s">
        <v>128</v>
      </c>
      <c r="T12" s="341"/>
      <c r="U12" s="402">
        <v>442694493.69600004</v>
      </c>
      <c r="V12" s="402">
        <v>442694493.69600004</v>
      </c>
    </row>
    <row r="13" spans="1:31" s="293" customFormat="1" ht="15" x14ac:dyDescent="0.2">
      <c r="A13" s="497">
        <v>2</v>
      </c>
      <c r="B13" s="497" t="s">
        <v>941</v>
      </c>
      <c r="C13" s="497">
        <v>2</v>
      </c>
      <c r="D13" s="497">
        <v>6</v>
      </c>
      <c r="E13" s="338" t="s">
        <v>279</v>
      </c>
      <c r="F13" s="313" t="s">
        <v>224</v>
      </c>
      <c r="G13" s="313" t="s">
        <v>209</v>
      </c>
      <c r="H13" s="311" t="s">
        <v>130</v>
      </c>
      <c r="I13" s="336">
        <f t="shared" si="0"/>
        <v>1220004.0087324418</v>
      </c>
      <c r="J13" s="336">
        <f t="shared" si="1"/>
        <v>1220004.0087324418</v>
      </c>
      <c r="K13" s="328" t="s">
        <v>129</v>
      </c>
      <c r="L13" s="328" t="s">
        <v>132</v>
      </c>
      <c r="M13" s="321">
        <v>1</v>
      </c>
      <c r="N13" s="321">
        <v>0</v>
      </c>
      <c r="O13" s="510">
        <v>41548</v>
      </c>
      <c r="P13" s="510">
        <v>41579</v>
      </c>
      <c r="Q13" s="510">
        <v>41609</v>
      </c>
      <c r="R13" s="510">
        <v>41913</v>
      </c>
      <c r="S13" s="309" t="s">
        <v>128</v>
      </c>
      <c r="T13" s="341"/>
      <c r="U13" s="402">
        <v>615399531.80159998</v>
      </c>
      <c r="V13" s="402">
        <v>615399531.80159998</v>
      </c>
    </row>
    <row r="14" spans="1:31" s="293" customFormat="1" ht="15" x14ac:dyDescent="0.2">
      <c r="A14" s="497">
        <v>3</v>
      </c>
      <c r="B14" s="497" t="s">
        <v>942</v>
      </c>
      <c r="C14" s="497">
        <v>2</v>
      </c>
      <c r="D14" s="497">
        <v>7</v>
      </c>
      <c r="E14" s="332" t="s">
        <v>280</v>
      </c>
      <c r="F14" s="313" t="s">
        <v>208</v>
      </c>
      <c r="G14" s="313" t="s">
        <v>209</v>
      </c>
      <c r="H14" s="311" t="s">
        <v>130</v>
      </c>
      <c r="I14" s="336">
        <f t="shared" si="0"/>
        <v>1441043.9908414683</v>
      </c>
      <c r="J14" s="336">
        <f t="shared" si="1"/>
        <v>1441043.9908414683</v>
      </c>
      <c r="K14" s="328" t="s">
        <v>129</v>
      </c>
      <c r="L14" s="328" t="s">
        <v>132</v>
      </c>
      <c r="M14" s="321">
        <v>1</v>
      </c>
      <c r="N14" s="321">
        <v>0</v>
      </c>
      <c r="O14" s="510">
        <v>41913</v>
      </c>
      <c r="P14" s="510">
        <v>41944</v>
      </c>
      <c r="Q14" s="510">
        <v>41974</v>
      </c>
      <c r="R14" s="510">
        <v>42278</v>
      </c>
      <c r="S14" s="309" t="s">
        <v>128</v>
      </c>
      <c r="T14" s="341"/>
      <c r="U14" s="402">
        <v>726897445.35408008</v>
      </c>
      <c r="V14" s="402">
        <v>726897445.35408008</v>
      </c>
    </row>
    <row r="15" spans="1:31" s="293" customFormat="1" ht="15" x14ac:dyDescent="0.2">
      <c r="A15" s="497">
        <v>3</v>
      </c>
      <c r="B15" s="497" t="s">
        <v>943</v>
      </c>
      <c r="C15" s="497">
        <v>2</v>
      </c>
      <c r="D15" s="497">
        <v>8</v>
      </c>
      <c r="E15" s="332" t="s">
        <v>281</v>
      </c>
      <c r="F15" s="313" t="s">
        <v>213</v>
      </c>
      <c r="G15" s="313" t="s">
        <v>215</v>
      </c>
      <c r="H15" s="311" t="s">
        <v>130</v>
      </c>
      <c r="I15" s="336">
        <f t="shared" si="0"/>
        <v>750678.03151168406</v>
      </c>
      <c r="J15" s="336">
        <f t="shared" si="1"/>
        <v>750678.03151168406</v>
      </c>
      <c r="K15" s="328" t="s">
        <v>129</v>
      </c>
      <c r="L15" s="328" t="s">
        <v>132</v>
      </c>
      <c r="M15" s="321">
        <v>1</v>
      </c>
      <c r="N15" s="321">
        <v>0</v>
      </c>
      <c r="O15" s="510">
        <v>41913</v>
      </c>
      <c r="P15" s="510">
        <v>41944</v>
      </c>
      <c r="Q15" s="510">
        <v>41974</v>
      </c>
      <c r="R15" s="510">
        <v>42278</v>
      </c>
      <c r="S15" s="309" t="s">
        <v>128</v>
      </c>
      <c r="T15" s="341"/>
      <c r="U15" s="402">
        <v>378660156.70392007</v>
      </c>
      <c r="V15" s="402">
        <v>378660156.70392007</v>
      </c>
    </row>
    <row r="16" spans="1:31" s="293" customFormat="1" ht="15" x14ac:dyDescent="0.2">
      <c r="A16" s="497">
        <v>3</v>
      </c>
      <c r="B16" s="497" t="s">
        <v>944</v>
      </c>
      <c r="C16" s="497">
        <v>2</v>
      </c>
      <c r="D16" s="497">
        <v>9</v>
      </c>
      <c r="E16" s="332" t="s">
        <v>282</v>
      </c>
      <c r="F16" s="313" t="s">
        <v>217</v>
      </c>
      <c r="G16" s="313" t="s">
        <v>217</v>
      </c>
      <c r="H16" s="311" t="s">
        <v>130</v>
      </c>
      <c r="I16" s="336">
        <f t="shared" si="0"/>
        <v>4004400.8224964147</v>
      </c>
      <c r="J16" s="336">
        <f t="shared" si="1"/>
        <v>4004400.8224964147</v>
      </c>
      <c r="K16" s="328" t="s">
        <v>129</v>
      </c>
      <c r="L16" s="328" t="s">
        <v>132</v>
      </c>
      <c r="M16" s="321">
        <v>1</v>
      </c>
      <c r="N16" s="321">
        <v>0</v>
      </c>
      <c r="O16" s="510">
        <v>41852</v>
      </c>
      <c r="P16" s="510">
        <v>41944</v>
      </c>
      <c r="Q16" s="510">
        <v>41974</v>
      </c>
      <c r="R16" s="510">
        <v>42278</v>
      </c>
      <c r="S16" s="309" t="s">
        <v>128</v>
      </c>
      <c r="T16" s="341"/>
      <c r="U16" s="402">
        <v>2019916634.4302404</v>
      </c>
      <c r="V16" s="402">
        <v>2019916634.4302404</v>
      </c>
    </row>
    <row r="17" spans="1:22" s="293" customFormat="1" ht="15" x14ac:dyDescent="0.2">
      <c r="A17" s="497">
        <v>3</v>
      </c>
      <c r="B17" s="497" t="s">
        <v>945</v>
      </c>
      <c r="C17" s="497">
        <v>2</v>
      </c>
      <c r="D17" s="497">
        <v>10</v>
      </c>
      <c r="E17" s="332" t="s">
        <v>283</v>
      </c>
      <c r="F17" s="313" t="s">
        <v>217</v>
      </c>
      <c r="G17" s="313" t="s">
        <v>220</v>
      </c>
      <c r="H17" s="311" t="s">
        <v>130</v>
      </c>
      <c r="I17" s="336">
        <f t="shared" si="0"/>
        <v>2110568.2130419621</v>
      </c>
      <c r="J17" s="336">
        <f t="shared" si="1"/>
        <v>2110568.2130419621</v>
      </c>
      <c r="K17" s="328" t="s">
        <v>129</v>
      </c>
      <c r="L17" s="328" t="s">
        <v>132</v>
      </c>
      <c r="M17" s="321">
        <v>1</v>
      </c>
      <c r="N17" s="321">
        <v>0</v>
      </c>
      <c r="O17" s="510">
        <v>41913</v>
      </c>
      <c r="P17" s="510">
        <v>41944</v>
      </c>
      <c r="Q17" s="510">
        <v>41974</v>
      </c>
      <c r="R17" s="510">
        <v>42278</v>
      </c>
      <c r="S17" s="309" t="s">
        <v>128</v>
      </c>
      <c r="T17" s="341"/>
      <c r="U17" s="392">
        <v>1064621657.67048</v>
      </c>
      <c r="V17" s="392">
        <v>1064621657.67048</v>
      </c>
    </row>
    <row r="18" spans="1:22" s="293" customFormat="1" ht="15" x14ac:dyDescent="0.2">
      <c r="A18" s="497">
        <v>3</v>
      </c>
      <c r="B18" s="497" t="s">
        <v>946</v>
      </c>
      <c r="C18" s="497">
        <v>2</v>
      </c>
      <c r="D18" s="497">
        <v>11</v>
      </c>
      <c r="E18" s="332" t="s">
        <v>284</v>
      </c>
      <c r="F18" s="313" t="s">
        <v>225</v>
      </c>
      <c r="G18" s="313" t="s">
        <v>226</v>
      </c>
      <c r="H18" s="311" t="s">
        <v>130</v>
      </c>
      <c r="I18" s="336">
        <f t="shared" si="0"/>
        <v>2110568.2130419621</v>
      </c>
      <c r="J18" s="336">
        <f t="shared" si="1"/>
        <v>2110568.2130419621</v>
      </c>
      <c r="K18" s="328" t="s">
        <v>129</v>
      </c>
      <c r="L18" s="328" t="s">
        <v>132</v>
      </c>
      <c r="M18" s="321">
        <v>1</v>
      </c>
      <c r="N18" s="321">
        <v>0</v>
      </c>
      <c r="O18" s="510">
        <v>41913</v>
      </c>
      <c r="P18" s="510">
        <v>41944</v>
      </c>
      <c r="Q18" s="510">
        <v>41974</v>
      </c>
      <c r="R18" s="510">
        <v>42278</v>
      </c>
      <c r="S18" s="309" t="s">
        <v>128</v>
      </c>
      <c r="T18" s="341"/>
      <c r="U18" s="392">
        <v>1064621657.67048</v>
      </c>
      <c r="V18" s="392">
        <v>1064621657.67048</v>
      </c>
    </row>
    <row r="19" spans="1:22" s="293" customFormat="1" ht="15" x14ac:dyDescent="0.2">
      <c r="A19" s="497">
        <v>3</v>
      </c>
      <c r="B19" s="497" t="s">
        <v>947</v>
      </c>
      <c r="C19" s="497">
        <v>2</v>
      </c>
      <c r="D19" s="497">
        <v>12</v>
      </c>
      <c r="E19" s="338" t="s">
        <v>285</v>
      </c>
      <c r="F19" s="313" t="s">
        <v>217</v>
      </c>
      <c r="G19" s="313" t="s">
        <v>228</v>
      </c>
      <c r="H19" s="311" t="s">
        <v>130</v>
      </c>
      <c r="I19" s="336">
        <f t="shared" si="0"/>
        <v>1441043.9908414683</v>
      </c>
      <c r="J19" s="336">
        <f t="shared" si="1"/>
        <v>1441043.9908414683</v>
      </c>
      <c r="K19" s="328" t="s">
        <v>129</v>
      </c>
      <c r="L19" s="328" t="s">
        <v>132</v>
      </c>
      <c r="M19" s="321">
        <v>1</v>
      </c>
      <c r="N19" s="321">
        <v>0</v>
      </c>
      <c r="O19" s="510">
        <v>41913</v>
      </c>
      <c r="P19" s="510">
        <v>41944</v>
      </c>
      <c r="Q19" s="510">
        <v>41974</v>
      </c>
      <c r="R19" s="510">
        <v>42278</v>
      </c>
      <c r="S19" s="309" t="s">
        <v>128</v>
      </c>
      <c r="T19" s="341"/>
      <c r="U19" s="402">
        <v>726897445.35408008</v>
      </c>
      <c r="V19" s="402">
        <v>726897445.35408008</v>
      </c>
    </row>
    <row r="20" spans="1:22" s="293" customFormat="1" ht="15" x14ac:dyDescent="0.2">
      <c r="A20" s="497">
        <v>4</v>
      </c>
      <c r="B20" s="497" t="s">
        <v>948</v>
      </c>
      <c r="C20" s="497">
        <v>2</v>
      </c>
      <c r="D20" s="497">
        <v>13</v>
      </c>
      <c r="E20" s="338" t="s">
        <v>286</v>
      </c>
      <c r="F20" s="313" t="s">
        <v>213</v>
      </c>
      <c r="G20" s="313" t="s">
        <v>214</v>
      </c>
      <c r="H20" s="311" t="s">
        <v>130</v>
      </c>
      <c r="I20" s="336">
        <f t="shared" si="0"/>
        <v>967579.84775740572</v>
      </c>
      <c r="J20" s="336">
        <f t="shared" si="1"/>
        <v>967579.84775740572</v>
      </c>
      <c r="K20" s="328" t="s">
        <v>129</v>
      </c>
      <c r="L20" s="328" t="s">
        <v>132</v>
      </c>
      <c r="M20" s="321">
        <v>1</v>
      </c>
      <c r="N20" s="321">
        <v>0</v>
      </c>
      <c r="O20" s="510">
        <v>42278</v>
      </c>
      <c r="P20" s="510">
        <v>42309</v>
      </c>
      <c r="Q20" s="510">
        <v>42339</v>
      </c>
      <c r="R20" s="510">
        <v>42644</v>
      </c>
      <c r="S20" s="309" t="s">
        <v>128</v>
      </c>
      <c r="T20" s="341"/>
      <c r="U20" s="392">
        <v>488070679.29984009</v>
      </c>
      <c r="V20" s="392">
        <v>488070679.29984009</v>
      </c>
    </row>
    <row r="21" spans="1:22" s="293" customFormat="1" ht="15" x14ac:dyDescent="0.2">
      <c r="A21" s="497">
        <v>4</v>
      </c>
      <c r="B21" s="497" t="s">
        <v>949</v>
      </c>
      <c r="C21" s="497">
        <v>2</v>
      </c>
      <c r="D21" s="497">
        <v>14</v>
      </c>
      <c r="E21" s="338" t="s">
        <v>287</v>
      </c>
      <c r="F21" s="313" t="s">
        <v>213</v>
      </c>
      <c r="G21" s="313" t="s">
        <v>216</v>
      </c>
      <c r="H21" s="311" t="s">
        <v>130</v>
      </c>
      <c r="I21" s="336">
        <f t="shared" si="0"/>
        <v>967579.84775740572</v>
      </c>
      <c r="J21" s="336">
        <f t="shared" si="1"/>
        <v>967579.84775740572</v>
      </c>
      <c r="K21" s="328" t="s">
        <v>129</v>
      </c>
      <c r="L21" s="328" t="s">
        <v>132</v>
      </c>
      <c r="M21" s="321">
        <v>1</v>
      </c>
      <c r="N21" s="321">
        <v>0</v>
      </c>
      <c r="O21" s="510">
        <v>42278</v>
      </c>
      <c r="P21" s="510">
        <v>42309</v>
      </c>
      <c r="Q21" s="510">
        <v>42339</v>
      </c>
      <c r="R21" s="510">
        <v>42644</v>
      </c>
      <c r="S21" s="309" t="s">
        <v>128</v>
      </c>
      <c r="T21" s="341"/>
      <c r="U21" s="392">
        <v>488070679.29984009</v>
      </c>
      <c r="V21" s="392">
        <v>488070679.29984009</v>
      </c>
    </row>
    <row r="22" spans="1:22" s="293" customFormat="1" ht="15" x14ac:dyDescent="0.2">
      <c r="A22" s="497">
        <v>4</v>
      </c>
      <c r="B22" s="497" t="s">
        <v>950</v>
      </c>
      <c r="C22" s="497">
        <v>2</v>
      </c>
      <c r="D22" s="497">
        <v>15</v>
      </c>
      <c r="E22" s="332" t="s">
        <v>288</v>
      </c>
      <c r="F22" s="313" t="s">
        <v>218</v>
      </c>
      <c r="G22" s="313" t="s">
        <v>219</v>
      </c>
      <c r="H22" s="311" t="s">
        <v>130</v>
      </c>
      <c r="I22" s="336">
        <f t="shared" si="0"/>
        <v>788211.93308726826</v>
      </c>
      <c r="J22" s="336">
        <f t="shared" si="1"/>
        <v>788211.93308726826</v>
      </c>
      <c r="K22" s="328" t="s">
        <v>129</v>
      </c>
      <c r="L22" s="328" t="s">
        <v>132</v>
      </c>
      <c r="M22" s="321">
        <v>1</v>
      </c>
      <c r="N22" s="321">
        <v>0</v>
      </c>
      <c r="O22" s="510">
        <v>42278</v>
      </c>
      <c r="P22" s="510">
        <v>42309</v>
      </c>
      <c r="Q22" s="510">
        <v>42339</v>
      </c>
      <c r="R22" s="510">
        <v>42644</v>
      </c>
      <c r="S22" s="309" t="s">
        <v>128</v>
      </c>
      <c r="T22" s="341"/>
      <c r="U22" s="402">
        <v>397593164.53911608</v>
      </c>
      <c r="V22" s="402">
        <v>397593164.53911608</v>
      </c>
    </row>
    <row r="23" spans="1:22" s="293" customFormat="1" ht="15" x14ac:dyDescent="0.2">
      <c r="A23" s="497">
        <v>4</v>
      </c>
      <c r="B23" s="497" t="s">
        <v>951</v>
      </c>
      <c r="C23" s="497">
        <v>2</v>
      </c>
      <c r="D23" s="497">
        <v>16</v>
      </c>
      <c r="E23" s="338" t="s">
        <v>289</v>
      </c>
      <c r="F23" s="313" t="s">
        <v>217</v>
      </c>
      <c r="G23" s="313" t="s">
        <v>222</v>
      </c>
      <c r="H23" s="311" t="s">
        <v>130</v>
      </c>
      <c r="I23" s="336">
        <f t="shared" si="0"/>
        <v>788211.93308726826</v>
      </c>
      <c r="J23" s="336">
        <f t="shared" si="1"/>
        <v>788211.93308726826</v>
      </c>
      <c r="K23" s="328" t="s">
        <v>129</v>
      </c>
      <c r="L23" s="328" t="s">
        <v>132</v>
      </c>
      <c r="M23" s="321">
        <v>1</v>
      </c>
      <c r="N23" s="321">
        <v>0</v>
      </c>
      <c r="O23" s="510">
        <v>42278</v>
      </c>
      <c r="P23" s="510">
        <v>42309</v>
      </c>
      <c r="Q23" s="510">
        <v>42339</v>
      </c>
      <c r="R23" s="510">
        <v>42644</v>
      </c>
      <c r="S23" s="309" t="s">
        <v>128</v>
      </c>
      <c r="T23" s="341"/>
      <c r="U23" s="402">
        <v>397593164.53911608</v>
      </c>
      <c r="V23" s="402">
        <v>397593164.53911608</v>
      </c>
    </row>
    <row r="24" spans="1:22" s="293" customFormat="1" ht="15" x14ac:dyDescent="0.2">
      <c r="A24" s="497">
        <v>4</v>
      </c>
      <c r="B24" s="497" t="s">
        <v>952</v>
      </c>
      <c r="C24" s="497">
        <v>2</v>
      </c>
      <c r="D24" s="497">
        <v>17</v>
      </c>
      <c r="E24" s="332" t="s">
        <v>290</v>
      </c>
      <c r="F24" s="313" t="s">
        <v>225</v>
      </c>
      <c r="G24" s="313" t="s">
        <v>227</v>
      </c>
      <c r="H24" s="311" t="s">
        <v>130</v>
      </c>
      <c r="I24" s="336">
        <f t="shared" si="0"/>
        <v>988042.85901832755</v>
      </c>
      <c r="J24" s="336">
        <f t="shared" si="1"/>
        <v>988042.85901832755</v>
      </c>
      <c r="K24" s="328" t="s">
        <v>129</v>
      </c>
      <c r="L24" s="328" t="s">
        <v>132</v>
      </c>
      <c r="M24" s="321">
        <v>1</v>
      </c>
      <c r="N24" s="321">
        <v>0</v>
      </c>
      <c r="O24" s="510">
        <v>42278</v>
      </c>
      <c r="P24" s="510">
        <v>42309</v>
      </c>
      <c r="Q24" s="510">
        <v>42339</v>
      </c>
      <c r="R24" s="510">
        <v>42644</v>
      </c>
      <c r="S24" s="309" t="s">
        <v>128</v>
      </c>
      <c r="T24" s="341"/>
      <c r="U24" s="402">
        <v>498392717.14486808</v>
      </c>
      <c r="V24" s="402">
        <v>498392717.14486808</v>
      </c>
    </row>
    <row r="25" spans="1:22" s="293" customFormat="1" x14ac:dyDescent="0.2">
      <c r="A25" s="342"/>
      <c r="B25" s="342"/>
      <c r="C25" s="342"/>
      <c r="D25" s="342"/>
      <c r="E25" s="330" t="s">
        <v>262</v>
      </c>
      <c r="F25" s="340" t="s">
        <v>229</v>
      </c>
      <c r="G25" s="340" t="s">
        <v>230</v>
      </c>
      <c r="H25" s="340" t="s">
        <v>231</v>
      </c>
      <c r="I25" s="323"/>
      <c r="J25" s="483">
        <f>SUM(J26:J30)</f>
        <v>2454933.8211272578</v>
      </c>
      <c r="K25" s="482"/>
      <c r="L25" s="342"/>
      <c r="M25" s="322"/>
      <c r="N25" s="322"/>
      <c r="O25" s="331"/>
      <c r="P25" s="331"/>
      <c r="Q25" s="331"/>
      <c r="R25" s="331"/>
      <c r="S25" s="324"/>
      <c r="T25" s="335"/>
      <c r="U25" s="320"/>
    </row>
    <row r="26" spans="1:22" s="293" customFormat="1" ht="15" x14ac:dyDescent="0.2">
      <c r="A26" s="497" t="s">
        <v>1113</v>
      </c>
      <c r="B26" s="497" t="s">
        <v>952</v>
      </c>
      <c r="C26" s="497">
        <v>1</v>
      </c>
      <c r="D26" s="497"/>
      <c r="E26" s="338" t="s">
        <v>270</v>
      </c>
      <c r="F26" s="313" t="s">
        <v>217</v>
      </c>
      <c r="G26" s="313" t="s">
        <v>217</v>
      </c>
      <c r="H26" s="311" t="s">
        <v>258</v>
      </c>
      <c r="I26" s="336">
        <f t="shared" si="0"/>
        <v>454617.37428282551</v>
      </c>
      <c r="J26" s="336">
        <f>+U26/$AE$1</f>
        <v>454617.37428282551</v>
      </c>
      <c r="K26" s="328" t="s">
        <v>257</v>
      </c>
      <c r="L26" s="328" t="s">
        <v>132</v>
      </c>
      <c r="M26" s="321">
        <v>1</v>
      </c>
      <c r="N26" s="321">
        <v>0</v>
      </c>
      <c r="O26" s="510">
        <v>41426</v>
      </c>
      <c r="P26" s="510">
        <v>41426</v>
      </c>
      <c r="Q26" s="510">
        <v>41426</v>
      </c>
      <c r="R26" s="510">
        <v>41426</v>
      </c>
      <c r="S26" s="309" t="s">
        <v>128</v>
      </c>
      <c r="T26" s="341"/>
      <c r="U26" s="485">
        <v>229320000</v>
      </c>
      <c r="V26" s="402">
        <v>200000000</v>
      </c>
    </row>
    <row r="27" spans="1:22" s="293" customFormat="1" ht="15" x14ac:dyDescent="0.2">
      <c r="A27" s="497" t="s">
        <v>1113</v>
      </c>
      <c r="B27" s="497" t="s">
        <v>953</v>
      </c>
      <c r="C27" s="497">
        <v>1</v>
      </c>
      <c r="D27" s="497"/>
      <c r="E27" s="338" t="s">
        <v>271</v>
      </c>
      <c r="F27" s="313" t="s">
        <v>217</v>
      </c>
      <c r="G27" s="313" t="s">
        <v>228</v>
      </c>
      <c r="H27" s="311" t="s">
        <v>258</v>
      </c>
      <c r="I27" s="336">
        <f t="shared" si="0"/>
        <v>568271.71785353182</v>
      </c>
      <c r="J27" s="336">
        <f>+U27/$AE$1</f>
        <v>568271.71785353182</v>
      </c>
      <c r="K27" s="328" t="s">
        <v>257</v>
      </c>
      <c r="L27" s="328" t="s">
        <v>132</v>
      </c>
      <c r="M27" s="321">
        <v>1</v>
      </c>
      <c r="N27" s="321">
        <v>0</v>
      </c>
      <c r="O27" s="510">
        <v>41426</v>
      </c>
      <c r="P27" s="510">
        <v>41426</v>
      </c>
      <c r="Q27" s="510">
        <v>41426</v>
      </c>
      <c r="R27" s="510">
        <v>41426</v>
      </c>
      <c r="S27" s="309" t="s">
        <v>128</v>
      </c>
      <c r="T27" s="341"/>
      <c r="U27" s="485">
        <v>286650000</v>
      </c>
      <c r="V27" s="402">
        <v>250000000</v>
      </c>
    </row>
    <row r="28" spans="1:22" s="293" customFormat="1" ht="15" x14ac:dyDescent="0.2">
      <c r="A28" s="497" t="s">
        <v>1114</v>
      </c>
      <c r="B28" s="497" t="s">
        <v>954</v>
      </c>
      <c r="C28" s="497">
        <v>1</v>
      </c>
      <c r="D28" s="497"/>
      <c r="E28" s="338" t="s">
        <v>272</v>
      </c>
      <c r="F28" s="313" t="s">
        <v>213</v>
      </c>
      <c r="G28" s="313" t="s">
        <v>216</v>
      </c>
      <c r="H28" s="311" t="s">
        <v>258</v>
      </c>
      <c r="I28" s="336">
        <f t="shared" si="0"/>
        <v>477348.24299696676</v>
      </c>
      <c r="J28" s="336">
        <f>+U28/$AE$1</f>
        <v>477348.24299696676</v>
      </c>
      <c r="K28" s="328" t="s">
        <v>257</v>
      </c>
      <c r="L28" s="328" t="s">
        <v>132</v>
      </c>
      <c r="M28" s="321">
        <v>1</v>
      </c>
      <c r="N28" s="321">
        <v>0</v>
      </c>
      <c r="O28" s="510">
        <v>41760</v>
      </c>
      <c r="P28" s="510">
        <v>41760</v>
      </c>
      <c r="Q28" s="510">
        <v>41760</v>
      </c>
      <c r="R28" s="510">
        <v>41760</v>
      </c>
      <c r="S28" s="309" t="s">
        <v>128</v>
      </c>
      <c r="T28" s="341"/>
      <c r="U28" s="484">
        <v>240786000</v>
      </c>
      <c r="V28" s="392">
        <v>200000000</v>
      </c>
    </row>
    <row r="29" spans="1:22" s="293" customFormat="1" ht="15" x14ac:dyDescent="0.2">
      <c r="A29" s="497" t="s">
        <v>1114</v>
      </c>
      <c r="B29" s="497" t="s">
        <v>955</v>
      </c>
      <c r="C29" s="497">
        <v>1</v>
      </c>
      <c r="D29" s="497"/>
      <c r="E29" s="338" t="s">
        <v>273</v>
      </c>
      <c r="F29" s="313" t="s">
        <v>218</v>
      </c>
      <c r="G29" s="313" t="s">
        <v>219</v>
      </c>
      <c r="H29" s="311" t="s">
        <v>258</v>
      </c>
      <c r="I29" s="336">
        <f t="shared" si="0"/>
        <v>477348.24299696676</v>
      </c>
      <c r="J29" s="336">
        <f>+U29/$AE$1</f>
        <v>477348.24299696676</v>
      </c>
      <c r="K29" s="328" t="s">
        <v>257</v>
      </c>
      <c r="L29" s="328" t="s">
        <v>132</v>
      </c>
      <c r="M29" s="321">
        <v>1</v>
      </c>
      <c r="N29" s="321">
        <v>0</v>
      </c>
      <c r="O29" s="510">
        <v>41760</v>
      </c>
      <c r="P29" s="510">
        <v>41760</v>
      </c>
      <c r="Q29" s="510">
        <v>41760</v>
      </c>
      <c r="R29" s="510">
        <v>41760</v>
      </c>
      <c r="S29" s="309" t="s">
        <v>128</v>
      </c>
      <c r="T29" s="341"/>
      <c r="U29" s="485">
        <v>240786000</v>
      </c>
      <c r="V29" s="402">
        <v>200000000</v>
      </c>
    </row>
    <row r="30" spans="1:22" s="293" customFormat="1" ht="15" x14ac:dyDescent="0.2">
      <c r="A30" s="497" t="s">
        <v>1114</v>
      </c>
      <c r="B30" s="497" t="s">
        <v>956</v>
      </c>
      <c r="C30" s="497">
        <v>1</v>
      </c>
      <c r="D30" s="497"/>
      <c r="E30" s="338" t="s">
        <v>274</v>
      </c>
      <c r="F30" s="313" t="s">
        <v>217</v>
      </c>
      <c r="G30" s="313" t="s">
        <v>222</v>
      </c>
      <c r="H30" s="311" t="s">
        <v>258</v>
      </c>
      <c r="I30" s="336">
        <f t="shared" si="0"/>
        <v>477348.24299696676</v>
      </c>
      <c r="J30" s="336">
        <f>+U30/$AE$1</f>
        <v>477348.24299696676</v>
      </c>
      <c r="K30" s="328" t="s">
        <v>257</v>
      </c>
      <c r="L30" s="328" t="s">
        <v>132</v>
      </c>
      <c r="M30" s="321">
        <v>1</v>
      </c>
      <c r="N30" s="321">
        <v>0</v>
      </c>
      <c r="O30" s="510">
        <v>41760</v>
      </c>
      <c r="P30" s="510">
        <v>41760</v>
      </c>
      <c r="Q30" s="510">
        <v>41760</v>
      </c>
      <c r="R30" s="510">
        <v>41760</v>
      </c>
      <c r="S30" s="309" t="s">
        <v>128</v>
      </c>
      <c r="T30" s="341"/>
      <c r="U30" s="485">
        <v>240786000</v>
      </c>
      <c r="V30" s="402">
        <v>200000000</v>
      </c>
    </row>
    <row r="31" spans="1:22" s="293" customFormat="1" x14ac:dyDescent="0.2">
      <c r="A31" s="342"/>
      <c r="B31" s="342"/>
      <c r="C31" s="342"/>
      <c r="D31" s="342"/>
      <c r="E31" s="330" t="s">
        <v>265</v>
      </c>
      <c r="F31" s="340" t="s">
        <v>229</v>
      </c>
      <c r="G31" s="340" t="s">
        <v>230</v>
      </c>
      <c r="H31" s="340" t="s">
        <v>231</v>
      </c>
      <c r="I31" s="323"/>
      <c r="J31" s="483">
        <f>SUM(J32:J34)</f>
        <v>1837739.6159437443</v>
      </c>
      <c r="K31" s="335"/>
      <c r="L31" s="342"/>
      <c r="M31" s="322"/>
      <c r="N31" s="322"/>
      <c r="O31" s="331"/>
      <c r="P31" s="331"/>
      <c r="Q31" s="331"/>
      <c r="R31" s="331"/>
      <c r="S31" s="324"/>
      <c r="T31" s="335"/>
      <c r="U31" s="320"/>
    </row>
    <row r="32" spans="1:22" s="293" customFormat="1" x14ac:dyDescent="0.2">
      <c r="A32" s="497">
        <v>2</v>
      </c>
      <c r="B32" s="497" t="s">
        <v>957</v>
      </c>
      <c r="C32" s="497">
        <v>1</v>
      </c>
      <c r="D32" s="497"/>
      <c r="E32" s="338" t="s">
        <v>267</v>
      </c>
      <c r="F32" s="313" t="s">
        <v>266</v>
      </c>
      <c r="G32" s="313" t="s">
        <v>266</v>
      </c>
      <c r="H32" s="311" t="s">
        <v>131</v>
      </c>
      <c r="I32" s="336">
        <f>J32/6</f>
        <v>86978.864534070599</v>
      </c>
      <c r="J32" s="336">
        <f>+U32/$AE$1</f>
        <v>521873.18720442359</v>
      </c>
      <c r="K32" s="328" t="s">
        <v>129</v>
      </c>
      <c r="L32" s="328" t="s">
        <v>132</v>
      </c>
      <c r="M32" s="321">
        <v>1</v>
      </c>
      <c r="N32" s="321">
        <v>0</v>
      </c>
      <c r="O32" s="510">
        <v>41730</v>
      </c>
      <c r="P32" s="510">
        <v>41760</v>
      </c>
      <c r="Q32" s="510">
        <v>41760</v>
      </c>
      <c r="R32" s="510">
        <v>41913</v>
      </c>
      <c r="S32" s="309" t="s">
        <v>128</v>
      </c>
      <c r="T32" s="341"/>
      <c r="U32" s="320">
        <v>263245458.84</v>
      </c>
    </row>
    <row r="33" spans="1:21" s="293" customFormat="1" x14ac:dyDescent="0.2">
      <c r="A33" s="497">
        <v>3</v>
      </c>
      <c r="B33" s="497" t="s">
        <v>958</v>
      </c>
      <c r="C33" s="497">
        <v>1</v>
      </c>
      <c r="D33" s="497"/>
      <c r="E33" s="338" t="s">
        <v>268</v>
      </c>
      <c r="F33" s="313" t="s">
        <v>266</v>
      </c>
      <c r="G33" s="313" t="s">
        <v>266</v>
      </c>
      <c r="H33" s="311" t="s">
        <v>131</v>
      </c>
      <c r="I33" s="336">
        <f>J33/6</f>
        <v>153768.7808971882</v>
      </c>
      <c r="J33" s="336">
        <f>+U33/$AE$1</f>
        <v>922612.68538312928</v>
      </c>
      <c r="K33" s="328" t="s">
        <v>129</v>
      </c>
      <c r="L33" s="328" t="s">
        <v>132</v>
      </c>
      <c r="M33" s="321">
        <v>1</v>
      </c>
      <c r="N33" s="321">
        <v>0</v>
      </c>
      <c r="O33" s="510">
        <v>42095</v>
      </c>
      <c r="P33" s="510">
        <v>42125</v>
      </c>
      <c r="Q33" s="510">
        <v>42125</v>
      </c>
      <c r="R33" s="510">
        <v>42278</v>
      </c>
      <c r="S33" s="309" t="s">
        <v>128</v>
      </c>
      <c r="T33" s="341"/>
      <c r="U33" s="320">
        <v>465388154.92000002</v>
      </c>
    </row>
    <row r="34" spans="1:21" s="293" customFormat="1" x14ac:dyDescent="0.2">
      <c r="A34" s="497">
        <v>4</v>
      </c>
      <c r="B34" s="497" t="s">
        <v>959</v>
      </c>
      <c r="C34" s="497">
        <v>1</v>
      </c>
      <c r="D34" s="497"/>
      <c r="E34" s="338" t="s">
        <v>269</v>
      </c>
      <c r="F34" s="313" t="s">
        <v>266</v>
      </c>
      <c r="G34" s="313" t="s">
        <v>266</v>
      </c>
      <c r="H34" s="311" t="s">
        <v>131</v>
      </c>
      <c r="I34" s="336">
        <f>J34/5</f>
        <v>78650.748671238282</v>
      </c>
      <c r="J34" s="336">
        <f>+U34/$AE$1</f>
        <v>393253.74335619144</v>
      </c>
      <c r="K34" s="328" t="s">
        <v>129</v>
      </c>
      <c r="L34" s="328" t="s">
        <v>132</v>
      </c>
      <c r="M34" s="321">
        <v>1</v>
      </c>
      <c r="N34" s="321">
        <v>0</v>
      </c>
      <c r="O34" s="510">
        <v>42461</v>
      </c>
      <c r="P34" s="510">
        <v>42491</v>
      </c>
      <c r="Q34" s="510">
        <v>42491</v>
      </c>
      <c r="R34" s="510">
        <v>42644</v>
      </c>
      <c r="S34" s="309" t="s">
        <v>128</v>
      </c>
      <c r="T34" s="341"/>
      <c r="U34" s="320">
        <v>198366700.28</v>
      </c>
    </row>
    <row r="35" spans="1:21" s="293" customFormat="1" x14ac:dyDescent="0.2">
      <c r="A35" s="342"/>
      <c r="B35" s="342"/>
      <c r="C35" s="342"/>
      <c r="D35" s="342"/>
      <c r="E35" s="330" t="s">
        <v>291</v>
      </c>
      <c r="F35" s="340" t="s">
        <v>229</v>
      </c>
      <c r="G35" s="340" t="s">
        <v>230</v>
      </c>
      <c r="H35" s="340" t="s">
        <v>231</v>
      </c>
      <c r="I35" s="323"/>
      <c r="J35" s="483">
        <f>SUM(J36:J38)</f>
        <v>575552.40675513877</v>
      </c>
      <c r="K35" s="335"/>
      <c r="L35" s="342"/>
      <c r="M35" s="322"/>
      <c r="N35" s="322"/>
      <c r="O35" s="331"/>
      <c r="P35" s="331"/>
      <c r="Q35" s="331"/>
      <c r="R35" s="331"/>
      <c r="S35" s="324"/>
      <c r="T35" s="335"/>
      <c r="U35" s="320"/>
    </row>
    <row r="36" spans="1:21" s="293" customFormat="1" x14ac:dyDescent="0.2">
      <c r="A36" s="497">
        <v>2</v>
      </c>
      <c r="B36" s="497" t="s">
        <v>960</v>
      </c>
      <c r="C36" s="497">
        <v>4</v>
      </c>
      <c r="D36" s="497"/>
      <c r="E36" s="338" t="s">
        <v>292</v>
      </c>
      <c r="F36" s="313" t="s">
        <v>266</v>
      </c>
      <c r="G36" s="313" t="s">
        <v>266</v>
      </c>
      <c r="H36" s="311" t="s">
        <v>137</v>
      </c>
      <c r="I36" s="336">
        <f>J36/6</f>
        <v>27767.360782178806</v>
      </c>
      <c r="J36" s="336">
        <f>0.025*(SUM(J8:J13))</f>
        <v>166604.16469307285</v>
      </c>
      <c r="K36" s="328" t="s">
        <v>934</v>
      </c>
      <c r="L36" s="328" t="s">
        <v>132</v>
      </c>
      <c r="M36" s="321">
        <v>1</v>
      </c>
      <c r="N36" s="321">
        <v>0</v>
      </c>
      <c r="O36" s="510">
        <v>41518</v>
      </c>
      <c r="P36" s="510">
        <v>41579</v>
      </c>
      <c r="Q36" s="510">
        <v>41609</v>
      </c>
      <c r="R36" s="510">
        <v>41913</v>
      </c>
      <c r="S36" s="309" t="s">
        <v>128</v>
      </c>
      <c r="T36" s="341"/>
      <c r="U36" s="320"/>
    </row>
    <row r="37" spans="1:21" s="293" customFormat="1" x14ac:dyDescent="0.2">
      <c r="A37" s="497">
        <v>3</v>
      </c>
      <c r="B37" s="497" t="s">
        <v>961</v>
      </c>
      <c r="C37" s="497">
        <v>4</v>
      </c>
      <c r="D37" s="497"/>
      <c r="E37" s="338" t="s">
        <v>293</v>
      </c>
      <c r="F37" s="313" t="s">
        <v>266</v>
      </c>
      <c r="G37" s="313" t="s">
        <v>266</v>
      </c>
      <c r="H37" s="311" t="s">
        <v>137</v>
      </c>
      <c r="I37" s="336">
        <f>J37/6</f>
        <v>49409.596924062331</v>
      </c>
      <c r="J37" s="336">
        <f>0.025*(SUM(J14:J19))</f>
        <v>296457.581544374</v>
      </c>
      <c r="K37" s="328" t="s">
        <v>934</v>
      </c>
      <c r="L37" s="328" t="s">
        <v>132</v>
      </c>
      <c r="M37" s="321">
        <v>1</v>
      </c>
      <c r="N37" s="321">
        <v>0</v>
      </c>
      <c r="O37" s="510">
        <v>41883</v>
      </c>
      <c r="P37" s="510">
        <v>41944</v>
      </c>
      <c r="Q37" s="510">
        <v>41974</v>
      </c>
      <c r="R37" s="510">
        <v>42278</v>
      </c>
      <c r="S37" s="309" t="s">
        <v>128</v>
      </c>
      <c r="T37" s="341"/>
      <c r="U37" s="320"/>
    </row>
    <row r="38" spans="1:21" s="293" customFormat="1" x14ac:dyDescent="0.2">
      <c r="A38" s="497">
        <v>4</v>
      </c>
      <c r="B38" s="497" t="s">
        <v>962</v>
      </c>
      <c r="C38" s="497">
        <v>4</v>
      </c>
      <c r="D38" s="497"/>
      <c r="E38" s="338" t="s">
        <v>294</v>
      </c>
      <c r="F38" s="313" t="s">
        <v>266</v>
      </c>
      <c r="G38" s="313" t="s">
        <v>266</v>
      </c>
      <c r="H38" s="311" t="s">
        <v>137</v>
      </c>
      <c r="I38" s="336">
        <f>J38/5</f>
        <v>22498.132103538381</v>
      </c>
      <c r="J38" s="336">
        <f>0.025*(SUM(J20:J24))</f>
        <v>112490.6605176919</v>
      </c>
      <c r="K38" s="328" t="s">
        <v>934</v>
      </c>
      <c r="L38" s="328" t="s">
        <v>132</v>
      </c>
      <c r="M38" s="321">
        <v>1</v>
      </c>
      <c r="N38" s="321">
        <v>0</v>
      </c>
      <c r="O38" s="510">
        <v>42248</v>
      </c>
      <c r="P38" s="510">
        <v>42309</v>
      </c>
      <c r="Q38" s="510">
        <v>42339</v>
      </c>
      <c r="R38" s="510">
        <v>42644</v>
      </c>
      <c r="S38" s="309" t="s">
        <v>128</v>
      </c>
      <c r="T38" s="341"/>
      <c r="U38" s="320"/>
    </row>
    <row r="39" spans="1:21" s="293" customFormat="1" x14ac:dyDescent="0.2">
      <c r="A39" s="342"/>
      <c r="B39" s="342"/>
      <c r="C39" s="342"/>
      <c r="D39" s="342"/>
      <c r="E39" s="330" t="s">
        <v>314</v>
      </c>
      <c r="F39" s="340" t="s">
        <v>229</v>
      </c>
      <c r="G39" s="340" t="s">
        <v>230</v>
      </c>
      <c r="H39" s="340" t="s">
        <v>231</v>
      </c>
      <c r="I39" s="323"/>
      <c r="J39" s="483">
        <f>SUM(J40:J42)</f>
        <v>1151104.8135102775</v>
      </c>
      <c r="K39" s="335"/>
      <c r="L39" s="342"/>
      <c r="M39" s="322"/>
      <c r="N39" s="322"/>
      <c r="O39" s="331"/>
      <c r="P39" s="331"/>
      <c r="Q39" s="331"/>
      <c r="R39" s="331"/>
      <c r="S39" s="324"/>
      <c r="T39" s="335"/>
      <c r="U39" s="320"/>
    </row>
    <row r="40" spans="1:21" s="293" customFormat="1" x14ac:dyDescent="0.2">
      <c r="A40" s="497" t="s">
        <v>1112</v>
      </c>
      <c r="B40" s="497" t="s">
        <v>963</v>
      </c>
      <c r="C40" s="497">
        <v>4</v>
      </c>
      <c r="D40" s="497"/>
      <c r="E40" s="338" t="s">
        <v>313</v>
      </c>
      <c r="F40" s="313" t="s">
        <v>266</v>
      </c>
      <c r="G40" s="313" t="s">
        <v>266</v>
      </c>
      <c r="H40" s="311" t="s">
        <v>137</v>
      </c>
      <c r="I40" s="336">
        <f>+J40/6</f>
        <v>55534.721564357613</v>
      </c>
      <c r="J40" s="336">
        <f>0.05*(SUM(J$8:J$13))</f>
        <v>333208.32938614569</v>
      </c>
      <c r="K40" s="328" t="s">
        <v>1127</v>
      </c>
      <c r="L40" s="328" t="s">
        <v>933</v>
      </c>
      <c r="M40" s="321">
        <v>1</v>
      </c>
      <c r="N40" s="321">
        <v>0</v>
      </c>
      <c r="O40" s="510">
        <v>41334</v>
      </c>
      <c r="P40" s="510">
        <v>41365</v>
      </c>
      <c r="Q40" s="510">
        <v>41365</v>
      </c>
      <c r="R40" s="510">
        <v>41518</v>
      </c>
      <c r="S40" s="309" t="s">
        <v>128</v>
      </c>
      <c r="T40" s="341"/>
      <c r="U40" s="320"/>
    </row>
    <row r="41" spans="1:21" s="293" customFormat="1" x14ac:dyDescent="0.2">
      <c r="A41" s="497" t="s">
        <v>1113</v>
      </c>
      <c r="B41" s="497" t="s">
        <v>964</v>
      </c>
      <c r="C41" s="497">
        <v>4</v>
      </c>
      <c r="D41" s="497"/>
      <c r="E41" s="338" t="s">
        <v>315</v>
      </c>
      <c r="F41" s="313" t="s">
        <v>266</v>
      </c>
      <c r="G41" s="313" t="s">
        <v>266</v>
      </c>
      <c r="H41" s="311" t="s">
        <v>137</v>
      </c>
      <c r="I41" s="336">
        <f>+J41/6</f>
        <v>98819.193848124662</v>
      </c>
      <c r="J41" s="336">
        <f>0.05*(SUM(J$14:J$19))</f>
        <v>592915.163088748</v>
      </c>
      <c r="K41" s="328" t="s">
        <v>1127</v>
      </c>
      <c r="L41" s="328" t="s">
        <v>933</v>
      </c>
      <c r="M41" s="321">
        <v>1</v>
      </c>
      <c r="N41" s="321">
        <v>0</v>
      </c>
      <c r="O41" s="510">
        <v>41791</v>
      </c>
      <c r="P41" s="510">
        <v>41821</v>
      </c>
      <c r="Q41" s="510">
        <v>41821</v>
      </c>
      <c r="R41" s="510">
        <v>41883</v>
      </c>
      <c r="S41" s="309" t="s">
        <v>128</v>
      </c>
      <c r="T41" s="341"/>
      <c r="U41" s="320"/>
    </row>
    <row r="42" spans="1:21" s="293" customFormat="1" x14ac:dyDescent="0.2">
      <c r="A42" s="497" t="s">
        <v>1114</v>
      </c>
      <c r="B42" s="497" t="s">
        <v>965</v>
      </c>
      <c r="C42" s="497">
        <v>4</v>
      </c>
      <c r="D42" s="497"/>
      <c r="E42" s="338" t="s">
        <v>316</v>
      </c>
      <c r="F42" s="313" t="s">
        <v>266</v>
      </c>
      <c r="G42" s="313" t="s">
        <v>266</v>
      </c>
      <c r="H42" s="311" t="s">
        <v>137</v>
      </c>
      <c r="I42" s="336">
        <f>+J42/5</f>
        <v>44996.264207076762</v>
      </c>
      <c r="J42" s="336">
        <f>0.05*(SUM(J$20:J$24))</f>
        <v>224981.32103538379</v>
      </c>
      <c r="K42" s="328" t="s">
        <v>1127</v>
      </c>
      <c r="L42" s="328" t="s">
        <v>933</v>
      </c>
      <c r="M42" s="321">
        <v>1</v>
      </c>
      <c r="N42" s="321">
        <v>0</v>
      </c>
      <c r="O42" s="510">
        <v>42156</v>
      </c>
      <c r="P42" s="510">
        <v>42186</v>
      </c>
      <c r="Q42" s="510">
        <v>42186</v>
      </c>
      <c r="R42" s="510">
        <v>42248</v>
      </c>
      <c r="S42" s="309" t="s">
        <v>128</v>
      </c>
      <c r="T42" s="341"/>
      <c r="U42" s="320"/>
    </row>
    <row r="43" spans="1:21" s="293" customFormat="1" x14ac:dyDescent="0.2">
      <c r="A43" s="342"/>
      <c r="B43" s="342"/>
      <c r="C43" s="342"/>
      <c r="D43" s="342"/>
      <c r="E43" s="330" t="s">
        <v>430</v>
      </c>
      <c r="F43" s="340" t="s">
        <v>229</v>
      </c>
      <c r="G43" s="340" t="s">
        <v>230</v>
      </c>
      <c r="H43" s="340" t="s">
        <v>231</v>
      </c>
      <c r="I43" s="323"/>
      <c r="J43" s="483">
        <f>SUM(J44:J46)</f>
        <v>1841767.7016164437</v>
      </c>
      <c r="K43" s="335"/>
      <c r="L43" s="342"/>
      <c r="M43" s="322"/>
      <c r="N43" s="322"/>
      <c r="O43" s="331"/>
      <c r="P43" s="331"/>
      <c r="Q43" s="331"/>
      <c r="R43" s="331"/>
      <c r="S43" s="324"/>
      <c r="T43" s="335"/>
      <c r="U43" s="320"/>
    </row>
    <row r="44" spans="1:21" s="293" customFormat="1" x14ac:dyDescent="0.2">
      <c r="A44" s="497">
        <v>2</v>
      </c>
      <c r="B44" s="497" t="s">
        <v>966</v>
      </c>
      <c r="C44" s="497" t="s">
        <v>1115</v>
      </c>
      <c r="D44" s="497"/>
      <c r="E44" s="338" t="s">
        <v>459</v>
      </c>
      <c r="F44" s="313"/>
      <c r="G44" s="313"/>
      <c r="H44" s="311"/>
      <c r="I44" s="336">
        <f t="shared" si="0"/>
        <v>533133.32701783313</v>
      </c>
      <c r="J44" s="336">
        <f>0.08*(SUM(J$8:J$13))</f>
        <v>533133.32701783313</v>
      </c>
      <c r="K44" s="328"/>
      <c r="L44" s="328"/>
      <c r="M44" s="321">
        <v>1</v>
      </c>
      <c r="N44" s="321">
        <v>0</v>
      </c>
      <c r="O44" s="510"/>
      <c r="P44" s="510"/>
      <c r="Q44" s="510"/>
      <c r="R44" s="510"/>
      <c r="S44" s="309"/>
      <c r="T44" s="341"/>
      <c r="U44" s="320"/>
    </row>
    <row r="45" spans="1:21" s="293" customFormat="1" x14ac:dyDescent="0.2">
      <c r="A45" s="497">
        <v>3</v>
      </c>
      <c r="B45" s="497" t="s">
        <v>967</v>
      </c>
      <c r="C45" s="497" t="s">
        <v>1115</v>
      </c>
      <c r="D45" s="497"/>
      <c r="E45" s="338" t="s">
        <v>460</v>
      </c>
      <c r="F45" s="313"/>
      <c r="G45" s="313"/>
      <c r="H45" s="311"/>
      <c r="I45" s="336">
        <f t="shared" si="0"/>
        <v>948664.2609419967</v>
      </c>
      <c r="J45" s="336">
        <f>0.08*(SUM(J$14:J$19))</f>
        <v>948664.2609419967</v>
      </c>
      <c r="K45" s="328"/>
      <c r="L45" s="328"/>
      <c r="M45" s="321">
        <v>1</v>
      </c>
      <c r="N45" s="321">
        <v>0</v>
      </c>
      <c r="O45" s="510"/>
      <c r="P45" s="510"/>
      <c r="Q45" s="510"/>
      <c r="R45" s="510"/>
      <c r="S45" s="309"/>
      <c r="T45" s="341"/>
      <c r="U45" s="320"/>
    </row>
    <row r="46" spans="1:21" s="293" customFormat="1" x14ac:dyDescent="0.2">
      <c r="A46" s="497">
        <v>4</v>
      </c>
      <c r="B46" s="497" t="s">
        <v>968</v>
      </c>
      <c r="C46" s="497" t="s">
        <v>1115</v>
      </c>
      <c r="D46" s="497"/>
      <c r="E46" s="338" t="s">
        <v>458</v>
      </c>
      <c r="F46" s="313"/>
      <c r="G46" s="313"/>
      <c r="H46" s="311"/>
      <c r="I46" s="336">
        <f t="shared" si="0"/>
        <v>359970.11365661403</v>
      </c>
      <c r="J46" s="336">
        <f>0.08*(SUM(J$20:J$24))</f>
        <v>359970.11365661403</v>
      </c>
      <c r="K46" s="328"/>
      <c r="L46" s="328"/>
      <c r="M46" s="321">
        <v>1</v>
      </c>
      <c r="N46" s="321">
        <v>0</v>
      </c>
      <c r="O46" s="510"/>
      <c r="P46" s="510"/>
      <c r="Q46" s="510"/>
      <c r="R46" s="510"/>
      <c r="S46" s="309"/>
      <c r="T46" s="341"/>
      <c r="U46" s="320"/>
    </row>
    <row r="47" spans="1:21" s="293" customFormat="1" ht="36" x14ac:dyDescent="0.2">
      <c r="A47" s="357"/>
      <c r="B47" s="357"/>
      <c r="C47" s="357"/>
      <c r="D47" s="357"/>
      <c r="E47" s="327" t="s">
        <v>264</v>
      </c>
      <c r="F47" s="357"/>
      <c r="G47" s="357"/>
      <c r="H47" s="357"/>
      <c r="I47" s="357"/>
      <c r="J47" s="319">
        <f>+J48+J111+J154+J158+J162+J166</f>
        <v>116274205.98977013</v>
      </c>
      <c r="K47" s="357"/>
      <c r="L47" s="357"/>
      <c r="M47" s="357"/>
      <c r="N47" s="357"/>
      <c r="O47" s="356"/>
      <c r="P47" s="357"/>
      <c r="Q47" s="357"/>
      <c r="R47" s="357"/>
      <c r="S47" s="357"/>
      <c r="T47" s="327"/>
      <c r="U47" s="308"/>
    </row>
    <row r="48" spans="1:21" s="293" customFormat="1" x14ac:dyDescent="0.2">
      <c r="A48" s="306"/>
      <c r="B48" s="306"/>
      <c r="C48" s="344"/>
      <c r="D48" s="344"/>
      <c r="E48" s="330" t="s">
        <v>261</v>
      </c>
      <c r="F48" s="334"/>
      <c r="G48" s="334"/>
      <c r="H48" s="337"/>
      <c r="I48" s="337"/>
      <c r="J48" s="339">
        <f>SUM(J49:J110)</f>
        <v>78560930.76663132</v>
      </c>
      <c r="K48" s="310"/>
      <c r="L48" s="317"/>
      <c r="M48" s="337"/>
      <c r="N48" s="343"/>
      <c r="O48" s="511"/>
      <c r="P48" s="511"/>
      <c r="Q48" s="511"/>
      <c r="R48" s="511"/>
      <c r="S48" s="324"/>
      <c r="T48" s="312"/>
      <c r="U48" s="308"/>
    </row>
    <row r="49" spans="1:21" s="293" customFormat="1" x14ac:dyDescent="0.2">
      <c r="A49" s="497">
        <v>2</v>
      </c>
      <c r="B49" s="497" t="s">
        <v>969</v>
      </c>
      <c r="C49" s="497">
        <v>2</v>
      </c>
      <c r="D49" s="497">
        <f>+D24+1</f>
        <v>18</v>
      </c>
      <c r="E49" s="338" t="s">
        <v>323</v>
      </c>
      <c r="F49" s="313" t="s">
        <v>221</v>
      </c>
      <c r="G49" s="313" t="s">
        <v>221</v>
      </c>
      <c r="H49" s="311" t="s">
        <v>130</v>
      </c>
      <c r="I49" s="314">
        <f t="shared" ref="I49:I80" si="2">+U49/$AE$1</f>
        <v>2010064.9648018684</v>
      </c>
      <c r="J49" s="326">
        <f>+I49</f>
        <v>2010064.9648018684</v>
      </c>
      <c r="K49" s="328" t="s">
        <v>129</v>
      </c>
      <c r="L49" s="328" t="s">
        <v>132</v>
      </c>
      <c r="M49" s="321">
        <v>1</v>
      </c>
      <c r="N49" s="321">
        <v>0</v>
      </c>
      <c r="O49" s="510">
        <v>41548</v>
      </c>
      <c r="P49" s="510">
        <v>41579</v>
      </c>
      <c r="Q49" s="510">
        <v>41609</v>
      </c>
      <c r="R49" s="510">
        <v>41913</v>
      </c>
      <c r="S49" s="309" t="s">
        <v>128</v>
      </c>
      <c r="T49" s="341"/>
      <c r="U49" s="307">
        <v>1013925388.2575999</v>
      </c>
    </row>
    <row r="50" spans="1:21" s="293" customFormat="1" x14ac:dyDescent="0.2">
      <c r="A50" s="497">
        <v>2</v>
      </c>
      <c r="B50" s="497" t="s">
        <v>970</v>
      </c>
      <c r="C50" s="497">
        <v>2</v>
      </c>
      <c r="D50" s="497">
        <f>+D49+1</f>
        <v>19</v>
      </c>
      <c r="E50" s="338" t="s">
        <v>324</v>
      </c>
      <c r="F50" s="313" t="s">
        <v>217</v>
      </c>
      <c r="G50" s="313" t="s">
        <v>235</v>
      </c>
      <c r="H50" s="311" t="s">
        <v>130</v>
      </c>
      <c r="I50" s="314">
        <f t="shared" si="2"/>
        <v>1591288.2362091185</v>
      </c>
      <c r="J50" s="326">
        <f t="shared" ref="J50:J113" si="3">+I50</f>
        <v>1591288.2362091185</v>
      </c>
      <c r="K50" s="328" t="s">
        <v>129</v>
      </c>
      <c r="L50" s="328" t="s">
        <v>132</v>
      </c>
      <c r="M50" s="321">
        <v>1</v>
      </c>
      <c r="N50" s="321">
        <v>0</v>
      </c>
      <c r="O50" s="510">
        <v>41548</v>
      </c>
      <c r="P50" s="510">
        <v>41579</v>
      </c>
      <c r="Q50" s="510">
        <v>41609</v>
      </c>
      <c r="R50" s="510">
        <v>41913</v>
      </c>
      <c r="S50" s="309" t="s">
        <v>128</v>
      </c>
      <c r="T50" s="341"/>
      <c r="U50" s="320">
        <v>802684276.86720014</v>
      </c>
    </row>
    <row r="51" spans="1:21" s="293" customFormat="1" x14ac:dyDescent="0.2">
      <c r="A51" s="497">
        <v>2</v>
      </c>
      <c r="B51" s="497" t="s">
        <v>971</v>
      </c>
      <c r="C51" s="497">
        <v>2</v>
      </c>
      <c r="D51" s="497">
        <f t="shared" ref="D51:D109" si="4">+D50+1</f>
        <v>20</v>
      </c>
      <c r="E51" s="338" t="s">
        <v>325</v>
      </c>
      <c r="F51" s="313" t="s">
        <v>213</v>
      </c>
      <c r="G51" s="313" t="s">
        <v>213</v>
      </c>
      <c r="H51" s="311" t="s">
        <v>130</v>
      </c>
      <c r="I51" s="314">
        <f t="shared" si="2"/>
        <v>2957818.3768499014</v>
      </c>
      <c r="J51" s="326">
        <f t="shared" si="3"/>
        <v>2957818.3768499014</v>
      </c>
      <c r="K51" s="328" t="s">
        <v>129</v>
      </c>
      <c r="L51" s="328" t="s">
        <v>132</v>
      </c>
      <c r="M51" s="321">
        <v>1</v>
      </c>
      <c r="N51" s="321">
        <v>0</v>
      </c>
      <c r="O51" s="510">
        <v>41487</v>
      </c>
      <c r="P51" s="510">
        <v>41579</v>
      </c>
      <c r="Q51" s="510">
        <v>41609</v>
      </c>
      <c r="R51" s="510">
        <v>41913</v>
      </c>
      <c r="S51" s="309" t="s">
        <v>128</v>
      </c>
      <c r="T51" s="341"/>
      <c r="U51" s="320">
        <v>1491995133.8182802</v>
      </c>
    </row>
    <row r="52" spans="1:21" s="293" customFormat="1" x14ac:dyDescent="0.2">
      <c r="A52" s="497">
        <v>2</v>
      </c>
      <c r="B52" s="497" t="s">
        <v>972</v>
      </c>
      <c r="C52" s="497">
        <v>2</v>
      </c>
      <c r="D52" s="497">
        <f t="shared" si="4"/>
        <v>21</v>
      </c>
      <c r="E52" s="338" t="s">
        <v>326</v>
      </c>
      <c r="F52" s="313" t="s">
        <v>234</v>
      </c>
      <c r="G52" s="313" t="s">
        <v>236</v>
      </c>
      <c r="H52" s="311" t="s">
        <v>130</v>
      </c>
      <c r="I52" s="314">
        <f t="shared" si="2"/>
        <v>1591288.2362091185</v>
      </c>
      <c r="J52" s="326">
        <f t="shared" si="3"/>
        <v>1591288.2362091185</v>
      </c>
      <c r="K52" s="328" t="s">
        <v>129</v>
      </c>
      <c r="L52" s="328" t="s">
        <v>132</v>
      </c>
      <c r="M52" s="321">
        <v>1</v>
      </c>
      <c r="N52" s="321">
        <v>0</v>
      </c>
      <c r="O52" s="510">
        <v>41548</v>
      </c>
      <c r="P52" s="510">
        <v>41579</v>
      </c>
      <c r="Q52" s="510">
        <v>41609</v>
      </c>
      <c r="R52" s="510">
        <v>41913</v>
      </c>
      <c r="S52" s="309" t="s">
        <v>128</v>
      </c>
      <c r="T52" s="341"/>
      <c r="U52" s="320">
        <v>802684276.86720014</v>
      </c>
    </row>
    <row r="53" spans="1:21" s="293" customFormat="1" x14ac:dyDescent="0.2">
      <c r="A53" s="497">
        <v>2</v>
      </c>
      <c r="B53" s="497" t="s">
        <v>973</v>
      </c>
      <c r="C53" s="497">
        <v>2</v>
      </c>
      <c r="D53" s="497">
        <f t="shared" si="4"/>
        <v>22</v>
      </c>
      <c r="E53" s="338" t="s">
        <v>327</v>
      </c>
      <c r="F53" s="313" t="s">
        <v>225</v>
      </c>
      <c r="G53" s="313" t="s">
        <v>226</v>
      </c>
      <c r="H53" s="311" t="s">
        <v>130</v>
      </c>
      <c r="I53" s="314">
        <f t="shared" si="2"/>
        <v>1372422.8466885702</v>
      </c>
      <c r="J53" s="326">
        <f t="shared" si="3"/>
        <v>1372422.8466885702</v>
      </c>
      <c r="K53" s="328" t="s">
        <v>129</v>
      </c>
      <c r="L53" s="328" t="s">
        <v>132</v>
      </c>
      <c r="M53" s="321">
        <v>1</v>
      </c>
      <c r="N53" s="321">
        <v>0</v>
      </c>
      <c r="O53" s="510">
        <v>41548</v>
      </c>
      <c r="P53" s="510">
        <v>41579</v>
      </c>
      <c r="Q53" s="510">
        <v>41609</v>
      </c>
      <c r="R53" s="510">
        <v>41913</v>
      </c>
      <c r="S53" s="309" t="s">
        <v>128</v>
      </c>
      <c r="T53" s="341"/>
      <c r="U53" s="320">
        <v>692283280.41600001</v>
      </c>
    </row>
    <row r="54" spans="1:21" s="293" customFormat="1" x14ac:dyDescent="0.2">
      <c r="A54" s="497">
        <v>2</v>
      </c>
      <c r="B54" s="497" t="s">
        <v>974</v>
      </c>
      <c r="C54" s="497">
        <v>2</v>
      </c>
      <c r="D54" s="497">
        <f t="shared" si="4"/>
        <v>23</v>
      </c>
      <c r="E54" s="338" t="s">
        <v>328</v>
      </c>
      <c r="F54" s="313" t="s">
        <v>234</v>
      </c>
      <c r="G54" s="313" t="s">
        <v>234</v>
      </c>
      <c r="H54" s="311" t="s">
        <v>130</v>
      </c>
      <c r="I54" s="314">
        <f t="shared" si="2"/>
        <v>1591288.2362091185</v>
      </c>
      <c r="J54" s="326">
        <f t="shared" si="3"/>
        <v>1591288.2362091185</v>
      </c>
      <c r="K54" s="328" t="s">
        <v>129</v>
      </c>
      <c r="L54" s="328" t="s">
        <v>132</v>
      </c>
      <c r="M54" s="321">
        <v>1</v>
      </c>
      <c r="N54" s="321">
        <v>0</v>
      </c>
      <c r="O54" s="510">
        <v>41548</v>
      </c>
      <c r="P54" s="510">
        <v>41579</v>
      </c>
      <c r="Q54" s="510">
        <v>41609</v>
      </c>
      <c r="R54" s="510">
        <v>41913</v>
      </c>
      <c r="S54" s="309" t="s">
        <v>128</v>
      </c>
      <c r="T54" s="341"/>
      <c r="U54" s="320">
        <v>802684276.86720014</v>
      </c>
    </row>
    <row r="55" spans="1:21" s="293" customFormat="1" x14ac:dyDescent="0.2">
      <c r="A55" s="497">
        <v>2</v>
      </c>
      <c r="B55" s="497" t="s">
        <v>975</v>
      </c>
      <c r="C55" s="497">
        <v>2</v>
      </c>
      <c r="D55" s="497">
        <f t="shared" si="4"/>
        <v>24</v>
      </c>
      <c r="E55" s="338" t="s">
        <v>329</v>
      </c>
      <c r="F55" s="313" t="s">
        <v>234</v>
      </c>
      <c r="G55" s="313" t="s">
        <v>242</v>
      </c>
      <c r="H55" s="311" t="s">
        <v>130</v>
      </c>
      <c r="I55" s="314">
        <f t="shared" si="2"/>
        <v>634815.72379611642</v>
      </c>
      <c r="J55" s="326">
        <f t="shared" si="3"/>
        <v>634815.72379611642</v>
      </c>
      <c r="K55" s="328" t="s">
        <v>129</v>
      </c>
      <c r="L55" s="328" t="s">
        <v>132</v>
      </c>
      <c r="M55" s="321">
        <v>1</v>
      </c>
      <c r="N55" s="321">
        <v>0</v>
      </c>
      <c r="O55" s="510">
        <v>41548</v>
      </c>
      <c r="P55" s="510">
        <v>41579</v>
      </c>
      <c r="Q55" s="510">
        <v>41609</v>
      </c>
      <c r="R55" s="510">
        <v>41913</v>
      </c>
      <c r="S55" s="309" t="s">
        <v>128</v>
      </c>
      <c r="T55" s="341"/>
      <c r="U55" s="320">
        <v>320216406.18239999</v>
      </c>
    </row>
    <row r="56" spans="1:21" s="293" customFormat="1" x14ac:dyDescent="0.2">
      <c r="A56" s="497">
        <v>2</v>
      </c>
      <c r="B56" s="497" t="s">
        <v>976</v>
      </c>
      <c r="C56" s="497">
        <v>2</v>
      </c>
      <c r="D56" s="497">
        <f t="shared" si="4"/>
        <v>25</v>
      </c>
      <c r="E56" s="338" t="s">
        <v>330</v>
      </c>
      <c r="F56" s="313" t="s">
        <v>221</v>
      </c>
      <c r="G56" s="313" t="s">
        <v>240</v>
      </c>
      <c r="H56" s="311" t="s">
        <v>130</v>
      </c>
      <c r="I56" s="314">
        <f t="shared" si="2"/>
        <v>634815.72379611642</v>
      </c>
      <c r="J56" s="326">
        <f t="shared" si="3"/>
        <v>634815.72379611642</v>
      </c>
      <c r="K56" s="328" t="s">
        <v>129</v>
      </c>
      <c r="L56" s="328" t="s">
        <v>132</v>
      </c>
      <c r="M56" s="321">
        <v>1</v>
      </c>
      <c r="N56" s="321">
        <v>0</v>
      </c>
      <c r="O56" s="510">
        <v>41548</v>
      </c>
      <c r="P56" s="510">
        <v>41579</v>
      </c>
      <c r="Q56" s="510">
        <v>41609</v>
      </c>
      <c r="R56" s="510">
        <v>41913</v>
      </c>
      <c r="S56" s="309" t="s">
        <v>128</v>
      </c>
      <c r="T56" s="341"/>
      <c r="U56" s="320">
        <v>320216406.18239999</v>
      </c>
    </row>
    <row r="57" spans="1:21" s="293" customFormat="1" x14ac:dyDescent="0.2">
      <c r="A57" s="497">
        <v>2</v>
      </c>
      <c r="B57" s="497" t="s">
        <v>977</v>
      </c>
      <c r="C57" s="497">
        <v>2</v>
      </c>
      <c r="D57" s="497">
        <f t="shared" si="4"/>
        <v>26</v>
      </c>
      <c r="E57" s="338" t="s">
        <v>331</v>
      </c>
      <c r="F57" s="313" t="s">
        <v>234</v>
      </c>
      <c r="G57" s="313" t="s">
        <v>243</v>
      </c>
      <c r="H57" s="311" t="s">
        <v>130</v>
      </c>
      <c r="I57" s="314">
        <f t="shared" si="2"/>
        <v>812602.27358475211</v>
      </c>
      <c r="J57" s="326">
        <f t="shared" si="3"/>
        <v>812602.27358475211</v>
      </c>
      <c r="K57" s="328" t="s">
        <v>129</v>
      </c>
      <c r="L57" s="328" t="s">
        <v>132</v>
      </c>
      <c r="M57" s="321">
        <v>1</v>
      </c>
      <c r="N57" s="321">
        <v>0</v>
      </c>
      <c r="O57" s="510">
        <v>41548</v>
      </c>
      <c r="P57" s="510">
        <v>41579</v>
      </c>
      <c r="Q57" s="510">
        <v>41609</v>
      </c>
      <c r="R57" s="510">
        <v>41913</v>
      </c>
      <c r="S57" s="309" t="s">
        <v>128</v>
      </c>
      <c r="T57" s="341"/>
      <c r="U57" s="320">
        <v>409896242.24640006</v>
      </c>
    </row>
    <row r="58" spans="1:21" s="293" customFormat="1" x14ac:dyDescent="0.2">
      <c r="A58" s="497">
        <v>2</v>
      </c>
      <c r="B58" s="497" t="s">
        <v>978</v>
      </c>
      <c r="C58" s="497">
        <v>2</v>
      </c>
      <c r="D58" s="497">
        <f t="shared" si="4"/>
        <v>27</v>
      </c>
      <c r="E58" s="338" t="s">
        <v>332</v>
      </c>
      <c r="F58" s="313" t="s">
        <v>218</v>
      </c>
      <c r="G58" s="313" t="s">
        <v>244</v>
      </c>
      <c r="H58" s="311" t="s">
        <v>130</v>
      </c>
      <c r="I58" s="314">
        <f t="shared" si="2"/>
        <v>677236.3740686964</v>
      </c>
      <c r="J58" s="326">
        <f t="shared" si="3"/>
        <v>677236.3740686964</v>
      </c>
      <c r="K58" s="328" t="s">
        <v>129</v>
      </c>
      <c r="L58" s="328" t="s">
        <v>132</v>
      </c>
      <c r="M58" s="321">
        <v>1</v>
      </c>
      <c r="N58" s="321">
        <v>0</v>
      </c>
      <c r="O58" s="510">
        <v>41548</v>
      </c>
      <c r="P58" s="510">
        <v>41579</v>
      </c>
      <c r="Q58" s="510">
        <v>41609</v>
      </c>
      <c r="R58" s="510">
        <v>41913</v>
      </c>
      <c r="S58" s="309" t="s">
        <v>128</v>
      </c>
      <c r="T58" s="341"/>
      <c r="U58" s="320">
        <v>341614408.26240003</v>
      </c>
    </row>
    <row r="59" spans="1:21" s="293" customFormat="1" x14ac:dyDescent="0.2">
      <c r="A59" s="497">
        <v>2</v>
      </c>
      <c r="B59" s="497" t="s">
        <v>979</v>
      </c>
      <c r="C59" s="497">
        <v>2</v>
      </c>
      <c r="D59" s="497">
        <f t="shared" si="4"/>
        <v>28</v>
      </c>
      <c r="E59" s="338" t="s">
        <v>333</v>
      </c>
      <c r="F59" s="313" t="s">
        <v>217</v>
      </c>
      <c r="G59" s="313" t="s">
        <v>239</v>
      </c>
      <c r="H59" s="311" t="s">
        <v>130</v>
      </c>
      <c r="I59" s="314">
        <f t="shared" si="2"/>
        <v>589512.78724745347</v>
      </c>
      <c r="J59" s="326">
        <f t="shared" si="3"/>
        <v>589512.78724745347</v>
      </c>
      <c r="K59" s="328" t="s">
        <v>129</v>
      </c>
      <c r="L59" s="328" t="s">
        <v>132</v>
      </c>
      <c r="M59" s="321">
        <v>1</v>
      </c>
      <c r="N59" s="321">
        <v>0</v>
      </c>
      <c r="O59" s="510">
        <v>41548</v>
      </c>
      <c r="P59" s="510">
        <v>41579</v>
      </c>
      <c r="Q59" s="510">
        <v>41609</v>
      </c>
      <c r="R59" s="510">
        <v>41913</v>
      </c>
      <c r="S59" s="309" t="s">
        <v>128</v>
      </c>
      <c r="T59" s="341"/>
      <c r="U59" s="320">
        <v>297364509.18720007</v>
      </c>
    </row>
    <row r="60" spans="1:21" s="293" customFormat="1" x14ac:dyDescent="0.2">
      <c r="A60" s="497">
        <v>2</v>
      </c>
      <c r="B60" s="497" t="s">
        <v>980</v>
      </c>
      <c r="C60" s="497">
        <v>2</v>
      </c>
      <c r="D60" s="497">
        <f t="shared" si="4"/>
        <v>29</v>
      </c>
      <c r="E60" s="338" t="s">
        <v>334</v>
      </c>
      <c r="F60" s="313" t="s">
        <v>234</v>
      </c>
      <c r="G60" s="313" t="s">
        <v>242</v>
      </c>
      <c r="H60" s="311" t="s">
        <v>130</v>
      </c>
      <c r="I60" s="314">
        <f t="shared" si="2"/>
        <v>589512.78724745347</v>
      </c>
      <c r="J60" s="326">
        <f t="shared" si="3"/>
        <v>589512.78724745347</v>
      </c>
      <c r="K60" s="328" t="s">
        <v>129</v>
      </c>
      <c r="L60" s="328" t="s">
        <v>132</v>
      </c>
      <c r="M60" s="321">
        <v>1</v>
      </c>
      <c r="N60" s="321">
        <v>0</v>
      </c>
      <c r="O60" s="510">
        <v>41548</v>
      </c>
      <c r="P60" s="510">
        <v>41579</v>
      </c>
      <c r="Q60" s="510">
        <v>41609</v>
      </c>
      <c r="R60" s="510">
        <v>41913</v>
      </c>
      <c r="S60" s="309" t="s">
        <v>128</v>
      </c>
      <c r="T60" s="341"/>
      <c r="U60" s="320">
        <v>297364509.18720007</v>
      </c>
    </row>
    <row r="61" spans="1:21" s="293" customFormat="1" x14ac:dyDescent="0.2">
      <c r="A61" s="497">
        <v>2</v>
      </c>
      <c r="B61" s="497" t="s">
        <v>981</v>
      </c>
      <c r="C61" s="497">
        <v>2</v>
      </c>
      <c r="D61" s="497">
        <f t="shared" si="4"/>
        <v>30</v>
      </c>
      <c r="E61" s="338" t="s">
        <v>335</v>
      </c>
      <c r="F61" s="313" t="s">
        <v>217</v>
      </c>
      <c r="G61" s="313" t="s">
        <v>222</v>
      </c>
      <c r="H61" s="311" t="s">
        <v>130</v>
      </c>
      <c r="I61" s="314">
        <f t="shared" si="2"/>
        <v>634815.72379611642</v>
      </c>
      <c r="J61" s="326">
        <f t="shared" si="3"/>
        <v>634815.72379611642</v>
      </c>
      <c r="K61" s="328" t="s">
        <v>129</v>
      </c>
      <c r="L61" s="328" t="s">
        <v>132</v>
      </c>
      <c r="M61" s="321">
        <v>1</v>
      </c>
      <c r="N61" s="321">
        <v>0</v>
      </c>
      <c r="O61" s="510">
        <v>41548</v>
      </c>
      <c r="P61" s="510">
        <v>41579</v>
      </c>
      <c r="Q61" s="510">
        <v>41609</v>
      </c>
      <c r="R61" s="510">
        <v>41913</v>
      </c>
      <c r="S61" s="309" t="s">
        <v>128</v>
      </c>
      <c r="T61" s="341"/>
      <c r="U61" s="320">
        <v>320216406.18239999</v>
      </c>
    </row>
    <row r="62" spans="1:21" s="293" customFormat="1" x14ac:dyDescent="0.2">
      <c r="A62" s="497">
        <v>2</v>
      </c>
      <c r="B62" s="497" t="s">
        <v>982</v>
      </c>
      <c r="C62" s="497">
        <v>2</v>
      </c>
      <c r="D62" s="497">
        <f t="shared" si="4"/>
        <v>31</v>
      </c>
      <c r="E62" s="338" t="s">
        <v>336</v>
      </c>
      <c r="F62" s="313" t="s">
        <v>254</v>
      </c>
      <c r="G62" s="313" t="s">
        <v>255</v>
      </c>
      <c r="H62" s="311" t="s">
        <v>130</v>
      </c>
      <c r="I62" s="314">
        <f t="shared" si="2"/>
        <v>589512.78724745347</v>
      </c>
      <c r="J62" s="326">
        <f t="shared" si="3"/>
        <v>589512.78724745347</v>
      </c>
      <c r="K62" s="328" t="s">
        <v>129</v>
      </c>
      <c r="L62" s="328" t="s">
        <v>132</v>
      </c>
      <c r="M62" s="321">
        <v>1</v>
      </c>
      <c r="N62" s="321">
        <v>0</v>
      </c>
      <c r="O62" s="510">
        <v>41548</v>
      </c>
      <c r="P62" s="510">
        <v>41579</v>
      </c>
      <c r="Q62" s="510">
        <v>41609</v>
      </c>
      <c r="R62" s="510">
        <v>41913</v>
      </c>
      <c r="S62" s="309" t="s">
        <v>128</v>
      </c>
      <c r="T62" s="341"/>
      <c r="U62" s="320">
        <v>297364509.18720007</v>
      </c>
    </row>
    <row r="63" spans="1:21" s="293" customFormat="1" x14ac:dyDescent="0.2">
      <c r="A63" s="497">
        <v>2</v>
      </c>
      <c r="B63" s="497" t="s">
        <v>983</v>
      </c>
      <c r="C63" s="497">
        <v>2</v>
      </c>
      <c r="D63" s="497">
        <f t="shared" si="4"/>
        <v>32</v>
      </c>
      <c r="E63" s="494" t="s">
        <v>337</v>
      </c>
      <c r="F63" s="313" t="s">
        <v>217</v>
      </c>
      <c r="G63" s="313" t="s">
        <v>239</v>
      </c>
      <c r="H63" s="311" t="s">
        <v>130</v>
      </c>
      <c r="I63" s="314">
        <f t="shared" si="2"/>
        <v>589512.78724745347</v>
      </c>
      <c r="J63" s="326">
        <f t="shared" si="3"/>
        <v>589512.78724745347</v>
      </c>
      <c r="K63" s="328" t="s">
        <v>129</v>
      </c>
      <c r="L63" s="328" t="s">
        <v>132</v>
      </c>
      <c r="M63" s="321">
        <v>1</v>
      </c>
      <c r="N63" s="321">
        <v>0</v>
      </c>
      <c r="O63" s="510">
        <v>41548</v>
      </c>
      <c r="P63" s="510">
        <v>41579</v>
      </c>
      <c r="Q63" s="510">
        <v>41609</v>
      </c>
      <c r="R63" s="510">
        <v>41913</v>
      </c>
      <c r="S63" s="309" t="s">
        <v>128</v>
      </c>
      <c r="T63" s="341"/>
      <c r="U63" s="320">
        <v>297364509.18720007</v>
      </c>
    </row>
    <row r="64" spans="1:21" s="293" customFormat="1" x14ac:dyDescent="0.2">
      <c r="A64" s="497">
        <v>2</v>
      </c>
      <c r="B64" s="497" t="s">
        <v>984</v>
      </c>
      <c r="C64" s="497">
        <v>2</v>
      </c>
      <c r="D64" s="497">
        <f t="shared" si="4"/>
        <v>33</v>
      </c>
      <c r="E64" s="494" t="s">
        <v>338</v>
      </c>
      <c r="F64" s="313" t="s">
        <v>234</v>
      </c>
      <c r="G64" s="313" t="s">
        <v>234</v>
      </c>
      <c r="H64" s="311" t="s">
        <v>130</v>
      </c>
      <c r="I64" s="314">
        <f t="shared" si="2"/>
        <v>2532416.6121134963</v>
      </c>
      <c r="J64" s="326">
        <f t="shared" si="3"/>
        <v>2532416.6121134963</v>
      </c>
      <c r="K64" s="328" t="s">
        <v>129</v>
      </c>
      <c r="L64" s="328" t="s">
        <v>132</v>
      </c>
      <c r="M64" s="321">
        <v>1</v>
      </c>
      <c r="N64" s="321">
        <v>0</v>
      </c>
      <c r="O64" s="510">
        <v>41548</v>
      </c>
      <c r="P64" s="510">
        <v>41579</v>
      </c>
      <c r="Q64" s="510">
        <v>41609</v>
      </c>
      <c r="R64" s="510">
        <v>41913</v>
      </c>
      <c r="S64" s="309" t="s">
        <v>128</v>
      </c>
      <c r="T64" s="341"/>
      <c r="U64" s="307">
        <v>1277412193.9488003</v>
      </c>
    </row>
    <row r="65" spans="1:21" s="293" customFormat="1" x14ac:dyDescent="0.2">
      <c r="A65" s="497">
        <v>3</v>
      </c>
      <c r="B65" s="497" t="s">
        <v>985</v>
      </c>
      <c r="C65" s="497">
        <v>2</v>
      </c>
      <c r="D65" s="497">
        <f t="shared" si="4"/>
        <v>34</v>
      </c>
      <c r="E65" s="494" t="s">
        <v>339</v>
      </c>
      <c r="F65" s="313" t="s">
        <v>217</v>
      </c>
      <c r="G65" s="313" t="s">
        <v>223</v>
      </c>
      <c r="H65" s="311" t="s">
        <v>130</v>
      </c>
      <c r="I65" s="314">
        <f t="shared" si="2"/>
        <v>1111819.7844652047</v>
      </c>
      <c r="J65" s="326">
        <f t="shared" si="3"/>
        <v>1111819.7844652047</v>
      </c>
      <c r="K65" s="328" t="s">
        <v>129</v>
      </c>
      <c r="L65" s="328" t="s">
        <v>132</v>
      </c>
      <c r="M65" s="321">
        <v>1</v>
      </c>
      <c r="N65" s="321">
        <v>0</v>
      </c>
      <c r="O65" s="510">
        <v>41913</v>
      </c>
      <c r="P65" s="510">
        <v>41944</v>
      </c>
      <c r="Q65" s="510">
        <v>41974</v>
      </c>
      <c r="R65" s="510">
        <v>42278</v>
      </c>
      <c r="S65" s="309" t="s">
        <v>128</v>
      </c>
      <c r="T65" s="341"/>
      <c r="U65" s="320">
        <v>560828792.29104006</v>
      </c>
    </row>
    <row r="66" spans="1:21" s="293" customFormat="1" x14ac:dyDescent="0.2">
      <c r="A66" s="497">
        <v>3</v>
      </c>
      <c r="B66" s="497" t="s">
        <v>986</v>
      </c>
      <c r="C66" s="497">
        <v>2</v>
      </c>
      <c r="D66" s="497">
        <f t="shared" si="4"/>
        <v>35</v>
      </c>
      <c r="E66" s="495" t="s">
        <v>340</v>
      </c>
      <c r="F66" s="313" t="s">
        <v>213</v>
      </c>
      <c r="G66" s="313" t="s">
        <v>213</v>
      </c>
      <c r="H66" s="311" t="s">
        <v>130</v>
      </c>
      <c r="I66" s="314">
        <f t="shared" si="2"/>
        <v>1441043.9890229986</v>
      </c>
      <c r="J66" s="326">
        <f t="shared" si="3"/>
        <v>1441043.9890229986</v>
      </c>
      <c r="K66" s="328" t="s">
        <v>129</v>
      </c>
      <c r="L66" s="328" t="s">
        <v>132</v>
      </c>
      <c r="M66" s="321">
        <v>1</v>
      </c>
      <c r="N66" s="321">
        <v>0</v>
      </c>
      <c r="O66" s="510">
        <v>41913</v>
      </c>
      <c r="P66" s="510">
        <v>41944</v>
      </c>
      <c r="Q66" s="510">
        <v>41974</v>
      </c>
      <c r="R66" s="510">
        <v>42278</v>
      </c>
      <c r="S66" s="309" t="s">
        <v>128</v>
      </c>
      <c r="T66" s="341"/>
      <c r="U66" s="320">
        <v>726897444.4368</v>
      </c>
    </row>
    <row r="67" spans="1:21" s="293" customFormat="1" x14ac:dyDescent="0.2">
      <c r="A67" s="497">
        <v>3</v>
      </c>
      <c r="B67" s="497" t="s">
        <v>987</v>
      </c>
      <c r="C67" s="497">
        <v>2</v>
      </c>
      <c r="D67" s="497">
        <f t="shared" si="4"/>
        <v>36</v>
      </c>
      <c r="E67" s="495" t="s">
        <v>341</v>
      </c>
      <c r="F67" s="313" t="s">
        <v>213</v>
      </c>
      <c r="G67" s="313" t="s">
        <v>215</v>
      </c>
      <c r="H67" s="311" t="s">
        <v>130</v>
      </c>
      <c r="I67" s="314">
        <f t="shared" si="2"/>
        <v>1441043.9890229986</v>
      </c>
      <c r="J67" s="326">
        <f t="shared" si="3"/>
        <v>1441043.9890229986</v>
      </c>
      <c r="K67" s="328" t="s">
        <v>129</v>
      </c>
      <c r="L67" s="328" t="s">
        <v>132</v>
      </c>
      <c r="M67" s="321">
        <v>1</v>
      </c>
      <c r="N67" s="321">
        <v>0</v>
      </c>
      <c r="O67" s="510">
        <v>41913</v>
      </c>
      <c r="P67" s="510">
        <v>41944</v>
      </c>
      <c r="Q67" s="510">
        <v>41974</v>
      </c>
      <c r="R67" s="510">
        <v>42278</v>
      </c>
      <c r="S67" s="309" t="s">
        <v>128</v>
      </c>
      <c r="T67" s="341"/>
      <c r="U67" s="320">
        <v>726897444.4368</v>
      </c>
    </row>
    <row r="68" spans="1:21" s="293" customFormat="1" x14ac:dyDescent="0.2">
      <c r="A68" s="497">
        <v>3</v>
      </c>
      <c r="B68" s="497" t="s">
        <v>988</v>
      </c>
      <c r="C68" s="497">
        <v>2</v>
      </c>
      <c r="D68" s="497">
        <f t="shared" si="4"/>
        <v>37</v>
      </c>
      <c r="E68" s="494" t="s">
        <v>342</v>
      </c>
      <c r="F68" s="313" t="s">
        <v>234</v>
      </c>
      <c r="G68" s="313" t="s">
        <v>236</v>
      </c>
      <c r="H68" s="311" t="s">
        <v>130</v>
      </c>
      <c r="I68" s="314">
        <f t="shared" si="2"/>
        <v>1441043.9908414683</v>
      </c>
      <c r="J68" s="326">
        <f t="shared" si="3"/>
        <v>1441043.9908414683</v>
      </c>
      <c r="K68" s="328" t="s">
        <v>129</v>
      </c>
      <c r="L68" s="328" t="s">
        <v>132</v>
      </c>
      <c r="M68" s="321">
        <v>1</v>
      </c>
      <c r="N68" s="321">
        <v>0</v>
      </c>
      <c r="O68" s="510">
        <v>41913</v>
      </c>
      <c r="P68" s="510">
        <v>41944</v>
      </c>
      <c r="Q68" s="510">
        <v>41974</v>
      </c>
      <c r="R68" s="510">
        <v>42278</v>
      </c>
      <c r="S68" s="309" t="s">
        <v>128</v>
      </c>
      <c r="T68" s="341"/>
      <c r="U68" s="307">
        <v>726897445.35408008</v>
      </c>
    </row>
    <row r="69" spans="1:21" s="293" customFormat="1" x14ac:dyDescent="0.2">
      <c r="A69" s="497">
        <v>3</v>
      </c>
      <c r="B69" s="497" t="s">
        <v>989</v>
      </c>
      <c r="C69" s="497">
        <v>2</v>
      </c>
      <c r="D69" s="497">
        <f t="shared" si="4"/>
        <v>38</v>
      </c>
      <c r="E69" s="495" t="s">
        <v>343</v>
      </c>
      <c r="F69" s="313" t="s">
        <v>221</v>
      </c>
      <c r="G69" s="313" t="s">
        <v>240</v>
      </c>
      <c r="H69" s="311" t="s">
        <v>130</v>
      </c>
      <c r="I69" s="314">
        <f t="shared" si="2"/>
        <v>1111819.7844652047</v>
      </c>
      <c r="J69" s="326">
        <f t="shared" si="3"/>
        <v>1111819.7844652047</v>
      </c>
      <c r="K69" s="328" t="s">
        <v>129</v>
      </c>
      <c r="L69" s="328" t="s">
        <v>132</v>
      </c>
      <c r="M69" s="321">
        <v>1</v>
      </c>
      <c r="N69" s="321">
        <v>0</v>
      </c>
      <c r="O69" s="510">
        <v>41913</v>
      </c>
      <c r="P69" s="510">
        <v>41944</v>
      </c>
      <c r="Q69" s="510">
        <v>41974</v>
      </c>
      <c r="R69" s="510">
        <v>42278</v>
      </c>
      <c r="S69" s="309" t="s">
        <v>128</v>
      </c>
      <c r="T69" s="341"/>
      <c r="U69" s="320">
        <v>560828792.29104006</v>
      </c>
    </row>
    <row r="70" spans="1:21" s="293" customFormat="1" x14ac:dyDescent="0.2">
      <c r="A70" s="497">
        <v>3</v>
      </c>
      <c r="B70" s="497" t="s">
        <v>990</v>
      </c>
      <c r="C70" s="497">
        <v>2</v>
      </c>
      <c r="D70" s="497">
        <f t="shared" si="4"/>
        <v>39</v>
      </c>
      <c r="E70" s="495" t="s">
        <v>344</v>
      </c>
      <c r="F70" s="313" t="s">
        <v>213</v>
      </c>
      <c r="G70" s="313" t="s">
        <v>213</v>
      </c>
      <c r="H70" s="311" t="s">
        <v>130</v>
      </c>
      <c r="I70" s="314">
        <f t="shared" si="2"/>
        <v>1111819.7844652047</v>
      </c>
      <c r="J70" s="326">
        <f t="shared" si="3"/>
        <v>1111819.7844652047</v>
      </c>
      <c r="K70" s="328" t="s">
        <v>129</v>
      </c>
      <c r="L70" s="328" t="s">
        <v>132</v>
      </c>
      <c r="M70" s="321">
        <v>1</v>
      </c>
      <c r="N70" s="321">
        <v>0</v>
      </c>
      <c r="O70" s="510">
        <v>41913</v>
      </c>
      <c r="P70" s="510">
        <v>41944</v>
      </c>
      <c r="Q70" s="510">
        <v>41974</v>
      </c>
      <c r="R70" s="510">
        <v>42278</v>
      </c>
      <c r="S70" s="309" t="s">
        <v>128</v>
      </c>
      <c r="T70" s="341"/>
      <c r="U70" s="320">
        <v>560828792.29104006</v>
      </c>
    </row>
    <row r="71" spans="1:21" s="293" customFormat="1" x14ac:dyDescent="0.2">
      <c r="A71" s="497">
        <v>3</v>
      </c>
      <c r="B71" s="497" t="s">
        <v>991</v>
      </c>
      <c r="C71" s="497">
        <v>2</v>
      </c>
      <c r="D71" s="497">
        <f t="shared" si="4"/>
        <v>40</v>
      </c>
      <c r="E71" s="494" t="s">
        <v>345</v>
      </c>
      <c r="F71" s="313" t="s">
        <v>213</v>
      </c>
      <c r="G71" s="313" t="s">
        <v>215</v>
      </c>
      <c r="H71" s="311" t="s">
        <v>130</v>
      </c>
      <c r="I71" s="314">
        <f t="shared" si="2"/>
        <v>618988.42660982616</v>
      </c>
      <c r="J71" s="326">
        <f t="shared" si="3"/>
        <v>618988.42660982616</v>
      </c>
      <c r="K71" s="328" t="s">
        <v>129</v>
      </c>
      <c r="L71" s="328" t="s">
        <v>132</v>
      </c>
      <c r="M71" s="321">
        <v>1</v>
      </c>
      <c r="N71" s="321">
        <v>0</v>
      </c>
      <c r="O71" s="510">
        <v>41913</v>
      </c>
      <c r="P71" s="510">
        <v>41944</v>
      </c>
      <c r="Q71" s="510">
        <v>41974</v>
      </c>
      <c r="R71" s="510">
        <v>42278</v>
      </c>
      <c r="S71" s="309" t="s">
        <v>128</v>
      </c>
      <c r="T71" s="341"/>
      <c r="U71" s="320">
        <v>312232734.64656007</v>
      </c>
    </row>
    <row r="72" spans="1:21" s="293" customFormat="1" x14ac:dyDescent="0.2">
      <c r="A72" s="497">
        <v>3</v>
      </c>
      <c r="B72" s="497" t="s">
        <v>992</v>
      </c>
      <c r="C72" s="497">
        <v>2</v>
      </c>
      <c r="D72" s="497">
        <f t="shared" si="4"/>
        <v>41</v>
      </c>
      <c r="E72" s="494" t="s">
        <v>346</v>
      </c>
      <c r="F72" s="313" t="s">
        <v>208</v>
      </c>
      <c r="G72" s="313" t="s">
        <v>209</v>
      </c>
      <c r="H72" s="311" t="s">
        <v>130</v>
      </c>
      <c r="I72" s="314">
        <f t="shared" si="2"/>
        <v>711098.1927721313</v>
      </c>
      <c r="J72" s="326">
        <f t="shared" si="3"/>
        <v>711098.1927721313</v>
      </c>
      <c r="K72" s="328" t="s">
        <v>129</v>
      </c>
      <c r="L72" s="328" t="s">
        <v>132</v>
      </c>
      <c r="M72" s="321">
        <v>1</v>
      </c>
      <c r="N72" s="321">
        <v>0</v>
      </c>
      <c r="O72" s="510">
        <v>41913</v>
      </c>
      <c r="P72" s="510">
        <v>41944</v>
      </c>
      <c r="Q72" s="510">
        <v>41974</v>
      </c>
      <c r="R72" s="510">
        <v>42278</v>
      </c>
      <c r="S72" s="309" t="s">
        <v>128</v>
      </c>
      <c r="T72" s="341"/>
      <c r="U72" s="320">
        <v>358695128.67552006</v>
      </c>
    </row>
    <row r="73" spans="1:21" s="293" customFormat="1" x14ac:dyDescent="0.2">
      <c r="A73" s="497">
        <v>3</v>
      </c>
      <c r="B73" s="497" t="s">
        <v>993</v>
      </c>
      <c r="C73" s="497">
        <v>2</v>
      </c>
      <c r="D73" s="497">
        <f t="shared" si="4"/>
        <v>42</v>
      </c>
      <c r="E73" s="494" t="s">
        <v>347</v>
      </c>
      <c r="F73" s="313" t="s">
        <v>234</v>
      </c>
      <c r="G73" s="313" t="s">
        <v>242</v>
      </c>
      <c r="H73" s="311" t="s">
        <v>130</v>
      </c>
      <c r="I73" s="314">
        <f t="shared" si="2"/>
        <v>666556.50998592225</v>
      </c>
      <c r="J73" s="326">
        <f t="shared" si="3"/>
        <v>666556.50998592225</v>
      </c>
      <c r="K73" s="328" t="s">
        <v>129</v>
      </c>
      <c r="L73" s="328" t="s">
        <v>132</v>
      </c>
      <c r="M73" s="321">
        <v>1</v>
      </c>
      <c r="N73" s="321">
        <v>0</v>
      </c>
      <c r="O73" s="510">
        <v>41913</v>
      </c>
      <c r="P73" s="510">
        <v>41944</v>
      </c>
      <c r="Q73" s="510">
        <v>41974</v>
      </c>
      <c r="R73" s="510">
        <v>42278</v>
      </c>
      <c r="S73" s="309" t="s">
        <v>128</v>
      </c>
      <c r="T73" s="341"/>
      <c r="U73" s="307">
        <v>336227226.49151999</v>
      </c>
    </row>
    <row r="74" spans="1:21" s="293" customFormat="1" x14ac:dyDescent="0.2">
      <c r="A74" s="497">
        <v>3</v>
      </c>
      <c r="B74" s="497" t="s">
        <v>994</v>
      </c>
      <c r="C74" s="497">
        <v>2</v>
      </c>
      <c r="D74" s="497">
        <f t="shared" si="4"/>
        <v>43</v>
      </c>
      <c r="E74" s="494" t="s">
        <v>348</v>
      </c>
      <c r="F74" s="313" t="s">
        <v>234</v>
      </c>
      <c r="G74" s="313" t="s">
        <v>242</v>
      </c>
      <c r="H74" s="311" t="s">
        <v>130</v>
      </c>
      <c r="I74" s="314">
        <f t="shared" si="2"/>
        <v>618988.42660982616</v>
      </c>
      <c r="J74" s="326">
        <f t="shared" si="3"/>
        <v>618988.42660982616</v>
      </c>
      <c r="K74" s="328" t="s">
        <v>129</v>
      </c>
      <c r="L74" s="328" t="s">
        <v>132</v>
      </c>
      <c r="M74" s="321">
        <v>1</v>
      </c>
      <c r="N74" s="321">
        <v>0</v>
      </c>
      <c r="O74" s="510">
        <v>41913</v>
      </c>
      <c r="P74" s="510">
        <v>41944</v>
      </c>
      <c r="Q74" s="510">
        <v>41974</v>
      </c>
      <c r="R74" s="510">
        <v>42278</v>
      </c>
      <c r="S74" s="309" t="s">
        <v>128</v>
      </c>
      <c r="T74" s="341"/>
      <c r="U74" s="320">
        <v>312232734.64656007</v>
      </c>
    </row>
    <row r="75" spans="1:21" s="293" customFormat="1" x14ac:dyDescent="0.2">
      <c r="A75" s="497">
        <v>3</v>
      </c>
      <c r="B75" s="497" t="s">
        <v>995</v>
      </c>
      <c r="C75" s="497">
        <v>2</v>
      </c>
      <c r="D75" s="497">
        <f t="shared" si="4"/>
        <v>44</v>
      </c>
      <c r="E75" s="494" t="s">
        <v>349</v>
      </c>
      <c r="F75" s="313" t="s">
        <v>218</v>
      </c>
      <c r="G75" s="313" t="s">
        <v>245</v>
      </c>
      <c r="H75" s="311" t="s">
        <v>130</v>
      </c>
      <c r="I75" s="314">
        <f t="shared" si="2"/>
        <v>618988.42660982616</v>
      </c>
      <c r="J75" s="326">
        <f t="shared" si="3"/>
        <v>618988.42660982616</v>
      </c>
      <c r="K75" s="328" t="s">
        <v>129</v>
      </c>
      <c r="L75" s="328" t="s">
        <v>132</v>
      </c>
      <c r="M75" s="321">
        <v>1</v>
      </c>
      <c r="N75" s="321">
        <v>0</v>
      </c>
      <c r="O75" s="510">
        <v>41913</v>
      </c>
      <c r="P75" s="510">
        <v>41944</v>
      </c>
      <c r="Q75" s="510">
        <v>41974</v>
      </c>
      <c r="R75" s="510">
        <v>42278</v>
      </c>
      <c r="S75" s="309" t="s">
        <v>128</v>
      </c>
      <c r="T75" s="341"/>
      <c r="U75" s="307">
        <v>312232734.64656007</v>
      </c>
    </row>
    <row r="76" spans="1:21" s="293" customFormat="1" x14ac:dyDescent="0.2">
      <c r="A76" s="497">
        <v>3</v>
      </c>
      <c r="B76" s="497" t="s">
        <v>996</v>
      </c>
      <c r="C76" s="497">
        <v>2</v>
      </c>
      <c r="D76" s="497">
        <f t="shared" si="4"/>
        <v>45</v>
      </c>
      <c r="E76" s="494" t="s">
        <v>350</v>
      </c>
      <c r="F76" s="313" t="s">
        <v>213</v>
      </c>
      <c r="G76" s="313" t="s">
        <v>216</v>
      </c>
      <c r="H76" s="311" t="s">
        <v>130</v>
      </c>
      <c r="I76" s="314">
        <f t="shared" si="2"/>
        <v>666556.50998592225</v>
      </c>
      <c r="J76" s="326">
        <f t="shared" si="3"/>
        <v>666556.50998592225</v>
      </c>
      <c r="K76" s="328" t="s">
        <v>129</v>
      </c>
      <c r="L76" s="328" t="s">
        <v>132</v>
      </c>
      <c r="M76" s="321">
        <v>1</v>
      </c>
      <c r="N76" s="321">
        <v>0</v>
      </c>
      <c r="O76" s="510">
        <v>41913</v>
      </c>
      <c r="P76" s="510">
        <v>41944</v>
      </c>
      <c r="Q76" s="510">
        <v>41974</v>
      </c>
      <c r="R76" s="510">
        <v>42278</v>
      </c>
      <c r="S76" s="309" t="s">
        <v>128</v>
      </c>
      <c r="T76" s="341"/>
      <c r="U76" s="320">
        <v>336227226.49151999</v>
      </c>
    </row>
    <row r="77" spans="1:21" s="293" customFormat="1" x14ac:dyDescent="0.2">
      <c r="A77" s="497">
        <v>3</v>
      </c>
      <c r="B77" s="497" t="s">
        <v>997</v>
      </c>
      <c r="C77" s="497">
        <v>2</v>
      </c>
      <c r="D77" s="497">
        <f t="shared" si="4"/>
        <v>46</v>
      </c>
      <c r="E77" s="495" t="s">
        <v>351</v>
      </c>
      <c r="F77" s="313" t="s">
        <v>208</v>
      </c>
      <c r="G77" s="313" t="s">
        <v>246</v>
      </c>
      <c r="H77" s="311" t="s">
        <v>130</v>
      </c>
      <c r="I77" s="314">
        <f t="shared" si="2"/>
        <v>618988.42660982616</v>
      </c>
      <c r="J77" s="326">
        <f t="shared" si="3"/>
        <v>618988.42660982616</v>
      </c>
      <c r="K77" s="328" t="s">
        <v>129</v>
      </c>
      <c r="L77" s="328" t="s">
        <v>132</v>
      </c>
      <c r="M77" s="321">
        <v>1</v>
      </c>
      <c r="N77" s="321">
        <v>0</v>
      </c>
      <c r="O77" s="510">
        <v>41913</v>
      </c>
      <c r="P77" s="510">
        <v>41944</v>
      </c>
      <c r="Q77" s="510">
        <v>41974</v>
      </c>
      <c r="R77" s="510">
        <v>42278</v>
      </c>
      <c r="S77" s="309" t="s">
        <v>128</v>
      </c>
      <c r="T77" s="341"/>
      <c r="U77" s="320">
        <v>312232734.64656007</v>
      </c>
    </row>
    <row r="78" spans="1:21" s="293" customFormat="1" x14ac:dyDescent="0.2">
      <c r="A78" s="497">
        <v>3</v>
      </c>
      <c r="B78" s="497" t="s">
        <v>998</v>
      </c>
      <c r="C78" s="497">
        <v>2</v>
      </c>
      <c r="D78" s="497">
        <f t="shared" si="4"/>
        <v>47</v>
      </c>
      <c r="E78" s="494" t="s">
        <v>352</v>
      </c>
      <c r="F78" s="313" t="s">
        <v>234</v>
      </c>
      <c r="G78" s="313" t="s">
        <v>250</v>
      </c>
      <c r="H78" s="311" t="s">
        <v>130</v>
      </c>
      <c r="I78" s="314">
        <f t="shared" si="2"/>
        <v>666556.50998592225</v>
      </c>
      <c r="J78" s="326">
        <f t="shared" si="3"/>
        <v>666556.50998592225</v>
      </c>
      <c r="K78" s="328" t="s">
        <v>129</v>
      </c>
      <c r="L78" s="328" t="s">
        <v>132</v>
      </c>
      <c r="M78" s="321">
        <v>1</v>
      </c>
      <c r="N78" s="321">
        <v>0</v>
      </c>
      <c r="O78" s="510">
        <v>41913</v>
      </c>
      <c r="P78" s="510">
        <v>41944</v>
      </c>
      <c r="Q78" s="510">
        <v>41974</v>
      </c>
      <c r="R78" s="510">
        <v>42278</v>
      </c>
      <c r="S78" s="309" t="s">
        <v>128</v>
      </c>
      <c r="T78" s="341"/>
      <c r="U78" s="320">
        <v>336227226.49151999</v>
      </c>
    </row>
    <row r="79" spans="1:21" s="293" customFormat="1" x14ac:dyDescent="0.2">
      <c r="A79" s="497">
        <v>3</v>
      </c>
      <c r="B79" s="497" t="s">
        <v>999</v>
      </c>
      <c r="C79" s="497">
        <v>2</v>
      </c>
      <c r="D79" s="497">
        <f t="shared" si="4"/>
        <v>48</v>
      </c>
      <c r="E79" s="494" t="s">
        <v>353</v>
      </c>
      <c r="F79" s="313" t="s">
        <v>234</v>
      </c>
      <c r="G79" s="313" t="s">
        <v>252</v>
      </c>
      <c r="H79" s="311" t="s">
        <v>130</v>
      </c>
      <c r="I79" s="314">
        <f t="shared" si="2"/>
        <v>618988.42660982616</v>
      </c>
      <c r="J79" s="326">
        <f t="shared" si="3"/>
        <v>618988.42660982616</v>
      </c>
      <c r="K79" s="328" t="s">
        <v>129</v>
      </c>
      <c r="L79" s="328" t="s">
        <v>132</v>
      </c>
      <c r="M79" s="321">
        <v>1</v>
      </c>
      <c r="N79" s="321">
        <v>0</v>
      </c>
      <c r="O79" s="510">
        <v>41913</v>
      </c>
      <c r="P79" s="510">
        <v>41944</v>
      </c>
      <c r="Q79" s="510">
        <v>41974</v>
      </c>
      <c r="R79" s="510">
        <v>42278</v>
      </c>
      <c r="S79" s="309" t="s">
        <v>128</v>
      </c>
      <c r="T79" s="341"/>
      <c r="U79" s="320">
        <v>312232734.64656007</v>
      </c>
    </row>
    <row r="80" spans="1:21" s="293" customFormat="1" x14ac:dyDescent="0.2">
      <c r="A80" s="497">
        <v>3</v>
      </c>
      <c r="B80" s="497" t="s">
        <v>1000</v>
      </c>
      <c r="C80" s="497">
        <v>2</v>
      </c>
      <c r="D80" s="497">
        <f t="shared" si="4"/>
        <v>49</v>
      </c>
      <c r="E80" s="494" t="s">
        <v>354</v>
      </c>
      <c r="F80" s="313" t="s">
        <v>217</v>
      </c>
      <c r="G80" s="313" t="s">
        <v>239</v>
      </c>
      <c r="H80" s="311" t="s">
        <v>130</v>
      </c>
      <c r="I80" s="314">
        <f t="shared" si="2"/>
        <v>618988.42660982616</v>
      </c>
      <c r="J80" s="326">
        <f t="shared" si="3"/>
        <v>618988.42660982616</v>
      </c>
      <c r="K80" s="328" t="s">
        <v>129</v>
      </c>
      <c r="L80" s="328" t="s">
        <v>132</v>
      </c>
      <c r="M80" s="321">
        <v>1</v>
      </c>
      <c r="N80" s="321">
        <v>0</v>
      </c>
      <c r="O80" s="510">
        <v>41913</v>
      </c>
      <c r="P80" s="510">
        <v>41944</v>
      </c>
      <c r="Q80" s="510">
        <v>41974</v>
      </c>
      <c r="R80" s="510">
        <v>42278</v>
      </c>
      <c r="S80" s="309" t="s">
        <v>128</v>
      </c>
      <c r="T80" s="341"/>
      <c r="U80" s="320">
        <v>312232734.64656007</v>
      </c>
    </row>
    <row r="81" spans="1:21" s="293" customFormat="1" x14ac:dyDescent="0.2">
      <c r="A81" s="497">
        <v>3</v>
      </c>
      <c r="B81" s="497" t="s">
        <v>1001</v>
      </c>
      <c r="C81" s="497">
        <v>2</v>
      </c>
      <c r="D81" s="497">
        <f t="shared" si="4"/>
        <v>50</v>
      </c>
      <c r="E81" s="494" t="s">
        <v>355</v>
      </c>
      <c r="F81" s="313" t="s">
        <v>225</v>
      </c>
      <c r="G81" s="313" t="s">
        <v>226</v>
      </c>
      <c r="H81" s="311" t="s">
        <v>130</v>
      </c>
      <c r="I81" s="314">
        <f t="shared" ref="I81:I110" si="5">+U81/$AE$1</f>
        <v>618988.42660982616</v>
      </c>
      <c r="J81" s="326">
        <f t="shared" si="3"/>
        <v>618988.42660982616</v>
      </c>
      <c r="K81" s="328" t="s">
        <v>129</v>
      </c>
      <c r="L81" s="328" t="s">
        <v>132</v>
      </c>
      <c r="M81" s="321">
        <v>1</v>
      </c>
      <c r="N81" s="321">
        <v>0</v>
      </c>
      <c r="O81" s="510">
        <v>41913</v>
      </c>
      <c r="P81" s="510">
        <v>41944</v>
      </c>
      <c r="Q81" s="510">
        <v>41974</v>
      </c>
      <c r="R81" s="510">
        <v>42278</v>
      </c>
      <c r="S81" s="309" t="s">
        <v>128</v>
      </c>
      <c r="T81" s="341"/>
      <c r="U81" s="320">
        <v>312232734.64656007</v>
      </c>
    </row>
    <row r="82" spans="1:21" s="293" customFormat="1" x14ac:dyDescent="0.2">
      <c r="A82" s="497">
        <v>3</v>
      </c>
      <c r="B82" s="497" t="s">
        <v>1002</v>
      </c>
      <c r="C82" s="497">
        <v>2</v>
      </c>
      <c r="D82" s="497">
        <f t="shared" si="4"/>
        <v>51</v>
      </c>
      <c r="E82" s="494" t="s">
        <v>356</v>
      </c>
      <c r="F82" s="313" t="s">
        <v>234</v>
      </c>
      <c r="G82" s="313" t="s">
        <v>256</v>
      </c>
      <c r="H82" s="311" t="s">
        <v>130</v>
      </c>
      <c r="I82" s="314">
        <f t="shared" si="5"/>
        <v>618988.42660982616</v>
      </c>
      <c r="J82" s="326">
        <f t="shared" si="3"/>
        <v>618988.42660982616</v>
      </c>
      <c r="K82" s="328" t="s">
        <v>129</v>
      </c>
      <c r="L82" s="328" t="s">
        <v>132</v>
      </c>
      <c r="M82" s="321">
        <v>1</v>
      </c>
      <c r="N82" s="321">
        <v>0</v>
      </c>
      <c r="O82" s="510">
        <v>41913</v>
      </c>
      <c r="P82" s="510">
        <v>41944</v>
      </c>
      <c r="Q82" s="510">
        <v>41974</v>
      </c>
      <c r="R82" s="510">
        <v>42278</v>
      </c>
      <c r="S82" s="309" t="s">
        <v>128</v>
      </c>
      <c r="T82" s="341"/>
      <c r="U82" s="320">
        <v>312232734.64656007</v>
      </c>
    </row>
    <row r="83" spans="1:21" s="293" customFormat="1" x14ac:dyDescent="0.2">
      <c r="A83" s="497">
        <v>3</v>
      </c>
      <c r="B83" s="497" t="s">
        <v>1003</v>
      </c>
      <c r="C83" s="497">
        <v>2</v>
      </c>
      <c r="D83" s="497">
        <f t="shared" si="4"/>
        <v>52</v>
      </c>
      <c r="E83" s="494" t="s">
        <v>357</v>
      </c>
      <c r="F83" s="313" t="s">
        <v>225</v>
      </c>
      <c r="G83" s="313" t="s">
        <v>226</v>
      </c>
      <c r="H83" s="311" t="s">
        <v>130</v>
      </c>
      <c r="I83" s="314">
        <f t="shared" si="5"/>
        <v>618988.42660982616</v>
      </c>
      <c r="J83" s="326">
        <f t="shared" si="3"/>
        <v>618988.42660982616</v>
      </c>
      <c r="K83" s="328" t="s">
        <v>129</v>
      </c>
      <c r="L83" s="328" t="s">
        <v>132</v>
      </c>
      <c r="M83" s="321">
        <v>1</v>
      </c>
      <c r="N83" s="321">
        <v>0</v>
      </c>
      <c r="O83" s="510">
        <v>41913</v>
      </c>
      <c r="P83" s="510">
        <v>41944</v>
      </c>
      <c r="Q83" s="510">
        <v>41974</v>
      </c>
      <c r="R83" s="510">
        <v>42278</v>
      </c>
      <c r="S83" s="309" t="s">
        <v>128</v>
      </c>
      <c r="T83" s="341"/>
      <c r="U83" s="320">
        <v>312232734.64656007</v>
      </c>
    </row>
    <row r="84" spans="1:21" s="293" customFormat="1" x14ac:dyDescent="0.2">
      <c r="A84" s="497">
        <v>4</v>
      </c>
      <c r="B84" s="497" t="s">
        <v>1004</v>
      </c>
      <c r="C84" s="497">
        <v>2</v>
      </c>
      <c r="D84" s="497">
        <f t="shared" si="4"/>
        <v>53</v>
      </c>
      <c r="E84" s="495" t="s">
        <v>358</v>
      </c>
      <c r="F84" s="313" t="s">
        <v>225</v>
      </c>
      <c r="G84" s="313" t="s">
        <v>226</v>
      </c>
      <c r="H84" s="311" t="s">
        <v>130</v>
      </c>
      <c r="I84" s="314">
        <f t="shared" si="5"/>
        <v>988042.85901832755</v>
      </c>
      <c r="J84" s="326">
        <f t="shared" si="3"/>
        <v>988042.85901832755</v>
      </c>
      <c r="K84" s="328" t="s">
        <v>129</v>
      </c>
      <c r="L84" s="328" t="s">
        <v>132</v>
      </c>
      <c r="M84" s="321">
        <v>1</v>
      </c>
      <c r="N84" s="321">
        <v>0</v>
      </c>
      <c r="O84" s="510">
        <v>42278</v>
      </c>
      <c r="P84" s="510">
        <v>42309</v>
      </c>
      <c r="Q84" s="510">
        <v>42339</v>
      </c>
      <c r="R84" s="510">
        <v>42644</v>
      </c>
      <c r="S84" s="309" t="s">
        <v>128</v>
      </c>
      <c r="T84" s="341"/>
      <c r="U84" s="320">
        <v>498392717.14486808</v>
      </c>
    </row>
    <row r="85" spans="1:21" s="293" customFormat="1" x14ac:dyDescent="0.2">
      <c r="A85" s="497">
        <v>4</v>
      </c>
      <c r="B85" s="497" t="s">
        <v>1005</v>
      </c>
      <c r="C85" s="497">
        <v>2</v>
      </c>
      <c r="D85" s="497">
        <f t="shared" si="4"/>
        <v>54</v>
      </c>
      <c r="E85" s="494" t="s">
        <v>359</v>
      </c>
      <c r="F85" s="313" t="s">
        <v>218</v>
      </c>
      <c r="G85" s="313" t="s">
        <v>237</v>
      </c>
      <c r="H85" s="311" t="s">
        <v>130</v>
      </c>
      <c r="I85" s="314">
        <f t="shared" si="5"/>
        <v>1641397.6150875601</v>
      </c>
      <c r="J85" s="326">
        <f t="shared" si="3"/>
        <v>1641397.6150875601</v>
      </c>
      <c r="K85" s="328" t="s">
        <v>129</v>
      </c>
      <c r="L85" s="328" t="s">
        <v>132</v>
      </c>
      <c r="M85" s="321">
        <v>1</v>
      </c>
      <c r="N85" s="321">
        <v>0</v>
      </c>
      <c r="O85" s="510">
        <v>42278</v>
      </c>
      <c r="P85" s="510">
        <v>42309</v>
      </c>
      <c r="Q85" s="510">
        <v>42339</v>
      </c>
      <c r="R85" s="510">
        <v>42644</v>
      </c>
      <c r="S85" s="309" t="s">
        <v>128</v>
      </c>
      <c r="T85" s="341"/>
      <c r="U85" s="307">
        <v>827960659.63310707</v>
      </c>
    </row>
    <row r="86" spans="1:21" s="293" customFormat="1" x14ac:dyDescent="0.2">
      <c r="A86" s="497">
        <v>4</v>
      </c>
      <c r="B86" s="497" t="s">
        <v>1006</v>
      </c>
      <c r="C86" s="497">
        <v>2</v>
      </c>
      <c r="D86" s="497">
        <f t="shared" si="4"/>
        <v>55</v>
      </c>
      <c r="E86" s="494" t="s">
        <v>360</v>
      </c>
      <c r="F86" s="313" t="s">
        <v>218</v>
      </c>
      <c r="G86" s="313" t="s">
        <v>238</v>
      </c>
      <c r="H86" s="311" t="s">
        <v>130</v>
      </c>
      <c r="I86" s="314">
        <f t="shared" si="5"/>
        <v>3109227.7721051597</v>
      </c>
      <c r="J86" s="326">
        <f t="shared" si="3"/>
        <v>3109227.7721051597</v>
      </c>
      <c r="K86" s="328" t="s">
        <v>129</v>
      </c>
      <c r="L86" s="328" t="s">
        <v>132</v>
      </c>
      <c r="M86" s="321">
        <v>1</v>
      </c>
      <c r="N86" s="321">
        <v>0</v>
      </c>
      <c r="O86" s="510">
        <v>42217</v>
      </c>
      <c r="P86" s="510">
        <v>42309</v>
      </c>
      <c r="Q86" s="510">
        <v>42339</v>
      </c>
      <c r="R86" s="510">
        <v>42644</v>
      </c>
      <c r="S86" s="309" t="s">
        <v>128</v>
      </c>
      <c r="T86" s="341"/>
      <c r="U86" s="307">
        <v>1568369695.1176801</v>
      </c>
    </row>
    <row r="87" spans="1:21" s="293" customFormat="1" x14ac:dyDescent="0.2">
      <c r="A87" s="497">
        <v>4</v>
      </c>
      <c r="B87" s="497" t="s">
        <v>1007</v>
      </c>
      <c r="C87" s="497">
        <v>2</v>
      </c>
      <c r="D87" s="497">
        <f t="shared" si="4"/>
        <v>56</v>
      </c>
      <c r="E87" s="494" t="s">
        <v>361</v>
      </c>
      <c r="F87" s="313" t="s">
        <v>217</v>
      </c>
      <c r="G87" s="313" t="s">
        <v>239</v>
      </c>
      <c r="H87" s="311" t="s">
        <v>130</v>
      </c>
      <c r="I87" s="314">
        <f t="shared" si="5"/>
        <v>2216096.6236940599</v>
      </c>
      <c r="J87" s="326">
        <f t="shared" si="3"/>
        <v>2216096.6236940599</v>
      </c>
      <c r="K87" s="328" t="s">
        <v>129</v>
      </c>
      <c r="L87" s="328" t="s">
        <v>132</v>
      </c>
      <c r="M87" s="321">
        <v>1</v>
      </c>
      <c r="N87" s="321">
        <v>0</v>
      </c>
      <c r="O87" s="510">
        <v>42278</v>
      </c>
      <c r="P87" s="510">
        <v>42309</v>
      </c>
      <c r="Q87" s="510">
        <v>42339</v>
      </c>
      <c r="R87" s="510">
        <v>42644</v>
      </c>
      <c r="S87" s="309" t="s">
        <v>128</v>
      </c>
      <c r="T87" s="341"/>
      <c r="U87" s="307">
        <v>1117852740.554004</v>
      </c>
    </row>
    <row r="88" spans="1:21" s="293" customFormat="1" x14ac:dyDescent="0.2">
      <c r="A88" s="497">
        <v>4</v>
      </c>
      <c r="B88" s="497" t="s">
        <v>1008</v>
      </c>
      <c r="C88" s="497">
        <v>2</v>
      </c>
      <c r="D88" s="497">
        <f t="shared" si="4"/>
        <v>57</v>
      </c>
      <c r="E88" s="495" t="s">
        <v>362</v>
      </c>
      <c r="F88" s="313" t="s">
        <v>221</v>
      </c>
      <c r="G88" s="313" t="s">
        <v>240</v>
      </c>
      <c r="H88" s="311" t="s">
        <v>130</v>
      </c>
      <c r="I88" s="314">
        <f t="shared" si="5"/>
        <v>1513096.1884741487</v>
      </c>
      <c r="J88" s="326">
        <f t="shared" si="3"/>
        <v>1513096.1884741487</v>
      </c>
      <c r="K88" s="328" t="s">
        <v>129</v>
      </c>
      <c r="L88" s="328" t="s">
        <v>132</v>
      </c>
      <c r="M88" s="321">
        <v>1</v>
      </c>
      <c r="N88" s="321">
        <v>0</v>
      </c>
      <c r="O88" s="510">
        <v>42278</v>
      </c>
      <c r="P88" s="510">
        <v>42309</v>
      </c>
      <c r="Q88" s="510">
        <v>42339</v>
      </c>
      <c r="R88" s="510">
        <v>42644</v>
      </c>
      <c r="S88" s="309" t="s">
        <v>128</v>
      </c>
      <c r="T88" s="341"/>
      <c r="U88" s="320">
        <v>763242316.65864003</v>
      </c>
    </row>
    <row r="89" spans="1:21" s="293" customFormat="1" x14ac:dyDescent="0.2">
      <c r="A89" s="497">
        <v>4</v>
      </c>
      <c r="B89" s="497" t="s">
        <v>1009</v>
      </c>
      <c r="C89" s="497">
        <v>2</v>
      </c>
      <c r="D89" s="497">
        <f t="shared" si="4"/>
        <v>58</v>
      </c>
      <c r="E89" s="338" t="s">
        <v>363</v>
      </c>
      <c r="F89" s="313" t="s">
        <v>218</v>
      </c>
      <c r="G89" s="313" t="s">
        <v>218</v>
      </c>
      <c r="H89" s="311" t="s">
        <v>130</v>
      </c>
      <c r="I89" s="314">
        <f t="shared" si="5"/>
        <v>173569.05551585567</v>
      </c>
      <c r="J89" s="326">
        <f t="shared" si="3"/>
        <v>173569.05551585567</v>
      </c>
      <c r="K89" s="328" t="s">
        <v>129</v>
      </c>
      <c r="L89" s="328" t="s">
        <v>132</v>
      </c>
      <c r="M89" s="321">
        <v>1</v>
      </c>
      <c r="N89" s="321">
        <v>0</v>
      </c>
      <c r="O89" s="510">
        <v>42278</v>
      </c>
      <c r="P89" s="510">
        <v>42309</v>
      </c>
      <c r="Q89" s="510">
        <v>42339</v>
      </c>
      <c r="R89" s="510">
        <v>42644</v>
      </c>
      <c r="S89" s="309" t="s">
        <v>128</v>
      </c>
      <c r="T89" s="341"/>
      <c r="U89" s="307">
        <v>87552429.938882992</v>
      </c>
    </row>
    <row r="90" spans="1:21" s="293" customFormat="1" x14ac:dyDescent="0.2">
      <c r="A90" s="497">
        <v>4</v>
      </c>
      <c r="B90" s="497" t="s">
        <v>1010</v>
      </c>
      <c r="C90" s="497">
        <v>2</v>
      </c>
      <c r="D90" s="497">
        <f t="shared" si="4"/>
        <v>59</v>
      </c>
      <c r="E90" s="332" t="s">
        <v>364</v>
      </c>
      <c r="F90" s="313" t="s">
        <v>225</v>
      </c>
      <c r="G90" s="313" t="s">
        <v>227</v>
      </c>
      <c r="H90" s="311" t="s">
        <v>130</v>
      </c>
      <c r="I90" s="314">
        <f t="shared" si="5"/>
        <v>1167410.7736884651</v>
      </c>
      <c r="J90" s="326">
        <f t="shared" si="3"/>
        <v>1167410.7736884651</v>
      </c>
      <c r="K90" s="328" t="s">
        <v>129</v>
      </c>
      <c r="L90" s="328" t="s">
        <v>132</v>
      </c>
      <c r="M90" s="321">
        <v>1</v>
      </c>
      <c r="N90" s="321">
        <v>0</v>
      </c>
      <c r="O90" s="510">
        <v>42278</v>
      </c>
      <c r="P90" s="510">
        <v>42309</v>
      </c>
      <c r="Q90" s="510">
        <v>42339</v>
      </c>
      <c r="R90" s="510">
        <v>42644</v>
      </c>
      <c r="S90" s="309" t="s">
        <v>128</v>
      </c>
      <c r="T90" s="341"/>
      <c r="U90" s="320">
        <v>588870231.90559208</v>
      </c>
    </row>
    <row r="91" spans="1:21" s="293" customFormat="1" x14ac:dyDescent="0.2">
      <c r="A91" s="497">
        <v>4</v>
      </c>
      <c r="B91" s="497" t="s">
        <v>1011</v>
      </c>
      <c r="C91" s="497">
        <v>2</v>
      </c>
      <c r="D91" s="497">
        <f t="shared" si="4"/>
        <v>60</v>
      </c>
      <c r="E91" s="332" t="s">
        <v>365</v>
      </c>
      <c r="F91" s="313" t="s">
        <v>225</v>
      </c>
      <c r="G91" s="313" t="s">
        <v>241</v>
      </c>
      <c r="H91" s="311" t="s">
        <v>130</v>
      </c>
      <c r="I91" s="314">
        <f t="shared" si="5"/>
        <v>1167410.7736884651</v>
      </c>
      <c r="J91" s="326">
        <f t="shared" si="3"/>
        <v>1167410.7736884651</v>
      </c>
      <c r="K91" s="328" t="s">
        <v>129</v>
      </c>
      <c r="L91" s="328" t="s">
        <v>132</v>
      </c>
      <c r="M91" s="321">
        <v>1</v>
      </c>
      <c r="N91" s="321">
        <v>0</v>
      </c>
      <c r="O91" s="510">
        <v>42278</v>
      </c>
      <c r="P91" s="510">
        <v>42309</v>
      </c>
      <c r="Q91" s="510">
        <v>42339</v>
      </c>
      <c r="R91" s="510">
        <v>42644</v>
      </c>
      <c r="S91" s="309" t="s">
        <v>128</v>
      </c>
      <c r="T91" s="341"/>
      <c r="U91" s="320">
        <v>588870231.90559208</v>
      </c>
    </row>
    <row r="92" spans="1:21" s="293" customFormat="1" x14ac:dyDescent="0.2">
      <c r="A92" s="497">
        <v>4</v>
      </c>
      <c r="B92" s="497" t="s">
        <v>1012</v>
      </c>
      <c r="C92" s="497">
        <v>2</v>
      </c>
      <c r="D92" s="497">
        <f t="shared" si="4"/>
        <v>61</v>
      </c>
      <c r="E92" s="338" t="s">
        <v>366</v>
      </c>
      <c r="F92" s="313" t="s">
        <v>224</v>
      </c>
      <c r="G92" s="313" t="s">
        <v>249</v>
      </c>
      <c r="H92" s="311" t="s">
        <v>130</v>
      </c>
      <c r="I92" s="314">
        <f t="shared" si="5"/>
        <v>1641397.6150875601</v>
      </c>
      <c r="J92" s="326">
        <f t="shared" si="3"/>
        <v>1641397.6150875601</v>
      </c>
      <c r="K92" s="328" t="s">
        <v>129</v>
      </c>
      <c r="L92" s="328" t="s">
        <v>132</v>
      </c>
      <c r="M92" s="321">
        <v>1</v>
      </c>
      <c r="N92" s="321">
        <v>0</v>
      </c>
      <c r="O92" s="510">
        <v>42278</v>
      </c>
      <c r="P92" s="510">
        <v>42309</v>
      </c>
      <c r="Q92" s="510">
        <v>42339</v>
      </c>
      <c r="R92" s="510">
        <v>42644</v>
      </c>
      <c r="S92" s="309" t="s">
        <v>128</v>
      </c>
      <c r="T92" s="341"/>
      <c r="U92" s="307">
        <v>827960659.63310707</v>
      </c>
    </row>
    <row r="93" spans="1:21" s="293" customFormat="1" x14ac:dyDescent="0.2">
      <c r="A93" s="497">
        <v>4</v>
      </c>
      <c r="B93" s="497" t="s">
        <v>1013</v>
      </c>
      <c r="C93" s="497">
        <v>2</v>
      </c>
      <c r="D93" s="497">
        <f t="shared" si="4"/>
        <v>62</v>
      </c>
      <c r="E93" s="338" t="s">
        <v>367</v>
      </c>
      <c r="F93" s="313" t="s">
        <v>224</v>
      </c>
      <c r="G93" s="313" t="s">
        <v>246</v>
      </c>
      <c r="H93" s="311" t="s">
        <v>130</v>
      </c>
      <c r="I93" s="314">
        <f t="shared" si="5"/>
        <v>3109225.3877506871</v>
      </c>
      <c r="J93" s="326">
        <f t="shared" si="3"/>
        <v>3109225.3877506871</v>
      </c>
      <c r="K93" s="328" t="s">
        <v>129</v>
      </c>
      <c r="L93" s="328" t="s">
        <v>132</v>
      </c>
      <c r="M93" s="321">
        <v>1</v>
      </c>
      <c r="N93" s="321">
        <v>0</v>
      </c>
      <c r="O93" s="510">
        <v>42217</v>
      </c>
      <c r="P93" s="510">
        <v>42309</v>
      </c>
      <c r="Q93" s="510">
        <v>42339</v>
      </c>
      <c r="R93" s="510">
        <v>42644</v>
      </c>
      <c r="S93" s="309" t="s">
        <v>128</v>
      </c>
      <c r="T93" s="341"/>
      <c r="U93" s="307">
        <v>1568368492.3916106</v>
      </c>
    </row>
    <row r="94" spans="1:21" s="293" customFormat="1" x14ac:dyDescent="0.2">
      <c r="A94" s="497">
        <v>4</v>
      </c>
      <c r="B94" s="497" t="s">
        <v>1014</v>
      </c>
      <c r="C94" s="497">
        <v>2</v>
      </c>
      <c r="D94" s="497">
        <f t="shared" si="4"/>
        <v>63</v>
      </c>
      <c r="E94" s="338" t="s">
        <v>368</v>
      </c>
      <c r="F94" s="313" t="s">
        <v>218</v>
      </c>
      <c r="G94" s="313" t="s">
        <v>237</v>
      </c>
      <c r="H94" s="311" t="s">
        <v>130</v>
      </c>
      <c r="I94" s="314">
        <f t="shared" si="5"/>
        <v>746653.10241073789</v>
      </c>
      <c r="J94" s="326">
        <f t="shared" si="3"/>
        <v>746653.10241073789</v>
      </c>
      <c r="K94" s="328" t="s">
        <v>129</v>
      </c>
      <c r="L94" s="328" t="s">
        <v>132</v>
      </c>
      <c r="M94" s="321">
        <v>1</v>
      </c>
      <c r="N94" s="321">
        <v>0</v>
      </c>
      <c r="O94" s="510">
        <v>42278</v>
      </c>
      <c r="P94" s="510">
        <v>42309</v>
      </c>
      <c r="Q94" s="510">
        <v>42339</v>
      </c>
      <c r="R94" s="510">
        <v>42644</v>
      </c>
      <c r="S94" s="309" t="s">
        <v>128</v>
      </c>
      <c r="T94" s="341"/>
      <c r="U94" s="320">
        <v>376629885.10929608</v>
      </c>
    </row>
    <row r="95" spans="1:21" s="293" customFormat="1" x14ac:dyDescent="0.2">
      <c r="A95" s="497">
        <v>4</v>
      </c>
      <c r="B95" s="497" t="s">
        <v>1015</v>
      </c>
      <c r="C95" s="497">
        <v>2</v>
      </c>
      <c r="D95" s="497">
        <f t="shared" si="4"/>
        <v>64</v>
      </c>
      <c r="E95" s="338" t="s">
        <v>369</v>
      </c>
      <c r="F95" s="313" t="s">
        <v>221</v>
      </c>
      <c r="G95" s="313" t="s">
        <v>240</v>
      </c>
      <c r="H95" s="311" t="s">
        <v>130</v>
      </c>
      <c r="I95" s="314">
        <f t="shared" si="5"/>
        <v>746653.10241073789</v>
      </c>
      <c r="J95" s="326">
        <f t="shared" si="3"/>
        <v>746653.10241073789</v>
      </c>
      <c r="K95" s="328" t="s">
        <v>129</v>
      </c>
      <c r="L95" s="328" t="s">
        <v>132</v>
      </c>
      <c r="M95" s="321">
        <v>1</v>
      </c>
      <c r="N95" s="321">
        <v>0</v>
      </c>
      <c r="O95" s="510">
        <v>42278</v>
      </c>
      <c r="P95" s="510">
        <v>42309</v>
      </c>
      <c r="Q95" s="510">
        <v>42339</v>
      </c>
      <c r="R95" s="510">
        <v>42644</v>
      </c>
      <c r="S95" s="309" t="s">
        <v>128</v>
      </c>
      <c r="T95" s="341"/>
      <c r="U95" s="320">
        <v>376629885.10929608</v>
      </c>
    </row>
    <row r="96" spans="1:21" s="293" customFormat="1" x14ac:dyDescent="0.2">
      <c r="A96" s="497">
        <v>4</v>
      </c>
      <c r="B96" s="497" t="s">
        <v>1016</v>
      </c>
      <c r="C96" s="497">
        <v>2</v>
      </c>
      <c r="D96" s="497">
        <f t="shared" si="4"/>
        <v>65</v>
      </c>
      <c r="E96" s="338" t="s">
        <v>370</v>
      </c>
      <c r="F96" s="313" t="s">
        <v>208</v>
      </c>
      <c r="G96" s="313" t="s">
        <v>246</v>
      </c>
      <c r="H96" s="311" t="s">
        <v>130</v>
      </c>
      <c r="I96" s="314">
        <f t="shared" si="5"/>
        <v>699884.33548521833</v>
      </c>
      <c r="J96" s="326">
        <f t="shared" si="3"/>
        <v>699884.33548521833</v>
      </c>
      <c r="K96" s="328" t="s">
        <v>129</v>
      </c>
      <c r="L96" s="328" t="s">
        <v>132</v>
      </c>
      <c r="M96" s="321">
        <v>1</v>
      </c>
      <c r="N96" s="321">
        <v>0</v>
      </c>
      <c r="O96" s="510">
        <v>42278</v>
      </c>
      <c r="P96" s="510">
        <v>42309</v>
      </c>
      <c r="Q96" s="510">
        <v>42339</v>
      </c>
      <c r="R96" s="510">
        <v>42644</v>
      </c>
      <c r="S96" s="309" t="s">
        <v>128</v>
      </c>
      <c r="T96" s="341"/>
      <c r="U96" s="320">
        <v>353038587.81609601</v>
      </c>
    </row>
    <row r="97" spans="1:21" s="293" customFormat="1" x14ac:dyDescent="0.2">
      <c r="A97" s="497">
        <v>4</v>
      </c>
      <c r="B97" s="497" t="s">
        <v>1017</v>
      </c>
      <c r="C97" s="497">
        <v>2</v>
      </c>
      <c r="D97" s="497">
        <f t="shared" si="4"/>
        <v>66</v>
      </c>
      <c r="E97" s="338" t="s">
        <v>371</v>
      </c>
      <c r="F97" s="313" t="s">
        <v>210</v>
      </c>
      <c r="G97" s="313" t="s">
        <v>247</v>
      </c>
      <c r="H97" s="311" t="s">
        <v>130</v>
      </c>
      <c r="I97" s="314">
        <f t="shared" si="5"/>
        <v>662846.03038038057</v>
      </c>
      <c r="J97" s="326">
        <f t="shared" si="3"/>
        <v>662846.03038038057</v>
      </c>
      <c r="K97" s="328" t="s">
        <v>129</v>
      </c>
      <c r="L97" s="328" t="s">
        <v>132</v>
      </c>
      <c r="M97" s="321">
        <v>1</v>
      </c>
      <c r="N97" s="321">
        <v>0</v>
      </c>
      <c r="O97" s="510">
        <v>42278</v>
      </c>
      <c r="P97" s="510">
        <v>42309</v>
      </c>
      <c r="Q97" s="510">
        <v>42339</v>
      </c>
      <c r="R97" s="510">
        <v>42644</v>
      </c>
      <c r="S97" s="309" t="s">
        <v>128</v>
      </c>
      <c r="T97" s="341"/>
      <c r="U97" s="307">
        <v>334355570.82837003</v>
      </c>
    </row>
    <row r="98" spans="1:21" s="293" customFormat="1" x14ac:dyDescent="0.2">
      <c r="A98" s="497">
        <v>4</v>
      </c>
      <c r="B98" s="497" t="s">
        <v>1018</v>
      </c>
      <c r="C98" s="497">
        <v>2</v>
      </c>
      <c r="D98" s="497">
        <f t="shared" si="4"/>
        <v>67</v>
      </c>
      <c r="E98" s="338" t="s">
        <v>372</v>
      </c>
      <c r="F98" s="313" t="s">
        <v>208</v>
      </c>
      <c r="G98" s="313" t="s">
        <v>248</v>
      </c>
      <c r="H98" s="311" t="s">
        <v>130</v>
      </c>
      <c r="I98" s="314">
        <f t="shared" si="5"/>
        <v>649937.84794031747</v>
      </c>
      <c r="J98" s="326">
        <f t="shared" si="3"/>
        <v>649937.84794031747</v>
      </c>
      <c r="K98" s="328" t="s">
        <v>129</v>
      </c>
      <c r="L98" s="328" t="s">
        <v>132</v>
      </c>
      <c r="M98" s="321">
        <v>1</v>
      </c>
      <c r="N98" s="321">
        <v>0</v>
      </c>
      <c r="O98" s="510">
        <v>42278</v>
      </c>
      <c r="P98" s="510">
        <v>42309</v>
      </c>
      <c r="Q98" s="510">
        <v>42339</v>
      </c>
      <c r="R98" s="510">
        <v>42644</v>
      </c>
      <c r="S98" s="309" t="s">
        <v>128</v>
      </c>
      <c r="T98" s="341"/>
      <c r="U98" s="320">
        <v>327844371.37888807</v>
      </c>
    </row>
    <row r="99" spans="1:21" s="293" customFormat="1" x14ac:dyDescent="0.2">
      <c r="A99" s="497">
        <v>4</v>
      </c>
      <c r="B99" s="497" t="s">
        <v>1019</v>
      </c>
      <c r="C99" s="497">
        <v>2</v>
      </c>
      <c r="D99" s="497">
        <f t="shared" si="4"/>
        <v>68</v>
      </c>
      <c r="E99" s="338" t="s">
        <v>373</v>
      </c>
      <c r="F99" s="313" t="s">
        <v>208</v>
      </c>
      <c r="G99" s="313" t="s">
        <v>248</v>
      </c>
      <c r="H99" s="311" t="s">
        <v>130</v>
      </c>
      <c r="I99" s="314">
        <f t="shared" si="5"/>
        <v>895894.00662718934</v>
      </c>
      <c r="J99" s="326">
        <f t="shared" si="3"/>
        <v>895894.00662718934</v>
      </c>
      <c r="K99" s="328" t="s">
        <v>129</v>
      </c>
      <c r="L99" s="328" t="s">
        <v>132</v>
      </c>
      <c r="M99" s="321">
        <v>1</v>
      </c>
      <c r="N99" s="321">
        <v>0</v>
      </c>
      <c r="O99" s="510">
        <v>42278</v>
      </c>
      <c r="P99" s="510">
        <v>42309</v>
      </c>
      <c r="Q99" s="510">
        <v>42339</v>
      </c>
      <c r="R99" s="510">
        <v>42644</v>
      </c>
      <c r="S99" s="309" t="s">
        <v>128</v>
      </c>
      <c r="T99" s="341"/>
      <c r="U99" s="320">
        <v>451910607.0766561</v>
      </c>
    </row>
    <row r="100" spans="1:21" s="293" customFormat="1" x14ac:dyDescent="0.2">
      <c r="A100" s="497">
        <v>4</v>
      </c>
      <c r="B100" s="497" t="s">
        <v>1020</v>
      </c>
      <c r="C100" s="497">
        <v>2</v>
      </c>
      <c r="D100" s="497">
        <f t="shared" si="4"/>
        <v>69</v>
      </c>
      <c r="E100" s="338" t="s">
        <v>374</v>
      </c>
      <c r="F100" s="313" t="s">
        <v>217</v>
      </c>
      <c r="G100" s="313" t="s">
        <v>251</v>
      </c>
      <c r="H100" s="311" t="s">
        <v>130</v>
      </c>
      <c r="I100" s="314">
        <f t="shared" si="5"/>
        <v>649937.84794031747</v>
      </c>
      <c r="J100" s="326">
        <f t="shared" si="3"/>
        <v>649937.84794031747</v>
      </c>
      <c r="K100" s="328" t="s">
        <v>129</v>
      </c>
      <c r="L100" s="328" t="s">
        <v>132</v>
      </c>
      <c r="M100" s="321">
        <v>1</v>
      </c>
      <c r="N100" s="321">
        <v>0</v>
      </c>
      <c r="O100" s="510">
        <v>42278</v>
      </c>
      <c r="P100" s="510">
        <v>42309</v>
      </c>
      <c r="Q100" s="510">
        <v>42339</v>
      </c>
      <c r="R100" s="510">
        <v>42644</v>
      </c>
      <c r="S100" s="309" t="s">
        <v>128</v>
      </c>
      <c r="T100" s="341"/>
      <c r="U100" s="320">
        <v>327844371.37888807</v>
      </c>
    </row>
    <row r="101" spans="1:21" s="293" customFormat="1" x14ac:dyDescent="0.2">
      <c r="A101" s="497">
        <v>4</v>
      </c>
      <c r="B101" s="497" t="s">
        <v>1021</v>
      </c>
      <c r="C101" s="497">
        <v>2</v>
      </c>
      <c r="D101" s="497">
        <f t="shared" si="4"/>
        <v>70</v>
      </c>
      <c r="E101" s="338" t="s">
        <v>375</v>
      </c>
      <c r="F101" s="313" t="s">
        <v>234</v>
      </c>
      <c r="G101" s="313" t="s">
        <v>250</v>
      </c>
      <c r="H101" s="311" t="s">
        <v>130</v>
      </c>
      <c r="I101" s="314">
        <f t="shared" si="5"/>
        <v>699884.33548521833</v>
      </c>
      <c r="J101" s="326">
        <f t="shared" si="3"/>
        <v>699884.33548521833</v>
      </c>
      <c r="K101" s="328" t="s">
        <v>129</v>
      </c>
      <c r="L101" s="328" t="s">
        <v>132</v>
      </c>
      <c r="M101" s="321">
        <v>1</v>
      </c>
      <c r="N101" s="321">
        <v>0</v>
      </c>
      <c r="O101" s="510">
        <v>42278</v>
      </c>
      <c r="P101" s="510">
        <v>42309</v>
      </c>
      <c r="Q101" s="510">
        <v>42339</v>
      </c>
      <c r="R101" s="510">
        <v>42644</v>
      </c>
      <c r="S101" s="309" t="s">
        <v>128</v>
      </c>
      <c r="T101" s="341"/>
      <c r="U101" s="320">
        <v>353038587.81609601</v>
      </c>
    </row>
    <row r="102" spans="1:21" s="293" customFormat="1" x14ac:dyDescent="0.2">
      <c r="A102" s="497">
        <v>4</v>
      </c>
      <c r="B102" s="497" t="s">
        <v>1022</v>
      </c>
      <c r="C102" s="497">
        <v>2</v>
      </c>
      <c r="D102" s="497">
        <f t="shared" si="4"/>
        <v>71</v>
      </c>
      <c r="E102" s="332" t="s">
        <v>376</v>
      </c>
      <c r="F102" s="313" t="s">
        <v>217</v>
      </c>
      <c r="G102" s="313" t="s">
        <v>253</v>
      </c>
      <c r="H102" s="311" t="s">
        <v>130</v>
      </c>
      <c r="I102" s="314">
        <f t="shared" si="5"/>
        <v>699884.33548521833</v>
      </c>
      <c r="J102" s="326">
        <f t="shared" si="3"/>
        <v>699884.33548521833</v>
      </c>
      <c r="K102" s="328" t="s">
        <v>129</v>
      </c>
      <c r="L102" s="328" t="s">
        <v>132</v>
      </c>
      <c r="M102" s="321">
        <v>1</v>
      </c>
      <c r="N102" s="321">
        <v>0</v>
      </c>
      <c r="O102" s="510">
        <v>42278</v>
      </c>
      <c r="P102" s="510">
        <v>42309</v>
      </c>
      <c r="Q102" s="510">
        <v>42339</v>
      </c>
      <c r="R102" s="510">
        <v>42644</v>
      </c>
      <c r="S102" s="309" t="s">
        <v>128</v>
      </c>
      <c r="T102" s="341"/>
      <c r="U102" s="320">
        <v>353038587.81609601</v>
      </c>
    </row>
    <row r="103" spans="1:21" s="293" customFormat="1" x14ac:dyDescent="0.2">
      <c r="A103" s="497">
        <v>4</v>
      </c>
      <c r="B103" s="497" t="s">
        <v>1023</v>
      </c>
      <c r="C103" s="497">
        <v>2</v>
      </c>
      <c r="D103" s="497">
        <f t="shared" si="4"/>
        <v>72</v>
      </c>
      <c r="E103" s="338" t="s">
        <v>377</v>
      </c>
      <c r="F103" s="313" t="s">
        <v>221</v>
      </c>
      <c r="G103" s="313" t="s">
        <v>240</v>
      </c>
      <c r="H103" s="311" t="s">
        <v>130</v>
      </c>
      <c r="I103" s="314">
        <f t="shared" si="5"/>
        <v>649937.84794031747</v>
      </c>
      <c r="J103" s="326">
        <f t="shared" si="3"/>
        <v>649937.84794031747</v>
      </c>
      <c r="K103" s="328" t="s">
        <v>129</v>
      </c>
      <c r="L103" s="328" t="s">
        <v>132</v>
      </c>
      <c r="M103" s="321">
        <v>1</v>
      </c>
      <c r="N103" s="321">
        <v>0</v>
      </c>
      <c r="O103" s="510">
        <v>42278</v>
      </c>
      <c r="P103" s="510">
        <v>42309</v>
      </c>
      <c r="Q103" s="510">
        <v>42339</v>
      </c>
      <c r="R103" s="510">
        <v>42644</v>
      </c>
      <c r="S103" s="309" t="s">
        <v>128</v>
      </c>
      <c r="T103" s="341"/>
      <c r="U103" s="320">
        <v>327844371.37888807</v>
      </c>
    </row>
    <row r="104" spans="1:21" s="293" customFormat="1" x14ac:dyDescent="0.2">
      <c r="A104" s="497">
        <v>4</v>
      </c>
      <c r="B104" s="497" t="s">
        <v>1024</v>
      </c>
      <c r="C104" s="497">
        <v>2</v>
      </c>
      <c r="D104" s="497">
        <f t="shared" si="4"/>
        <v>73</v>
      </c>
      <c r="E104" s="338" t="s">
        <v>378</v>
      </c>
      <c r="F104" s="313" t="s">
        <v>234</v>
      </c>
      <c r="G104" s="313" t="s">
        <v>250</v>
      </c>
      <c r="H104" s="311" t="s">
        <v>130</v>
      </c>
      <c r="I104" s="314">
        <f t="shared" si="5"/>
        <v>649937.84794031747</v>
      </c>
      <c r="J104" s="326">
        <f t="shared" si="3"/>
        <v>649937.84794031747</v>
      </c>
      <c r="K104" s="328" t="s">
        <v>129</v>
      </c>
      <c r="L104" s="328" t="s">
        <v>132</v>
      </c>
      <c r="M104" s="321">
        <v>1</v>
      </c>
      <c r="N104" s="321">
        <v>0</v>
      </c>
      <c r="O104" s="510">
        <v>42278</v>
      </c>
      <c r="P104" s="510">
        <v>42309</v>
      </c>
      <c r="Q104" s="510">
        <v>42339</v>
      </c>
      <c r="R104" s="510">
        <v>42644</v>
      </c>
      <c r="S104" s="309" t="s">
        <v>128</v>
      </c>
      <c r="T104" s="341"/>
      <c r="U104" s="320">
        <v>327844371.37888807</v>
      </c>
    </row>
    <row r="105" spans="1:21" s="293" customFormat="1" x14ac:dyDescent="0.2">
      <c r="A105" s="497">
        <v>4</v>
      </c>
      <c r="B105" s="497" t="s">
        <v>1025</v>
      </c>
      <c r="C105" s="497">
        <v>2</v>
      </c>
      <c r="D105" s="497">
        <f t="shared" si="4"/>
        <v>74</v>
      </c>
      <c r="E105" s="338" t="s">
        <v>379</v>
      </c>
      <c r="F105" s="313" t="s">
        <v>221</v>
      </c>
      <c r="G105" s="313" t="s">
        <v>240</v>
      </c>
      <c r="H105" s="311" t="s">
        <v>130</v>
      </c>
      <c r="I105" s="314">
        <f t="shared" si="5"/>
        <v>746653.10241073789</v>
      </c>
      <c r="J105" s="326">
        <f t="shared" si="3"/>
        <v>746653.10241073789</v>
      </c>
      <c r="K105" s="328" t="s">
        <v>129</v>
      </c>
      <c r="L105" s="328" t="s">
        <v>132</v>
      </c>
      <c r="M105" s="321">
        <v>1</v>
      </c>
      <c r="N105" s="321">
        <v>0</v>
      </c>
      <c r="O105" s="510">
        <v>42278</v>
      </c>
      <c r="P105" s="510">
        <v>42309</v>
      </c>
      <c r="Q105" s="510">
        <v>42339</v>
      </c>
      <c r="R105" s="510">
        <v>42644</v>
      </c>
      <c r="S105" s="309" t="s">
        <v>128</v>
      </c>
      <c r="T105" s="341"/>
      <c r="U105" s="320">
        <v>376629885.10929608</v>
      </c>
    </row>
    <row r="106" spans="1:21" s="293" customFormat="1" x14ac:dyDescent="0.2">
      <c r="A106" s="497">
        <v>4</v>
      </c>
      <c r="B106" s="497" t="s">
        <v>1026</v>
      </c>
      <c r="C106" s="497">
        <v>2</v>
      </c>
      <c r="D106" s="497">
        <f t="shared" si="4"/>
        <v>75</v>
      </c>
      <c r="E106" s="338" t="s">
        <v>380</v>
      </c>
      <c r="F106" s="313" t="s">
        <v>234</v>
      </c>
      <c r="G106" s="313" t="s">
        <v>250</v>
      </c>
      <c r="H106" s="311" t="s">
        <v>130</v>
      </c>
      <c r="I106" s="314">
        <f t="shared" si="5"/>
        <v>649937.84794031747</v>
      </c>
      <c r="J106" s="326">
        <f t="shared" si="3"/>
        <v>649937.84794031747</v>
      </c>
      <c r="K106" s="328" t="s">
        <v>129</v>
      </c>
      <c r="L106" s="328" t="s">
        <v>132</v>
      </c>
      <c r="M106" s="321">
        <v>1</v>
      </c>
      <c r="N106" s="321">
        <v>0</v>
      </c>
      <c r="O106" s="510">
        <v>42278</v>
      </c>
      <c r="P106" s="510">
        <v>42309</v>
      </c>
      <c r="Q106" s="510">
        <v>42339</v>
      </c>
      <c r="R106" s="510">
        <v>42644</v>
      </c>
      <c r="S106" s="309" t="s">
        <v>128</v>
      </c>
      <c r="T106" s="341"/>
      <c r="U106" s="320">
        <v>327844371.37888807</v>
      </c>
    </row>
    <row r="107" spans="1:21" s="293" customFormat="1" x14ac:dyDescent="0.2">
      <c r="A107" s="497">
        <v>4</v>
      </c>
      <c r="B107" s="497" t="s">
        <v>1027</v>
      </c>
      <c r="C107" s="497">
        <v>2</v>
      </c>
      <c r="D107" s="497">
        <f t="shared" si="4"/>
        <v>76</v>
      </c>
      <c r="E107" s="338" t="s">
        <v>381</v>
      </c>
      <c r="F107" s="313" t="s">
        <v>217</v>
      </c>
      <c r="G107" s="313" t="s">
        <v>232</v>
      </c>
      <c r="H107" s="311" t="s">
        <v>130</v>
      </c>
      <c r="I107" s="314">
        <f t="shared" si="5"/>
        <v>4336708.7876274427</v>
      </c>
      <c r="J107" s="326">
        <f t="shared" si="3"/>
        <v>4336708.7876274427</v>
      </c>
      <c r="K107" s="328" t="s">
        <v>129</v>
      </c>
      <c r="L107" s="328" t="s">
        <v>132</v>
      </c>
      <c r="M107" s="321">
        <v>1</v>
      </c>
      <c r="N107" s="321">
        <v>0</v>
      </c>
      <c r="O107" s="510">
        <v>42217</v>
      </c>
      <c r="P107" s="510">
        <v>42309</v>
      </c>
      <c r="Q107" s="510">
        <v>42339</v>
      </c>
      <c r="R107" s="510">
        <v>42644</v>
      </c>
      <c r="S107" s="309" t="s">
        <v>128</v>
      </c>
      <c r="T107" s="341"/>
      <c r="U107" s="307">
        <v>2187540810</v>
      </c>
    </row>
    <row r="108" spans="1:21" s="293" customFormat="1" x14ac:dyDescent="0.2">
      <c r="A108" s="497">
        <v>4</v>
      </c>
      <c r="B108" s="497" t="s">
        <v>1028</v>
      </c>
      <c r="C108" s="497">
        <v>2</v>
      </c>
      <c r="D108" s="497">
        <f t="shared" si="4"/>
        <v>77</v>
      </c>
      <c r="E108" s="338" t="s">
        <v>382</v>
      </c>
      <c r="F108" s="313" t="s">
        <v>221</v>
      </c>
      <c r="G108" s="313" t="s">
        <v>233</v>
      </c>
      <c r="H108" s="311" t="s">
        <v>130</v>
      </c>
      <c r="I108" s="314">
        <f t="shared" si="5"/>
        <v>4336708.7876274427</v>
      </c>
      <c r="J108" s="326">
        <f t="shared" si="3"/>
        <v>4336708.7876274427</v>
      </c>
      <c r="K108" s="328" t="s">
        <v>129</v>
      </c>
      <c r="L108" s="328" t="s">
        <v>132</v>
      </c>
      <c r="M108" s="321">
        <v>1</v>
      </c>
      <c r="N108" s="321">
        <v>0</v>
      </c>
      <c r="O108" s="510">
        <v>42217</v>
      </c>
      <c r="P108" s="510">
        <v>42309</v>
      </c>
      <c r="Q108" s="510">
        <v>42339</v>
      </c>
      <c r="R108" s="510">
        <v>42644</v>
      </c>
      <c r="S108" s="309" t="s">
        <v>128</v>
      </c>
      <c r="T108" s="341"/>
      <c r="U108" s="307">
        <v>2187540810</v>
      </c>
    </row>
    <row r="109" spans="1:21" s="293" customFormat="1" x14ac:dyDescent="0.2">
      <c r="A109" s="497">
        <v>4</v>
      </c>
      <c r="B109" s="497" t="s">
        <v>1029</v>
      </c>
      <c r="C109" s="497">
        <v>2</v>
      </c>
      <c r="D109" s="497">
        <f t="shared" si="4"/>
        <v>78</v>
      </c>
      <c r="E109" s="338" t="s">
        <v>383</v>
      </c>
      <c r="F109" s="313" t="s">
        <v>217</v>
      </c>
      <c r="G109" s="313" t="s">
        <v>210</v>
      </c>
      <c r="H109" s="311" t="s">
        <v>130</v>
      </c>
      <c r="I109" s="314">
        <f t="shared" si="5"/>
        <v>4336708.7876274427</v>
      </c>
      <c r="J109" s="326">
        <f t="shared" si="3"/>
        <v>4336708.7876274427</v>
      </c>
      <c r="K109" s="328" t="s">
        <v>129</v>
      </c>
      <c r="L109" s="328" t="s">
        <v>132</v>
      </c>
      <c r="M109" s="321">
        <v>1</v>
      </c>
      <c r="N109" s="321">
        <v>0</v>
      </c>
      <c r="O109" s="510">
        <v>42217</v>
      </c>
      <c r="P109" s="510">
        <v>42309</v>
      </c>
      <c r="Q109" s="510">
        <v>42339</v>
      </c>
      <c r="R109" s="510">
        <v>42644</v>
      </c>
      <c r="S109" s="309" t="s">
        <v>128</v>
      </c>
      <c r="T109" s="341"/>
      <c r="U109" s="307">
        <v>2187540810</v>
      </c>
    </row>
    <row r="110" spans="1:21" s="293" customFormat="1" x14ac:dyDescent="0.2">
      <c r="A110" s="497">
        <v>4</v>
      </c>
      <c r="B110" s="497" t="s">
        <v>1030</v>
      </c>
      <c r="C110" s="497">
        <v>2</v>
      </c>
      <c r="D110" s="497">
        <f>+D109+1</f>
        <v>79</v>
      </c>
      <c r="E110" s="338" t="s">
        <v>384</v>
      </c>
      <c r="F110" s="313" t="s">
        <v>217</v>
      </c>
      <c r="G110" s="313" t="s">
        <v>210</v>
      </c>
      <c r="H110" s="311" t="s">
        <v>130</v>
      </c>
      <c r="I110" s="314">
        <f t="shared" si="5"/>
        <v>4336708.7876274427</v>
      </c>
      <c r="J110" s="326">
        <f t="shared" si="3"/>
        <v>4336708.7876274427</v>
      </c>
      <c r="K110" s="328" t="s">
        <v>129</v>
      </c>
      <c r="L110" s="328" t="s">
        <v>132</v>
      </c>
      <c r="M110" s="321">
        <v>1</v>
      </c>
      <c r="N110" s="321">
        <v>0</v>
      </c>
      <c r="O110" s="510">
        <v>42217</v>
      </c>
      <c r="P110" s="510">
        <v>42309</v>
      </c>
      <c r="Q110" s="510">
        <v>42339</v>
      </c>
      <c r="R110" s="510">
        <v>42644</v>
      </c>
      <c r="S110" s="309" t="s">
        <v>128</v>
      </c>
      <c r="T110" s="341"/>
      <c r="U110" s="307">
        <v>2187540810</v>
      </c>
    </row>
    <row r="111" spans="1:21" s="293" customFormat="1" x14ac:dyDescent="0.2">
      <c r="A111" s="342"/>
      <c r="B111" s="335"/>
      <c r="C111" s="335"/>
      <c r="D111" s="335"/>
      <c r="E111" s="330" t="s">
        <v>262</v>
      </c>
      <c r="F111" s="340" t="s">
        <v>229</v>
      </c>
      <c r="G111" s="340" t="s">
        <v>230</v>
      </c>
      <c r="H111" s="340" t="s">
        <v>231</v>
      </c>
      <c r="I111" s="323"/>
      <c r="J111" s="339">
        <f>SUM(J112:J153)</f>
        <v>20100852.733894534</v>
      </c>
      <c r="K111" s="335"/>
      <c r="L111" s="342"/>
      <c r="M111" s="322"/>
      <c r="N111" s="322"/>
      <c r="O111" s="331"/>
      <c r="P111" s="331"/>
      <c r="Q111" s="331"/>
      <c r="R111" s="331"/>
      <c r="S111" s="324"/>
      <c r="T111" s="335"/>
      <c r="U111" s="307"/>
    </row>
    <row r="112" spans="1:21" s="293" customFormat="1" x14ac:dyDescent="0.2">
      <c r="A112" s="497">
        <v>2</v>
      </c>
      <c r="B112" s="497" t="s">
        <v>1031</v>
      </c>
      <c r="C112" s="497">
        <v>1</v>
      </c>
      <c r="D112" s="497"/>
      <c r="E112" s="338" t="s">
        <v>385</v>
      </c>
      <c r="F112" s="313" t="s">
        <v>225</v>
      </c>
      <c r="G112" s="313" t="s">
        <v>226</v>
      </c>
      <c r="H112" s="311" t="s">
        <v>258</v>
      </c>
      <c r="I112" s="314">
        <f t="shared" ref="I112:I153" si="6">+U112/$AE$1</f>
        <v>541211.15986050654</v>
      </c>
      <c r="J112" s="326">
        <f t="shared" si="3"/>
        <v>541211.15986050654</v>
      </c>
      <c r="K112" s="328" t="s">
        <v>257</v>
      </c>
      <c r="L112" s="328" t="s">
        <v>132</v>
      </c>
      <c r="M112" s="321">
        <v>1</v>
      </c>
      <c r="N112" s="321">
        <v>0</v>
      </c>
      <c r="O112" s="510">
        <v>41275</v>
      </c>
      <c r="P112" s="510">
        <v>41275</v>
      </c>
      <c r="Q112" s="510">
        <v>41306</v>
      </c>
      <c r="R112" s="510">
        <v>41306</v>
      </c>
      <c r="S112" s="309" t="s">
        <v>128</v>
      </c>
      <c r="T112" s="274"/>
      <c r="U112" s="307">
        <v>273000000</v>
      </c>
    </row>
    <row r="113" spans="1:21" s="293" customFormat="1" x14ac:dyDescent="0.2">
      <c r="A113" s="497">
        <v>2</v>
      </c>
      <c r="B113" s="497" t="s">
        <v>1032</v>
      </c>
      <c r="C113" s="497">
        <v>1</v>
      </c>
      <c r="D113" s="497"/>
      <c r="E113" s="338" t="s">
        <v>386</v>
      </c>
      <c r="F113" s="313" t="s">
        <v>234</v>
      </c>
      <c r="G113" s="313" t="s">
        <v>243</v>
      </c>
      <c r="H113" s="311" t="s">
        <v>258</v>
      </c>
      <c r="I113" s="314">
        <f t="shared" si="6"/>
        <v>324726.6959163039</v>
      </c>
      <c r="J113" s="326">
        <f t="shared" si="3"/>
        <v>324726.6959163039</v>
      </c>
      <c r="K113" s="328" t="s">
        <v>257</v>
      </c>
      <c r="L113" s="328" t="s">
        <v>132</v>
      </c>
      <c r="M113" s="321">
        <v>1</v>
      </c>
      <c r="N113" s="321">
        <v>0</v>
      </c>
      <c r="O113" s="510">
        <v>41275</v>
      </c>
      <c r="P113" s="510">
        <v>41275</v>
      </c>
      <c r="Q113" s="510">
        <v>41306</v>
      </c>
      <c r="R113" s="510">
        <v>41306</v>
      </c>
      <c r="S113" s="309" t="s">
        <v>128</v>
      </c>
      <c r="T113" s="274"/>
      <c r="U113" s="307">
        <v>163800000</v>
      </c>
    </row>
    <row r="114" spans="1:21" s="293" customFormat="1" x14ac:dyDescent="0.2">
      <c r="A114" s="497">
        <v>2</v>
      </c>
      <c r="B114" s="497" t="s">
        <v>1033</v>
      </c>
      <c r="C114" s="497">
        <v>1</v>
      </c>
      <c r="D114" s="497"/>
      <c r="E114" s="338" t="s">
        <v>387</v>
      </c>
      <c r="F114" s="313" t="s">
        <v>218</v>
      </c>
      <c r="G114" s="313" t="s">
        <v>244</v>
      </c>
      <c r="H114" s="311" t="s">
        <v>258</v>
      </c>
      <c r="I114" s="314">
        <f t="shared" si="6"/>
        <v>324726.6959163039</v>
      </c>
      <c r="J114" s="326">
        <f t="shared" ref="J114:J153" si="7">+I114</f>
        <v>324726.6959163039</v>
      </c>
      <c r="K114" s="328" t="s">
        <v>257</v>
      </c>
      <c r="L114" s="328" t="s">
        <v>132</v>
      </c>
      <c r="M114" s="321">
        <v>1</v>
      </c>
      <c r="N114" s="321">
        <v>0</v>
      </c>
      <c r="O114" s="510">
        <v>41275</v>
      </c>
      <c r="P114" s="510">
        <v>41275</v>
      </c>
      <c r="Q114" s="510">
        <v>41306</v>
      </c>
      <c r="R114" s="510">
        <v>41306</v>
      </c>
      <c r="S114" s="309" t="s">
        <v>128</v>
      </c>
      <c r="T114" s="274"/>
      <c r="U114" s="307">
        <v>163800000</v>
      </c>
    </row>
    <row r="115" spans="1:21" s="293" customFormat="1" x14ac:dyDescent="0.2">
      <c r="A115" s="497">
        <v>2</v>
      </c>
      <c r="B115" s="497" t="s">
        <v>1034</v>
      </c>
      <c r="C115" s="497">
        <v>1</v>
      </c>
      <c r="D115" s="497"/>
      <c r="E115" s="338" t="s">
        <v>388</v>
      </c>
      <c r="F115" s="313" t="s">
        <v>217</v>
      </c>
      <c r="G115" s="313" t="s">
        <v>239</v>
      </c>
      <c r="H115" s="311" t="s">
        <v>258</v>
      </c>
      <c r="I115" s="314">
        <f t="shared" si="6"/>
        <v>324726.6959163039</v>
      </c>
      <c r="J115" s="326">
        <f t="shared" si="7"/>
        <v>324726.6959163039</v>
      </c>
      <c r="K115" s="328" t="s">
        <v>257</v>
      </c>
      <c r="L115" s="328" t="s">
        <v>132</v>
      </c>
      <c r="M115" s="321">
        <v>1</v>
      </c>
      <c r="N115" s="321">
        <v>0</v>
      </c>
      <c r="O115" s="510">
        <v>41275</v>
      </c>
      <c r="P115" s="510">
        <v>41275</v>
      </c>
      <c r="Q115" s="510">
        <v>41306</v>
      </c>
      <c r="R115" s="510">
        <v>41306</v>
      </c>
      <c r="S115" s="309" t="s">
        <v>128</v>
      </c>
      <c r="T115" s="274"/>
      <c r="U115" s="307">
        <v>163800000</v>
      </c>
    </row>
    <row r="116" spans="1:21" s="293" customFormat="1" x14ac:dyDescent="0.2">
      <c r="A116" s="497">
        <v>2</v>
      </c>
      <c r="B116" s="497" t="s">
        <v>1035</v>
      </c>
      <c r="C116" s="497">
        <v>1</v>
      </c>
      <c r="D116" s="497"/>
      <c r="E116" s="338" t="s">
        <v>389</v>
      </c>
      <c r="F116" s="313" t="s">
        <v>234</v>
      </c>
      <c r="G116" s="313" t="s">
        <v>242</v>
      </c>
      <c r="H116" s="311" t="s">
        <v>258</v>
      </c>
      <c r="I116" s="314">
        <f t="shared" si="6"/>
        <v>324726.6959163039</v>
      </c>
      <c r="J116" s="326">
        <f t="shared" si="7"/>
        <v>324726.6959163039</v>
      </c>
      <c r="K116" s="328" t="s">
        <v>257</v>
      </c>
      <c r="L116" s="328" t="s">
        <v>132</v>
      </c>
      <c r="M116" s="321">
        <v>1</v>
      </c>
      <c r="N116" s="321">
        <v>0</v>
      </c>
      <c r="O116" s="510">
        <v>41275</v>
      </c>
      <c r="P116" s="510">
        <v>41275</v>
      </c>
      <c r="Q116" s="510">
        <v>41306</v>
      </c>
      <c r="R116" s="510">
        <v>41306</v>
      </c>
      <c r="S116" s="309" t="s">
        <v>128</v>
      </c>
      <c r="T116" s="274"/>
      <c r="U116" s="307">
        <v>163800000</v>
      </c>
    </row>
    <row r="117" spans="1:21" s="293" customFormat="1" x14ac:dyDescent="0.2">
      <c r="A117" s="497">
        <v>2</v>
      </c>
      <c r="B117" s="497" t="s">
        <v>1036</v>
      </c>
      <c r="C117" s="497">
        <v>1</v>
      </c>
      <c r="D117" s="497"/>
      <c r="E117" s="338" t="s">
        <v>390</v>
      </c>
      <c r="F117" s="313" t="s">
        <v>217</v>
      </c>
      <c r="G117" s="313" t="s">
        <v>239</v>
      </c>
      <c r="H117" s="311" t="s">
        <v>258</v>
      </c>
      <c r="I117" s="314">
        <f t="shared" si="6"/>
        <v>324726.6959163039</v>
      </c>
      <c r="J117" s="326">
        <f t="shared" si="7"/>
        <v>324726.6959163039</v>
      </c>
      <c r="K117" s="328" t="s">
        <v>257</v>
      </c>
      <c r="L117" s="328" t="s">
        <v>132</v>
      </c>
      <c r="M117" s="321">
        <v>1</v>
      </c>
      <c r="N117" s="321">
        <v>0</v>
      </c>
      <c r="O117" s="510">
        <v>41275</v>
      </c>
      <c r="P117" s="510">
        <v>41275</v>
      </c>
      <c r="Q117" s="510">
        <v>41306</v>
      </c>
      <c r="R117" s="510">
        <v>41306</v>
      </c>
      <c r="S117" s="309" t="s">
        <v>128</v>
      </c>
      <c r="T117" s="274"/>
      <c r="U117" s="307">
        <v>163800000</v>
      </c>
    </row>
    <row r="118" spans="1:21" s="293" customFormat="1" x14ac:dyDescent="0.2">
      <c r="A118" s="497">
        <v>3</v>
      </c>
      <c r="B118" s="497" t="s">
        <v>1037</v>
      </c>
      <c r="C118" s="497">
        <v>1</v>
      </c>
      <c r="D118" s="497"/>
      <c r="E118" s="338" t="s">
        <v>397</v>
      </c>
      <c r="F118" s="313" t="s">
        <v>217</v>
      </c>
      <c r="G118" s="313" t="s">
        <v>223</v>
      </c>
      <c r="H118" s="311" t="s">
        <v>258</v>
      </c>
      <c r="I118" s="314">
        <f t="shared" si="6"/>
        <v>568271.71785353182</v>
      </c>
      <c r="J118" s="326">
        <f t="shared" si="7"/>
        <v>568271.71785353182</v>
      </c>
      <c r="K118" s="328" t="s">
        <v>257</v>
      </c>
      <c r="L118" s="328" t="s">
        <v>132</v>
      </c>
      <c r="M118" s="321">
        <v>1</v>
      </c>
      <c r="N118" s="321">
        <v>0</v>
      </c>
      <c r="O118" s="510">
        <v>41456</v>
      </c>
      <c r="P118" s="510">
        <v>41456</v>
      </c>
      <c r="Q118" s="510">
        <v>41487</v>
      </c>
      <c r="R118" s="510">
        <v>41487</v>
      </c>
      <c r="S118" s="309" t="s">
        <v>128</v>
      </c>
      <c r="T118" s="274"/>
      <c r="U118" s="307">
        <v>286650000</v>
      </c>
    </row>
    <row r="119" spans="1:21" s="293" customFormat="1" x14ac:dyDescent="0.2">
      <c r="A119" s="497">
        <v>3</v>
      </c>
      <c r="B119" s="497" t="s">
        <v>1038</v>
      </c>
      <c r="C119" s="497">
        <v>1</v>
      </c>
      <c r="D119" s="497"/>
      <c r="E119" s="338" t="s">
        <v>398</v>
      </c>
      <c r="F119" s="313" t="s">
        <v>213</v>
      </c>
      <c r="G119" s="313" t="s">
        <v>213</v>
      </c>
      <c r="H119" s="311" t="s">
        <v>258</v>
      </c>
      <c r="I119" s="314">
        <f t="shared" si="6"/>
        <v>568271.71785353182</v>
      </c>
      <c r="J119" s="326">
        <f t="shared" si="7"/>
        <v>568271.71785353182</v>
      </c>
      <c r="K119" s="328" t="s">
        <v>257</v>
      </c>
      <c r="L119" s="328" t="s">
        <v>132</v>
      </c>
      <c r="M119" s="321">
        <v>1</v>
      </c>
      <c r="N119" s="321">
        <v>0</v>
      </c>
      <c r="O119" s="510">
        <v>41456</v>
      </c>
      <c r="P119" s="510">
        <v>41456</v>
      </c>
      <c r="Q119" s="510">
        <v>41487</v>
      </c>
      <c r="R119" s="510">
        <v>41487</v>
      </c>
      <c r="S119" s="309" t="s">
        <v>128</v>
      </c>
      <c r="T119" s="274"/>
      <c r="U119" s="307">
        <v>286650000</v>
      </c>
    </row>
    <row r="120" spans="1:21" s="293" customFormat="1" x14ac:dyDescent="0.2">
      <c r="A120" s="497">
        <v>3</v>
      </c>
      <c r="B120" s="497" t="s">
        <v>1039</v>
      </c>
      <c r="C120" s="497">
        <v>1</v>
      </c>
      <c r="D120" s="497"/>
      <c r="E120" s="338" t="s">
        <v>399</v>
      </c>
      <c r="F120" s="313" t="s">
        <v>234</v>
      </c>
      <c r="G120" s="313" t="s">
        <v>236</v>
      </c>
      <c r="H120" s="311" t="s">
        <v>258</v>
      </c>
      <c r="I120" s="314">
        <f t="shared" si="6"/>
        <v>568271.71785353182</v>
      </c>
      <c r="J120" s="326">
        <f t="shared" si="7"/>
        <v>568271.71785353182</v>
      </c>
      <c r="K120" s="328" t="s">
        <v>257</v>
      </c>
      <c r="L120" s="328" t="s">
        <v>132</v>
      </c>
      <c r="M120" s="321">
        <v>1</v>
      </c>
      <c r="N120" s="321">
        <v>0</v>
      </c>
      <c r="O120" s="510">
        <v>41456</v>
      </c>
      <c r="P120" s="510">
        <v>41456</v>
      </c>
      <c r="Q120" s="510">
        <v>41487</v>
      </c>
      <c r="R120" s="510">
        <v>41487</v>
      </c>
      <c r="S120" s="309" t="s">
        <v>128</v>
      </c>
      <c r="T120" s="274"/>
      <c r="U120" s="307">
        <v>286650000</v>
      </c>
    </row>
    <row r="121" spans="1:21" s="293" customFormat="1" x14ac:dyDescent="0.2">
      <c r="A121" s="497">
        <v>3</v>
      </c>
      <c r="B121" s="497" t="s">
        <v>1040</v>
      </c>
      <c r="C121" s="497">
        <v>1</v>
      </c>
      <c r="D121" s="497"/>
      <c r="E121" s="338" t="s">
        <v>400</v>
      </c>
      <c r="F121" s="313" t="s">
        <v>213</v>
      </c>
      <c r="G121" s="313" t="s">
        <v>213</v>
      </c>
      <c r="H121" s="311" t="s">
        <v>258</v>
      </c>
      <c r="I121" s="314">
        <f t="shared" si="6"/>
        <v>568271.71785353182</v>
      </c>
      <c r="J121" s="326">
        <f t="shared" si="7"/>
        <v>568271.71785353182</v>
      </c>
      <c r="K121" s="328" t="s">
        <v>257</v>
      </c>
      <c r="L121" s="328" t="s">
        <v>132</v>
      </c>
      <c r="M121" s="321">
        <v>1</v>
      </c>
      <c r="N121" s="321">
        <v>0</v>
      </c>
      <c r="O121" s="510">
        <v>41456</v>
      </c>
      <c r="P121" s="510">
        <v>41456</v>
      </c>
      <c r="Q121" s="510">
        <v>41487</v>
      </c>
      <c r="R121" s="510">
        <v>41487</v>
      </c>
      <c r="S121" s="309" t="s">
        <v>128</v>
      </c>
      <c r="T121" s="274"/>
      <c r="U121" s="307">
        <v>286650000</v>
      </c>
    </row>
    <row r="122" spans="1:21" s="293" customFormat="1" x14ac:dyDescent="0.2">
      <c r="A122" s="497">
        <v>3</v>
      </c>
      <c r="B122" s="497" t="s">
        <v>1041</v>
      </c>
      <c r="C122" s="497">
        <v>1</v>
      </c>
      <c r="D122" s="497"/>
      <c r="E122" s="338" t="s">
        <v>401</v>
      </c>
      <c r="F122" s="313" t="s">
        <v>213</v>
      </c>
      <c r="G122" s="313" t="s">
        <v>215</v>
      </c>
      <c r="H122" s="311" t="s">
        <v>258</v>
      </c>
      <c r="I122" s="314">
        <f t="shared" si="6"/>
        <v>340963.03071211913</v>
      </c>
      <c r="J122" s="326">
        <f t="shared" si="7"/>
        <v>340963.03071211913</v>
      </c>
      <c r="K122" s="328" t="s">
        <v>257</v>
      </c>
      <c r="L122" s="328" t="s">
        <v>132</v>
      </c>
      <c r="M122" s="321">
        <v>1</v>
      </c>
      <c r="N122" s="321">
        <v>0</v>
      </c>
      <c r="O122" s="510">
        <v>41456</v>
      </c>
      <c r="P122" s="510">
        <v>41456</v>
      </c>
      <c r="Q122" s="510">
        <v>41487</v>
      </c>
      <c r="R122" s="510">
        <v>41487</v>
      </c>
      <c r="S122" s="309" t="s">
        <v>128</v>
      </c>
      <c r="T122" s="274"/>
      <c r="U122" s="307">
        <v>171990000</v>
      </c>
    </row>
    <row r="123" spans="1:21" s="293" customFormat="1" x14ac:dyDescent="0.2">
      <c r="A123" s="497">
        <v>3</v>
      </c>
      <c r="B123" s="497" t="s">
        <v>1042</v>
      </c>
      <c r="C123" s="497">
        <v>1</v>
      </c>
      <c r="D123" s="497"/>
      <c r="E123" s="338" t="s">
        <v>402</v>
      </c>
      <c r="F123" s="313" t="s">
        <v>208</v>
      </c>
      <c r="G123" s="313" t="s">
        <v>209</v>
      </c>
      <c r="H123" s="311" t="s">
        <v>258</v>
      </c>
      <c r="I123" s="314">
        <f t="shared" si="6"/>
        <v>340963.03071211913</v>
      </c>
      <c r="J123" s="326">
        <f t="shared" si="7"/>
        <v>340963.03071211913</v>
      </c>
      <c r="K123" s="328" t="s">
        <v>257</v>
      </c>
      <c r="L123" s="328" t="s">
        <v>132</v>
      </c>
      <c r="M123" s="321">
        <v>1</v>
      </c>
      <c r="N123" s="321">
        <v>0</v>
      </c>
      <c r="O123" s="510">
        <v>41456</v>
      </c>
      <c r="P123" s="510">
        <v>41456</v>
      </c>
      <c r="Q123" s="510">
        <v>41487</v>
      </c>
      <c r="R123" s="510">
        <v>41487</v>
      </c>
      <c r="S123" s="309" t="s">
        <v>128</v>
      </c>
      <c r="T123" s="274"/>
      <c r="U123" s="307">
        <v>171990000</v>
      </c>
    </row>
    <row r="124" spans="1:21" s="293" customFormat="1" x14ac:dyDescent="0.2">
      <c r="A124" s="497">
        <v>3</v>
      </c>
      <c r="B124" s="497" t="s">
        <v>1043</v>
      </c>
      <c r="C124" s="497">
        <v>1</v>
      </c>
      <c r="D124" s="497"/>
      <c r="E124" s="338" t="s">
        <v>403</v>
      </c>
      <c r="F124" s="313" t="s">
        <v>234</v>
      </c>
      <c r="G124" s="313" t="s">
        <v>242</v>
      </c>
      <c r="H124" s="311" t="s">
        <v>258</v>
      </c>
      <c r="I124" s="314">
        <f t="shared" si="6"/>
        <v>340963.03071211913</v>
      </c>
      <c r="J124" s="326">
        <f t="shared" si="7"/>
        <v>340963.03071211913</v>
      </c>
      <c r="K124" s="328" t="s">
        <v>257</v>
      </c>
      <c r="L124" s="328" t="s">
        <v>132</v>
      </c>
      <c r="M124" s="321">
        <v>1</v>
      </c>
      <c r="N124" s="321">
        <v>0</v>
      </c>
      <c r="O124" s="510">
        <v>41456</v>
      </c>
      <c r="P124" s="510">
        <v>41456</v>
      </c>
      <c r="Q124" s="510">
        <v>41487</v>
      </c>
      <c r="R124" s="510">
        <v>41487</v>
      </c>
      <c r="S124" s="309" t="s">
        <v>128</v>
      </c>
      <c r="T124" s="274"/>
      <c r="U124" s="307">
        <v>171990000</v>
      </c>
    </row>
    <row r="125" spans="1:21" s="293" customFormat="1" x14ac:dyDescent="0.2">
      <c r="A125" s="497">
        <v>3</v>
      </c>
      <c r="B125" s="497" t="s">
        <v>1044</v>
      </c>
      <c r="C125" s="497">
        <v>1</v>
      </c>
      <c r="D125" s="497"/>
      <c r="E125" s="338" t="s">
        <v>394</v>
      </c>
      <c r="F125" s="313" t="s">
        <v>234</v>
      </c>
      <c r="G125" s="313" t="s">
        <v>250</v>
      </c>
      <c r="H125" s="311" t="s">
        <v>258</v>
      </c>
      <c r="I125" s="314">
        <f t="shared" si="6"/>
        <v>340963.03071211913</v>
      </c>
      <c r="J125" s="326">
        <f t="shared" si="7"/>
        <v>340963.03071211913</v>
      </c>
      <c r="K125" s="328" t="s">
        <v>257</v>
      </c>
      <c r="L125" s="328" t="s">
        <v>132</v>
      </c>
      <c r="M125" s="321">
        <v>1</v>
      </c>
      <c r="N125" s="321">
        <v>0</v>
      </c>
      <c r="O125" s="510">
        <v>41456</v>
      </c>
      <c r="P125" s="510">
        <v>41456</v>
      </c>
      <c r="Q125" s="510">
        <v>41487</v>
      </c>
      <c r="R125" s="510">
        <v>41487</v>
      </c>
      <c r="S125" s="309" t="s">
        <v>128</v>
      </c>
      <c r="T125" s="274"/>
      <c r="U125" s="307">
        <v>171990000</v>
      </c>
    </row>
    <row r="126" spans="1:21" s="293" customFormat="1" x14ac:dyDescent="0.2">
      <c r="A126" s="497">
        <v>3</v>
      </c>
      <c r="B126" s="497" t="s">
        <v>1045</v>
      </c>
      <c r="C126" s="497">
        <v>1</v>
      </c>
      <c r="D126" s="497"/>
      <c r="E126" s="338" t="s">
        <v>395</v>
      </c>
      <c r="F126" s="313" t="s">
        <v>234</v>
      </c>
      <c r="G126" s="313" t="s">
        <v>252</v>
      </c>
      <c r="H126" s="311" t="s">
        <v>258</v>
      </c>
      <c r="I126" s="314">
        <f t="shared" si="6"/>
        <v>340963.03071211913</v>
      </c>
      <c r="J126" s="326">
        <f t="shared" si="7"/>
        <v>340963.03071211913</v>
      </c>
      <c r="K126" s="328" t="s">
        <v>257</v>
      </c>
      <c r="L126" s="328" t="s">
        <v>132</v>
      </c>
      <c r="M126" s="321">
        <v>1</v>
      </c>
      <c r="N126" s="321">
        <v>0</v>
      </c>
      <c r="O126" s="510">
        <v>41456</v>
      </c>
      <c r="P126" s="510">
        <v>41456</v>
      </c>
      <c r="Q126" s="510">
        <v>41487</v>
      </c>
      <c r="R126" s="510">
        <v>41487</v>
      </c>
      <c r="S126" s="309" t="s">
        <v>128</v>
      </c>
      <c r="T126" s="274"/>
      <c r="U126" s="307">
        <v>171990000</v>
      </c>
    </row>
    <row r="127" spans="1:21" s="293" customFormat="1" x14ac:dyDescent="0.2">
      <c r="A127" s="497">
        <v>3</v>
      </c>
      <c r="B127" s="497" t="s">
        <v>1046</v>
      </c>
      <c r="C127" s="497">
        <v>1</v>
      </c>
      <c r="D127" s="497"/>
      <c r="E127" s="338" t="s">
        <v>396</v>
      </c>
      <c r="F127" s="313" t="s">
        <v>217</v>
      </c>
      <c r="G127" s="313" t="s">
        <v>239</v>
      </c>
      <c r="H127" s="311" t="s">
        <v>258</v>
      </c>
      <c r="I127" s="314">
        <f t="shared" si="6"/>
        <v>340963.03071211913</v>
      </c>
      <c r="J127" s="326">
        <f t="shared" si="7"/>
        <v>340963.03071211913</v>
      </c>
      <c r="K127" s="328" t="s">
        <v>257</v>
      </c>
      <c r="L127" s="328" t="s">
        <v>132</v>
      </c>
      <c r="M127" s="321">
        <v>1</v>
      </c>
      <c r="N127" s="321">
        <v>0</v>
      </c>
      <c r="O127" s="510">
        <v>41456</v>
      </c>
      <c r="P127" s="510">
        <v>41456</v>
      </c>
      <c r="Q127" s="510">
        <v>41487</v>
      </c>
      <c r="R127" s="510">
        <v>41487</v>
      </c>
      <c r="S127" s="309" t="s">
        <v>128</v>
      </c>
      <c r="T127" s="274"/>
      <c r="U127" s="307">
        <v>171990000</v>
      </c>
    </row>
    <row r="128" spans="1:21" s="293" customFormat="1" x14ac:dyDescent="0.2">
      <c r="A128" s="497">
        <v>3</v>
      </c>
      <c r="B128" s="497" t="s">
        <v>1047</v>
      </c>
      <c r="C128" s="497">
        <v>1</v>
      </c>
      <c r="D128" s="497"/>
      <c r="E128" s="338" t="s">
        <v>391</v>
      </c>
      <c r="F128" s="313" t="s">
        <v>225</v>
      </c>
      <c r="G128" s="313" t="s">
        <v>226</v>
      </c>
      <c r="H128" s="311" t="s">
        <v>258</v>
      </c>
      <c r="I128" s="314">
        <f t="shared" si="6"/>
        <v>340963.03071211913</v>
      </c>
      <c r="J128" s="326">
        <f t="shared" si="7"/>
        <v>340963.03071211913</v>
      </c>
      <c r="K128" s="328" t="s">
        <v>257</v>
      </c>
      <c r="L128" s="328" t="s">
        <v>132</v>
      </c>
      <c r="M128" s="321">
        <v>1</v>
      </c>
      <c r="N128" s="321">
        <v>0</v>
      </c>
      <c r="O128" s="510">
        <v>41456</v>
      </c>
      <c r="P128" s="510">
        <v>41456</v>
      </c>
      <c r="Q128" s="510">
        <v>41487</v>
      </c>
      <c r="R128" s="510">
        <v>41487</v>
      </c>
      <c r="S128" s="309" t="s">
        <v>128</v>
      </c>
      <c r="T128" s="274"/>
      <c r="U128" s="307">
        <v>171990000</v>
      </c>
    </row>
    <row r="129" spans="1:21" s="293" customFormat="1" x14ac:dyDescent="0.2">
      <c r="A129" s="497">
        <v>3</v>
      </c>
      <c r="B129" s="497" t="s">
        <v>1048</v>
      </c>
      <c r="C129" s="497">
        <v>1</v>
      </c>
      <c r="D129" s="497"/>
      <c r="E129" s="338" t="s">
        <v>392</v>
      </c>
      <c r="F129" s="313" t="s">
        <v>234</v>
      </c>
      <c r="G129" s="313" t="s">
        <v>256</v>
      </c>
      <c r="H129" s="311" t="s">
        <v>258</v>
      </c>
      <c r="I129" s="314">
        <f t="shared" si="6"/>
        <v>340963.03071211913</v>
      </c>
      <c r="J129" s="326">
        <f t="shared" si="7"/>
        <v>340963.03071211913</v>
      </c>
      <c r="K129" s="328" t="s">
        <v>257</v>
      </c>
      <c r="L129" s="328" t="s">
        <v>132</v>
      </c>
      <c r="M129" s="321">
        <v>1</v>
      </c>
      <c r="N129" s="321">
        <v>0</v>
      </c>
      <c r="O129" s="510">
        <v>41456</v>
      </c>
      <c r="P129" s="510">
        <v>41456</v>
      </c>
      <c r="Q129" s="510">
        <v>41487</v>
      </c>
      <c r="R129" s="510">
        <v>41487</v>
      </c>
      <c r="S129" s="309" t="s">
        <v>128</v>
      </c>
      <c r="T129" s="274"/>
      <c r="U129" s="307">
        <v>171990000</v>
      </c>
    </row>
    <row r="130" spans="1:21" s="293" customFormat="1" x14ac:dyDescent="0.2">
      <c r="A130" s="497">
        <v>3</v>
      </c>
      <c r="B130" s="497" t="s">
        <v>1049</v>
      </c>
      <c r="C130" s="497">
        <v>1</v>
      </c>
      <c r="D130" s="497"/>
      <c r="E130" s="338" t="s">
        <v>393</v>
      </c>
      <c r="F130" s="313" t="s">
        <v>225</v>
      </c>
      <c r="G130" s="313" t="s">
        <v>226</v>
      </c>
      <c r="H130" s="311" t="s">
        <v>258</v>
      </c>
      <c r="I130" s="314">
        <f t="shared" si="6"/>
        <v>340963.03071211913</v>
      </c>
      <c r="J130" s="326">
        <f t="shared" si="7"/>
        <v>340963.03071211913</v>
      </c>
      <c r="K130" s="328" t="s">
        <v>257</v>
      </c>
      <c r="L130" s="328" t="s">
        <v>132</v>
      </c>
      <c r="M130" s="321">
        <v>1</v>
      </c>
      <c r="N130" s="321">
        <v>0</v>
      </c>
      <c r="O130" s="510">
        <v>41456</v>
      </c>
      <c r="P130" s="510">
        <v>41456</v>
      </c>
      <c r="Q130" s="510">
        <v>41487</v>
      </c>
      <c r="R130" s="510">
        <v>41487</v>
      </c>
      <c r="S130" s="309" t="s">
        <v>128</v>
      </c>
      <c r="T130" s="274"/>
      <c r="U130" s="307">
        <v>171990000</v>
      </c>
    </row>
    <row r="131" spans="1:21" s="293" customFormat="1" x14ac:dyDescent="0.2">
      <c r="A131" s="497">
        <v>4</v>
      </c>
      <c r="B131" s="497" t="s">
        <v>1050</v>
      </c>
      <c r="C131" s="497">
        <v>1</v>
      </c>
      <c r="D131" s="497"/>
      <c r="E131" s="338" t="s">
        <v>426</v>
      </c>
      <c r="F131" s="313" t="s">
        <v>218</v>
      </c>
      <c r="G131" s="313" t="s">
        <v>237</v>
      </c>
      <c r="H131" s="311" t="s">
        <v>258</v>
      </c>
      <c r="I131" s="314">
        <f t="shared" si="6"/>
        <v>484384.0019540806</v>
      </c>
      <c r="J131" s="326">
        <f t="shared" si="7"/>
        <v>484384.0019540806</v>
      </c>
      <c r="K131" s="328" t="s">
        <v>257</v>
      </c>
      <c r="L131" s="328" t="s">
        <v>132</v>
      </c>
      <c r="M131" s="321">
        <v>1</v>
      </c>
      <c r="N131" s="321">
        <v>0</v>
      </c>
      <c r="O131" s="510">
        <v>41821</v>
      </c>
      <c r="P131" s="510">
        <v>41821</v>
      </c>
      <c r="Q131" s="510">
        <v>41852</v>
      </c>
      <c r="R131" s="510">
        <v>41852</v>
      </c>
      <c r="S131" s="309" t="s">
        <v>128</v>
      </c>
      <c r="T131" s="274"/>
      <c r="U131" s="307">
        <v>244335007.00086662</v>
      </c>
    </row>
    <row r="132" spans="1:21" s="293" customFormat="1" x14ac:dyDescent="0.2">
      <c r="A132" s="497">
        <v>4</v>
      </c>
      <c r="B132" s="497" t="s">
        <v>1051</v>
      </c>
      <c r="C132" s="497">
        <v>1</v>
      </c>
      <c r="D132" s="497"/>
      <c r="E132" s="338" t="s">
        <v>404</v>
      </c>
      <c r="F132" s="313" t="s">
        <v>218</v>
      </c>
      <c r="G132" s="313" t="s">
        <v>238</v>
      </c>
      <c r="H132" s="311" t="s">
        <v>258</v>
      </c>
      <c r="I132" s="314">
        <f t="shared" si="6"/>
        <v>549329.01204453269</v>
      </c>
      <c r="J132" s="326">
        <f t="shared" si="7"/>
        <v>549329.01204453269</v>
      </c>
      <c r="K132" s="328" t="s">
        <v>257</v>
      </c>
      <c r="L132" s="328" t="s">
        <v>132</v>
      </c>
      <c r="M132" s="321">
        <v>1</v>
      </c>
      <c r="N132" s="321">
        <v>0</v>
      </c>
      <c r="O132" s="510">
        <v>41821</v>
      </c>
      <c r="P132" s="510">
        <v>41821</v>
      </c>
      <c r="Q132" s="510">
        <v>41852</v>
      </c>
      <c r="R132" s="510">
        <v>41852</v>
      </c>
      <c r="S132" s="309" t="s">
        <v>128</v>
      </c>
      <c r="T132" s="274"/>
      <c r="U132" s="307">
        <v>277094840.99849373</v>
      </c>
    </row>
    <row r="133" spans="1:21" s="293" customFormat="1" x14ac:dyDescent="0.2">
      <c r="A133" s="497">
        <v>4</v>
      </c>
      <c r="B133" s="497" t="s">
        <v>1052</v>
      </c>
      <c r="C133" s="497">
        <v>1</v>
      </c>
      <c r="D133" s="497"/>
      <c r="E133" s="338" t="s">
        <v>405</v>
      </c>
      <c r="F133" s="313" t="s">
        <v>217</v>
      </c>
      <c r="G133" s="313" t="s">
        <v>239</v>
      </c>
      <c r="H133" s="311" t="s">
        <v>258</v>
      </c>
      <c r="I133" s="314">
        <f t="shared" si="6"/>
        <v>596685.30374620843</v>
      </c>
      <c r="J133" s="326">
        <f t="shared" si="7"/>
        <v>596685.30374620843</v>
      </c>
      <c r="K133" s="328" t="s">
        <v>257</v>
      </c>
      <c r="L133" s="328" t="s">
        <v>132</v>
      </c>
      <c r="M133" s="321">
        <v>1</v>
      </c>
      <c r="N133" s="321">
        <v>0</v>
      </c>
      <c r="O133" s="510">
        <v>41821</v>
      </c>
      <c r="P133" s="510">
        <v>41821</v>
      </c>
      <c r="Q133" s="510">
        <v>41852</v>
      </c>
      <c r="R133" s="510">
        <v>41852</v>
      </c>
      <c r="S133" s="309" t="s">
        <v>128</v>
      </c>
      <c r="T133" s="274"/>
      <c r="U133" s="307">
        <v>300982500</v>
      </c>
    </row>
    <row r="134" spans="1:21" s="293" customFormat="1" x14ac:dyDescent="0.2">
      <c r="A134" s="497">
        <v>4</v>
      </c>
      <c r="B134" s="497" t="s">
        <v>1053</v>
      </c>
      <c r="C134" s="497">
        <v>1</v>
      </c>
      <c r="D134" s="497"/>
      <c r="E134" s="338" t="s">
        <v>406</v>
      </c>
      <c r="F134" s="313" t="s">
        <v>218</v>
      </c>
      <c r="G134" s="313" t="s">
        <v>218</v>
      </c>
      <c r="H134" s="311" t="s">
        <v>258</v>
      </c>
      <c r="I134" s="314">
        <f t="shared" si="6"/>
        <v>419438.99582561891</v>
      </c>
      <c r="J134" s="326">
        <f t="shared" si="7"/>
        <v>419438.99582561891</v>
      </c>
      <c r="K134" s="328" t="s">
        <v>257</v>
      </c>
      <c r="L134" s="328" t="s">
        <v>132</v>
      </c>
      <c r="M134" s="321">
        <v>1</v>
      </c>
      <c r="N134" s="321">
        <v>0</v>
      </c>
      <c r="O134" s="510">
        <v>41821</v>
      </c>
      <c r="P134" s="510">
        <v>41821</v>
      </c>
      <c r="Q134" s="510">
        <v>41852</v>
      </c>
      <c r="R134" s="510">
        <v>41852</v>
      </c>
      <c r="S134" s="309" t="s">
        <v>128</v>
      </c>
      <c r="T134" s="274"/>
      <c r="U134" s="307">
        <v>211575175.00176331</v>
      </c>
    </row>
    <row r="135" spans="1:21" s="293" customFormat="1" x14ac:dyDescent="0.2">
      <c r="A135" s="497">
        <v>4</v>
      </c>
      <c r="B135" s="497" t="s">
        <v>1054</v>
      </c>
      <c r="C135" s="497">
        <v>1</v>
      </c>
      <c r="D135" s="497"/>
      <c r="E135" s="338" t="s">
        <v>407</v>
      </c>
      <c r="F135" s="313" t="s">
        <v>224</v>
      </c>
      <c r="G135" s="313" t="s">
        <v>249</v>
      </c>
      <c r="H135" s="311" t="s">
        <v>258</v>
      </c>
      <c r="I135" s="314">
        <f t="shared" si="6"/>
        <v>484384.0019540806</v>
      </c>
      <c r="J135" s="326">
        <f t="shared" si="7"/>
        <v>484384.0019540806</v>
      </c>
      <c r="K135" s="328" t="s">
        <v>257</v>
      </c>
      <c r="L135" s="328" t="s">
        <v>132</v>
      </c>
      <c r="M135" s="321">
        <v>1</v>
      </c>
      <c r="N135" s="321">
        <v>0</v>
      </c>
      <c r="O135" s="510">
        <v>41821</v>
      </c>
      <c r="P135" s="510">
        <v>41821</v>
      </c>
      <c r="Q135" s="510">
        <v>41852</v>
      </c>
      <c r="R135" s="510">
        <v>41852</v>
      </c>
      <c r="S135" s="309" t="s">
        <v>128</v>
      </c>
      <c r="T135" s="274"/>
      <c r="U135" s="307">
        <v>244335007.00086662</v>
      </c>
    </row>
    <row r="136" spans="1:21" s="293" customFormat="1" x14ac:dyDescent="0.2">
      <c r="A136" s="497">
        <v>4</v>
      </c>
      <c r="B136" s="497" t="s">
        <v>1055</v>
      </c>
      <c r="C136" s="497">
        <v>1</v>
      </c>
      <c r="D136" s="497"/>
      <c r="E136" s="338" t="s">
        <v>408</v>
      </c>
      <c r="F136" s="313" t="s">
        <v>224</v>
      </c>
      <c r="G136" s="313" t="s">
        <v>246</v>
      </c>
      <c r="H136" s="311" t="s">
        <v>258</v>
      </c>
      <c r="I136" s="314">
        <f t="shared" si="6"/>
        <v>549329.01204453269</v>
      </c>
      <c r="J136" s="326">
        <f t="shared" si="7"/>
        <v>549329.01204453269</v>
      </c>
      <c r="K136" s="328" t="s">
        <v>257</v>
      </c>
      <c r="L136" s="328" t="s">
        <v>132</v>
      </c>
      <c r="M136" s="321">
        <v>1</v>
      </c>
      <c r="N136" s="321">
        <v>0</v>
      </c>
      <c r="O136" s="510">
        <v>41821</v>
      </c>
      <c r="P136" s="510">
        <v>41821</v>
      </c>
      <c r="Q136" s="510">
        <v>41852</v>
      </c>
      <c r="R136" s="510">
        <v>41852</v>
      </c>
      <c r="S136" s="309" t="s">
        <v>128</v>
      </c>
      <c r="T136" s="274"/>
      <c r="U136" s="307">
        <v>277094840.99849373</v>
      </c>
    </row>
    <row r="137" spans="1:21" s="293" customFormat="1" x14ac:dyDescent="0.2">
      <c r="A137" s="497">
        <v>4</v>
      </c>
      <c r="B137" s="497" t="s">
        <v>1056</v>
      </c>
      <c r="C137" s="497">
        <v>1</v>
      </c>
      <c r="D137" s="497"/>
      <c r="E137" s="338" t="s">
        <v>409</v>
      </c>
      <c r="F137" s="313" t="s">
        <v>218</v>
      </c>
      <c r="G137" s="313" t="s">
        <v>237</v>
      </c>
      <c r="H137" s="311" t="s">
        <v>258</v>
      </c>
      <c r="I137" s="314">
        <f t="shared" si="6"/>
        <v>358011.18224772508</v>
      </c>
      <c r="J137" s="326">
        <f t="shared" si="7"/>
        <v>358011.18224772508</v>
      </c>
      <c r="K137" s="328" t="s">
        <v>257</v>
      </c>
      <c r="L137" s="328" t="s">
        <v>132</v>
      </c>
      <c r="M137" s="321">
        <v>1</v>
      </c>
      <c r="N137" s="321">
        <v>0</v>
      </c>
      <c r="O137" s="510">
        <v>41821</v>
      </c>
      <c r="P137" s="510">
        <v>41821</v>
      </c>
      <c r="Q137" s="510">
        <v>41852</v>
      </c>
      <c r="R137" s="510">
        <v>41852</v>
      </c>
      <c r="S137" s="309" t="s">
        <v>128</v>
      </c>
      <c r="T137" s="274"/>
      <c r="U137" s="307">
        <v>180589500</v>
      </c>
    </row>
    <row r="138" spans="1:21" s="293" customFormat="1" x14ac:dyDescent="0.2">
      <c r="A138" s="497">
        <v>4</v>
      </c>
      <c r="B138" s="497" t="s">
        <v>1057</v>
      </c>
      <c r="C138" s="497">
        <v>1</v>
      </c>
      <c r="D138" s="497"/>
      <c r="E138" s="338" t="s">
        <v>410</v>
      </c>
      <c r="F138" s="313" t="s">
        <v>221</v>
      </c>
      <c r="G138" s="313" t="s">
        <v>240</v>
      </c>
      <c r="H138" s="311" t="s">
        <v>258</v>
      </c>
      <c r="I138" s="314">
        <f t="shared" si="6"/>
        <v>358011.18224772508</v>
      </c>
      <c r="J138" s="326">
        <f t="shared" si="7"/>
        <v>358011.18224772508</v>
      </c>
      <c r="K138" s="328" t="s">
        <v>257</v>
      </c>
      <c r="L138" s="328" t="s">
        <v>132</v>
      </c>
      <c r="M138" s="321">
        <v>1</v>
      </c>
      <c r="N138" s="321">
        <v>0</v>
      </c>
      <c r="O138" s="510">
        <v>41821</v>
      </c>
      <c r="P138" s="510">
        <v>41821</v>
      </c>
      <c r="Q138" s="510">
        <v>41852</v>
      </c>
      <c r="R138" s="510">
        <v>41852</v>
      </c>
      <c r="S138" s="309" t="s">
        <v>128</v>
      </c>
      <c r="T138" s="274"/>
      <c r="U138" s="307">
        <v>180589500</v>
      </c>
    </row>
    <row r="139" spans="1:21" s="293" customFormat="1" x14ac:dyDescent="0.2">
      <c r="A139" s="497">
        <v>4</v>
      </c>
      <c r="B139" s="497" t="s">
        <v>1058</v>
      </c>
      <c r="C139" s="497">
        <v>1</v>
      </c>
      <c r="D139" s="497"/>
      <c r="E139" s="338" t="s">
        <v>411</v>
      </c>
      <c r="F139" s="313" t="s">
        <v>208</v>
      </c>
      <c r="G139" s="313" t="s">
        <v>246</v>
      </c>
      <c r="H139" s="311" t="s">
        <v>258</v>
      </c>
      <c r="I139" s="314">
        <f t="shared" si="6"/>
        <v>358011.18224772508</v>
      </c>
      <c r="J139" s="326">
        <f t="shared" si="7"/>
        <v>358011.18224772508</v>
      </c>
      <c r="K139" s="328" t="s">
        <v>257</v>
      </c>
      <c r="L139" s="328" t="s">
        <v>132</v>
      </c>
      <c r="M139" s="321">
        <v>1</v>
      </c>
      <c r="N139" s="321">
        <v>0</v>
      </c>
      <c r="O139" s="510">
        <v>41821</v>
      </c>
      <c r="P139" s="510">
        <v>41821</v>
      </c>
      <c r="Q139" s="510">
        <v>41852</v>
      </c>
      <c r="R139" s="510">
        <v>41852</v>
      </c>
      <c r="S139" s="309" t="s">
        <v>128</v>
      </c>
      <c r="T139" s="274"/>
      <c r="U139" s="307">
        <v>180589500</v>
      </c>
    </row>
    <row r="140" spans="1:21" s="293" customFormat="1" x14ac:dyDescent="0.2">
      <c r="A140" s="497">
        <v>4</v>
      </c>
      <c r="B140" s="497" t="s">
        <v>1059</v>
      </c>
      <c r="C140" s="497">
        <v>1</v>
      </c>
      <c r="D140" s="497"/>
      <c r="E140" s="338" t="s">
        <v>412</v>
      </c>
      <c r="F140" s="313" t="s">
        <v>210</v>
      </c>
      <c r="G140" s="313" t="s">
        <v>247</v>
      </c>
      <c r="H140" s="311" t="s">
        <v>258</v>
      </c>
      <c r="I140" s="314">
        <f t="shared" si="6"/>
        <v>441087.00211789412</v>
      </c>
      <c r="J140" s="326">
        <f t="shared" si="7"/>
        <v>441087.00211789412</v>
      </c>
      <c r="K140" s="328" t="s">
        <v>257</v>
      </c>
      <c r="L140" s="328" t="s">
        <v>132</v>
      </c>
      <c r="M140" s="321">
        <v>1</v>
      </c>
      <c r="N140" s="321">
        <v>0</v>
      </c>
      <c r="O140" s="510">
        <v>41821</v>
      </c>
      <c r="P140" s="510">
        <v>41821</v>
      </c>
      <c r="Q140" s="510">
        <v>41852</v>
      </c>
      <c r="R140" s="510">
        <v>41852</v>
      </c>
      <c r="S140" s="309" t="s">
        <v>128</v>
      </c>
      <c r="T140" s="274"/>
      <c r="U140" s="307">
        <v>222494953.00359604</v>
      </c>
    </row>
    <row r="141" spans="1:21" s="293" customFormat="1" x14ac:dyDescent="0.2">
      <c r="A141" s="497">
        <v>4</v>
      </c>
      <c r="B141" s="497" t="s">
        <v>1060</v>
      </c>
      <c r="C141" s="497">
        <v>1</v>
      </c>
      <c r="D141" s="497"/>
      <c r="E141" s="338" t="s">
        <v>413</v>
      </c>
      <c r="F141" s="313" t="s">
        <v>208</v>
      </c>
      <c r="G141" s="313" t="s">
        <v>248</v>
      </c>
      <c r="H141" s="311" t="s">
        <v>258</v>
      </c>
      <c r="I141" s="314">
        <f t="shared" si="6"/>
        <v>358011.18224772508</v>
      </c>
      <c r="J141" s="326">
        <f t="shared" si="7"/>
        <v>358011.18224772508</v>
      </c>
      <c r="K141" s="328" t="s">
        <v>257</v>
      </c>
      <c r="L141" s="328" t="s">
        <v>132</v>
      </c>
      <c r="M141" s="321">
        <v>1</v>
      </c>
      <c r="N141" s="321">
        <v>0</v>
      </c>
      <c r="O141" s="510">
        <v>41821</v>
      </c>
      <c r="P141" s="510">
        <v>41821</v>
      </c>
      <c r="Q141" s="510">
        <v>41852</v>
      </c>
      <c r="R141" s="510">
        <v>41852</v>
      </c>
      <c r="S141" s="309" t="s">
        <v>128</v>
      </c>
      <c r="T141" s="274"/>
      <c r="U141" s="307">
        <v>180589500</v>
      </c>
    </row>
    <row r="142" spans="1:21" s="293" customFormat="1" x14ac:dyDescent="0.2">
      <c r="A142" s="497">
        <v>4</v>
      </c>
      <c r="B142" s="497" t="s">
        <v>1061</v>
      </c>
      <c r="C142" s="497">
        <v>1</v>
      </c>
      <c r="D142" s="497"/>
      <c r="E142" s="338" t="s">
        <v>414</v>
      </c>
      <c r="F142" s="313" t="s">
        <v>208</v>
      </c>
      <c r="G142" s="313" t="s">
        <v>248</v>
      </c>
      <c r="H142" s="311" t="s">
        <v>258</v>
      </c>
      <c r="I142" s="314">
        <f t="shared" si="6"/>
        <v>358011.18224772508</v>
      </c>
      <c r="J142" s="326">
        <f t="shared" si="7"/>
        <v>358011.18224772508</v>
      </c>
      <c r="K142" s="328" t="s">
        <v>257</v>
      </c>
      <c r="L142" s="328" t="s">
        <v>132</v>
      </c>
      <c r="M142" s="321">
        <v>1</v>
      </c>
      <c r="N142" s="321">
        <v>0</v>
      </c>
      <c r="O142" s="510">
        <v>41821</v>
      </c>
      <c r="P142" s="510">
        <v>41821</v>
      </c>
      <c r="Q142" s="510">
        <v>41852</v>
      </c>
      <c r="R142" s="510">
        <v>41852</v>
      </c>
      <c r="S142" s="309" t="s">
        <v>128</v>
      </c>
      <c r="T142" s="274"/>
      <c r="U142" s="307">
        <v>180589500</v>
      </c>
    </row>
    <row r="143" spans="1:21" s="293" customFormat="1" x14ac:dyDescent="0.2">
      <c r="A143" s="497">
        <v>4</v>
      </c>
      <c r="B143" s="497" t="s">
        <v>1062</v>
      </c>
      <c r="C143" s="497">
        <v>1</v>
      </c>
      <c r="D143" s="497"/>
      <c r="E143" s="338" t="s">
        <v>415</v>
      </c>
      <c r="F143" s="313" t="s">
        <v>217</v>
      </c>
      <c r="G143" s="313" t="s">
        <v>251</v>
      </c>
      <c r="H143" s="311" t="s">
        <v>258</v>
      </c>
      <c r="I143" s="314">
        <f t="shared" si="6"/>
        <v>358011.18224772508</v>
      </c>
      <c r="J143" s="326">
        <f t="shared" si="7"/>
        <v>358011.18224772508</v>
      </c>
      <c r="K143" s="328" t="s">
        <v>257</v>
      </c>
      <c r="L143" s="328" t="s">
        <v>132</v>
      </c>
      <c r="M143" s="321">
        <v>1</v>
      </c>
      <c r="N143" s="321">
        <v>0</v>
      </c>
      <c r="O143" s="510">
        <v>41821</v>
      </c>
      <c r="P143" s="510">
        <v>41821</v>
      </c>
      <c r="Q143" s="510">
        <v>41852</v>
      </c>
      <c r="R143" s="510">
        <v>41852</v>
      </c>
      <c r="S143" s="309" t="s">
        <v>128</v>
      </c>
      <c r="T143" s="274"/>
      <c r="U143" s="307">
        <v>180589500</v>
      </c>
    </row>
    <row r="144" spans="1:21" s="293" customFormat="1" x14ac:dyDescent="0.2">
      <c r="A144" s="497">
        <v>4</v>
      </c>
      <c r="B144" s="497" t="s">
        <v>1063</v>
      </c>
      <c r="C144" s="497">
        <v>1</v>
      </c>
      <c r="D144" s="497"/>
      <c r="E144" s="338" t="s">
        <v>416</v>
      </c>
      <c r="F144" s="313" t="s">
        <v>234</v>
      </c>
      <c r="G144" s="313" t="s">
        <v>250</v>
      </c>
      <c r="H144" s="311" t="s">
        <v>258</v>
      </c>
      <c r="I144" s="314">
        <f t="shared" si="6"/>
        <v>358011.18224772508</v>
      </c>
      <c r="J144" s="326">
        <f t="shared" si="7"/>
        <v>358011.18224772508</v>
      </c>
      <c r="K144" s="328" t="s">
        <v>257</v>
      </c>
      <c r="L144" s="328" t="s">
        <v>132</v>
      </c>
      <c r="M144" s="321">
        <v>1</v>
      </c>
      <c r="N144" s="321">
        <v>0</v>
      </c>
      <c r="O144" s="510">
        <v>41821</v>
      </c>
      <c r="P144" s="510">
        <v>41821</v>
      </c>
      <c r="Q144" s="510">
        <v>41852</v>
      </c>
      <c r="R144" s="510">
        <v>41852</v>
      </c>
      <c r="S144" s="309" t="s">
        <v>128</v>
      </c>
      <c r="T144" s="274"/>
      <c r="U144" s="307">
        <v>180589500</v>
      </c>
    </row>
    <row r="145" spans="1:29" s="293" customFormat="1" x14ac:dyDescent="0.2">
      <c r="A145" s="497">
        <v>4</v>
      </c>
      <c r="B145" s="497" t="s">
        <v>1064</v>
      </c>
      <c r="C145" s="497">
        <v>1</v>
      </c>
      <c r="D145" s="497"/>
      <c r="E145" s="338" t="s">
        <v>417</v>
      </c>
      <c r="F145" s="313" t="s">
        <v>217</v>
      </c>
      <c r="G145" s="313" t="s">
        <v>253</v>
      </c>
      <c r="H145" s="311" t="s">
        <v>258</v>
      </c>
      <c r="I145" s="314">
        <f t="shared" si="6"/>
        <v>358011.18224772508</v>
      </c>
      <c r="J145" s="326">
        <f t="shared" si="7"/>
        <v>358011.18224772508</v>
      </c>
      <c r="K145" s="328" t="s">
        <v>257</v>
      </c>
      <c r="L145" s="328" t="s">
        <v>132</v>
      </c>
      <c r="M145" s="321">
        <v>1</v>
      </c>
      <c r="N145" s="321">
        <v>0</v>
      </c>
      <c r="O145" s="510">
        <v>41821</v>
      </c>
      <c r="P145" s="510">
        <v>41821</v>
      </c>
      <c r="Q145" s="510">
        <v>41852</v>
      </c>
      <c r="R145" s="510">
        <v>41852</v>
      </c>
      <c r="S145" s="309" t="s">
        <v>128</v>
      </c>
      <c r="T145" s="274"/>
      <c r="U145" s="307">
        <v>180589500</v>
      </c>
    </row>
    <row r="146" spans="1:29" s="293" customFormat="1" x14ac:dyDescent="0.2">
      <c r="A146" s="497">
        <v>4</v>
      </c>
      <c r="B146" s="497" t="s">
        <v>1065</v>
      </c>
      <c r="C146" s="497">
        <v>1</v>
      </c>
      <c r="D146" s="497"/>
      <c r="E146" s="338" t="s">
        <v>418</v>
      </c>
      <c r="F146" s="313" t="s">
        <v>221</v>
      </c>
      <c r="G146" s="313" t="s">
        <v>240</v>
      </c>
      <c r="H146" s="311" t="s">
        <v>258</v>
      </c>
      <c r="I146" s="314">
        <f t="shared" si="6"/>
        <v>358011.18224772508</v>
      </c>
      <c r="J146" s="326">
        <f t="shared" si="7"/>
        <v>358011.18224772508</v>
      </c>
      <c r="K146" s="328" t="s">
        <v>257</v>
      </c>
      <c r="L146" s="328" t="s">
        <v>132</v>
      </c>
      <c r="M146" s="321">
        <v>1</v>
      </c>
      <c r="N146" s="321">
        <v>0</v>
      </c>
      <c r="O146" s="510">
        <v>41821</v>
      </c>
      <c r="P146" s="510">
        <v>41821</v>
      </c>
      <c r="Q146" s="510">
        <v>41852</v>
      </c>
      <c r="R146" s="510">
        <v>41852</v>
      </c>
      <c r="S146" s="309" t="s">
        <v>128</v>
      </c>
      <c r="T146" s="274"/>
      <c r="U146" s="307">
        <v>180589500</v>
      </c>
    </row>
    <row r="147" spans="1:29" s="293" customFormat="1" x14ac:dyDescent="0.2">
      <c r="A147" s="497">
        <v>4</v>
      </c>
      <c r="B147" s="497" t="s">
        <v>1066</v>
      </c>
      <c r="C147" s="497">
        <v>1</v>
      </c>
      <c r="D147" s="497"/>
      <c r="E147" s="338" t="s">
        <v>419</v>
      </c>
      <c r="F147" s="313" t="s">
        <v>234</v>
      </c>
      <c r="G147" s="313" t="s">
        <v>250</v>
      </c>
      <c r="H147" s="311" t="s">
        <v>258</v>
      </c>
      <c r="I147" s="314">
        <f t="shared" si="6"/>
        <v>358011.18224772508</v>
      </c>
      <c r="J147" s="326">
        <f t="shared" si="7"/>
        <v>358011.18224772508</v>
      </c>
      <c r="K147" s="328" t="s">
        <v>257</v>
      </c>
      <c r="L147" s="328" t="s">
        <v>132</v>
      </c>
      <c r="M147" s="321">
        <v>1</v>
      </c>
      <c r="N147" s="321">
        <v>0</v>
      </c>
      <c r="O147" s="510">
        <v>41821</v>
      </c>
      <c r="P147" s="510">
        <v>41821</v>
      </c>
      <c r="Q147" s="510">
        <v>41852</v>
      </c>
      <c r="R147" s="510">
        <v>41852</v>
      </c>
      <c r="S147" s="309" t="s">
        <v>128</v>
      </c>
      <c r="T147" s="274"/>
      <c r="U147" s="307">
        <v>180589500</v>
      </c>
    </row>
    <row r="148" spans="1:29" s="293" customFormat="1" x14ac:dyDescent="0.2">
      <c r="A148" s="497">
        <v>4</v>
      </c>
      <c r="B148" s="497" t="s">
        <v>1067</v>
      </c>
      <c r="C148" s="497">
        <v>1</v>
      </c>
      <c r="D148" s="497"/>
      <c r="E148" s="338" t="s">
        <v>420</v>
      </c>
      <c r="F148" s="313" t="s">
        <v>221</v>
      </c>
      <c r="G148" s="313" t="s">
        <v>240</v>
      </c>
      <c r="H148" s="311" t="s">
        <v>258</v>
      </c>
      <c r="I148" s="314">
        <f t="shared" si="6"/>
        <v>358011.18224772508</v>
      </c>
      <c r="J148" s="326">
        <f t="shared" si="7"/>
        <v>358011.18224772508</v>
      </c>
      <c r="K148" s="328" t="s">
        <v>257</v>
      </c>
      <c r="L148" s="328" t="s">
        <v>132</v>
      </c>
      <c r="M148" s="321">
        <v>1</v>
      </c>
      <c r="N148" s="321">
        <v>0</v>
      </c>
      <c r="O148" s="510">
        <v>41821</v>
      </c>
      <c r="P148" s="510">
        <v>41821</v>
      </c>
      <c r="Q148" s="510">
        <v>41852</v>
      </c>
      <c r="R148" s="510">
        <v>41852</v>
      </c>
      <c r="S148" s="309" t="s">
        <v>128</v>
      </c>
      <c r="T148" s="274"/>
      <c r="U148" s="307">
        <v>180589500</v>
      </c>
    </row>
    <row r="149" spans="1:29" s="293" customFormat="1" x14ac:dyDescent="0.2">
      <c r="A149" s="497">
        <v>4</v>
      </c>
      <c r="B149" s="497" t="s">
        <v>1068</v>
      </c>
      <c r="C149" s="497">
        <v>1</v>
      </c>
      <c r="D149" s="497"/>
      <c r="E149" s="338" t="s">
        <v>421</v>
      </c>
      <c r="F149" s="313" t="s">
        <v>234</v>
      </c>
      <c r="G149" s="313" t="s">
        <v>250</v>
      </c>
      <c r="H149" s="311" t="s">
        <v>258</v>
      </c>
      <c r="I149" s="314">
        <f t="shared" si="6"/>
        <v>358011.18224772508</v>
      </c>
      <c r="J149" s="326">
        <f t="shared" si="7"/>
        <v>358011.18224772508</v>
      </c>
      <c r="K149" s="328" t="s">
        <v>257</v>
      </c>
      <c r="L149" s="328" t="s">
        <v>132</v>
      </c>
      <c r="M149" s="321">
        <v>1</v>
      </c>
      <c r="N149" s="321">
        <v>0</v>
      </c>
      <c r="O149" s="510">
        <v>41821</v>
      </c>
      <c r="P149" s="510">
        <v>41821</v>
      </c>
      <c r="Q149" s="510">
        <v>41852</v>
      </c>
      <c r="R149" s="510">
        <v>41852</v>
      </c>
      <c r="S149" s="309" t="s">
        <v>128</v>
      </c>
      <c r="T149" s="274"/>
      <c r="U149" s="307">
        <v>180589500</v>
      </c>
    </row>
    <row r="150" spans="1:29" s="293" customFormat="1" x14ac:dyDescent="0.2">
      <c r="A150" s="497">
        <v>4</v>
      </c>
      <c r="B150" s="497" t="s">
        <v>1069</v>
      </c>
      <c r="C150" s="497">
        <v>1</v>
      </c>
      <c r="D150" s="497"/>
      <c r="E150" s="338" t="s">
        <v>422</v>
      </c>
      <c r="F150" s="313" t="s">
        <v>217</v>
      </c>
      <c r="G150" s="313" t="s">
        <v>232</v>
      </c>
      <c r="H150" s="311" t="s">
        <v>258</v>
      </c>
      <c r="I150" s="314">
        <f t="shared" si="6"/>
        <v>1193370.6074924169</v>
      </c>
      <c r="J150" s="326">
        <f t="shared" si="7"/>
        <v>1193370.6074924169</v>
      </c>
      <c r="K150" s="328" t="s">
        <v>257</v>
      </c>
      <c r="L150" s="328" t="s">
        <v>132</v>
      </c>
      <c r="M150" s="321">
        <v>1</v>
      </c>
      <c r="N150" s="321">
        <v>0</v>
      </c>
      <c r="O150" s="510">
        <v>41821</v>
      </c>
      <c r="P150" s="510">
        <v>41821</v>
      </c>
      <c r="Q150" s="510">
        <v>41852</v>
      </c>
      <c r="R150" s="510">
        <v>41852</v>
      </c>
      <c r="S150" s="309" t="s">
        <v>128</v>
      </c>
      <c r="T150" s="274"/>
      <c r="U150" s="307">
        <v>601965000</v>
      </c>
    </row>
    <row r="151" spans="1:29" s="293" customFormat="1" x14ac:dyDescent="0.2">
      <c r="A151" s="497">
        <v>4</v>
      </c>
      <c r="B151" s="497" t="s">
        <v>1070</v>
      </c>
      <c r="C151" s="497">
        <v>1</v>
      </c>
      <c r="D151" s="497"/>
      <c r="E151" s="338" t="s">
        <v>423</v>
      </c>
      <c r="F151" s="313" t="s">
        <v>221</v>
      </c>
      <c r="G151" s="313" t="s">
        <v>233</v>
      </c>
      <c r="H151" s="311" t="s">
        <v>258</v>
      </c>
      <c r="I151" s="314">
        <f t="shared" si="6"/>
        <v>1193370.6074924169</v>
      </c>
      <c r="J151" s="326">
        <f t="shared" si="7"/>
        <v>1193370.6074924169</v>
      </c>
      <c r="K151" s="328" t="s">
        <v>257</v>
      </c>
      <c r="L151" s="328" t="s">
        <v>132</v>
      </c>
      <c r="M151" s="321">
        <v>1</v>
      </c>
      <c r="N151" s="321">
        <v>0</v>
      </c>
      <c r="O151" s="510">
        <v>41821</v>
      </c>
      <c r="P151" s="510">
        <v>41821</v>
      </c>
      <c r="Q151" s="510">
        <v>41852</v>
      </c>
      <c r="R151" s="510">
        <v>41852</v>
      </c>
      <c r="S151" s="309" t="s">
        <v>128</v>
      </c>
      <c r="T151" s="274"/>
      <c r="U151" s="307">
        <v>601965000</v>
      </c>
    </row>
    <row r="152" spans="1:29" s="293" customFormat="1" x14ac:dyDescent="0.2">
      <c r="A152" s="497">
        <v>4</v>
      </c>
      <c r="B152" s="497" t="s">
        <v>1071</v>
      </c>
      <c r="C152" s="497">
        <v>1</v>
      </c>
      <c r="D152" s="497"/>
      <c r="E152" s="338" t="s">
        <v>424</v>
      </c>
      <c r="F152" s="313" t="s">
        <v>217</v>
      </c>
      <c r="G152" s="313" t="s">
        <v>210</v>
      </c>
      <c r="H152" s="311" t="s">
        <v>258</v>
      </c>
      <c r="I152" s="314">
        <f t="shared" si="6"/>
        <v>1193370.6074924169</v>
      </c>
      <c r="J152" s="326">
        <f t="shared" si="7"/>
        <v>1193370.6074924169</v>
      </c>
      <c r="K152" s="328" t="s">
        <v>257</v>
      </c>
      <c r="L152" s="328" t="s">
        <v>132</v>
      </c>
      <c r="M152" s="321">
        <v>1</v>
      </c>
      <c r="N152" s="321">
        <v>0</v>
      </c>
      <c r="O152" s="510">
        <v>41821</v>
      </c>
      <c r="P152" s="510">
        <v>41821</v>
      </c>
      <c r="Q152" s="510">
        <v>41852</v>
      </c>
      <c r="R152" s="510">
        <v>41852</v>
      </c>
      <c r="S152" s="309" t="s">
        <v>128</v>
      </c>
      <c r="T152" s="274"/>
      <c r="U152" s="307">
        <v>601965000</v>
      </c>
    </row>
    <row r="153" spans="1:29" s="293" customFormat="1" x14ac:dyDescent="0.2">
      <c r="A153" s="497">
        <v>4</v>
      </c>
      <c r="B153" s="497" t="s">
        <v>1072</v>
      </c>
      <c r="C153" s="497">
        <v>1</v>
      </c>
      <c r="D153" s="497"/>
      <c r="E153" s="338" t="s">
        <v>425</v>
      </c>
      <c r="F153" s="313" t="s">
        <v>217</v>
      </c>
      <c r="G153" s="313" t="s">
        <v>210</v>
      </c>
      <c r="H153" s="311" t="s">
        <v>258</v>
      </c>
      <c r="I153" s="314">
        <f t="shared" si="6"/>
        <v>1193370.6074924169</v>
      </c>
      <c r="J153" s="326">
        <f t="shared" si="7"/>
        <v>1193370.6074924169</v>
      </c>
      <c r="K153" s="328" t="s">
        <v>257</v>
      </c>
      <c r="L153" s="328" t="s">
        <v>132</v>
      </c>
      <c r="M153" s="321">
        <v>1</v>
      </c>
      <c r="N153" s="321">
        <v>0</v>
      </c>
      <c r="O153" s="510">
        <v>41821</v>
      </c>
      <c r="P153" s="510">
        <v>41821</v>
      </c>
      <c r="Q153" s="510">
        <v>41852</v>
      </c>
      <c r="R153" s="510">
        <v>41852</v>
      </c>
      <c r="S153" s="309" t="s">
        <v>128</v>
      </c>
      <c r="T153" s="274"/>
      <c r="U153" s="307">
        <v>601965000</v>
      </c>
    </row>
    <row r="154" spans="1:29" s="293" customFormat="1" x14ac:dyDescent="0.2">
      <c r="A154" s="342"/>
      <c r="B154" s="335"/>
      <c r="C154" s="335"/>
      <c r="D154" s="335"/>
      <c r="E154" s="330" t="s">
        <v>265</v>
      </c>
      <c r="F154" s="340" t="s">
        <v>229</v>
      </c>
      <c r="G154" s="340" t="s">
        <v>230</v>
      </c>
      <c r="H154" s="340" t="s">
        <v>231</v>
      </c>
      <c r="I154" s="323"/>
      <c r="J154" s="339">
        <f>SUM(J155:J157)</f>
        <v>5435478.2204164052</v>
      </c>
      <c r="K154" s="335"/>
      <c r="L154" s="342"/>
      <c r="M154" s="322"/>
      <c r="N154" s="322"/>
      <c r="O154" s="331"/>
      <c r="P154" s="331"/>
      <c r="Q154" s="331"/>
      <c r="R154" s="331"/>
      <c r="S154" s="324"/>
      <c r="T154" s="335"/>
      <c r="U154" s="320"/>
    </row>
    <row r="155" spans="1:29" s="293" customFormat="1" ht="15" x14ac:dyDescent="0.2">
      <c r="A155" s="497">
        <v>2</v>
      </c>
      <c r="B155" s="497" t="s">
        <v>1073</v>
      </c>
      <c r="C155" s="497">
        <v>1</v>
      </c>
      <c r="D155" s="497"/>
      <c r="E155" s="338" t="s">
        <v>320</v>
      </c>
      <c r="F155" s="313" t="s">
        <v>266</v>
      </c>
      <c r="G155" s="313" t="s">
        <v>266</v>
      </c>
      <c r="H155" s="311" t="s">
        <v>131</v>
      </c>
      <c r="I155" s="336">
        <f>+J155/16</f>
        <v>98313.309938067148</v>
      </c>
      <c r="J155" s="336">
        <f>+U155/$AE$1</f>
        <v>1573012.9590090744</v>
      </c>
      <c r="K155" s="328" t="s">
        <v>129</v>
      </c>
      <c r="L155" s="328" t="s">
        <v>132</v>
      </c>
      <c r="M155" s="321">
        <v>1</v>
      </c>
      <c r="N155" s="321">
        <v>0</v>
      </c>
      <c r="O155" s="510">
        <v>41730</v>
      </c>
      <c r="P155" s="510">
        <v>41760</v>
      </c>
      <c r="Q155" s="510">
        <v>41760</v>
      </c>
      <c r="R155" s="510">
        <v>41913</v>
      </c>
      <c r="S155" s="309" t="s">
        <v>128</v>
      </c>
      <c r="T155" s="341"/>
      <c r="U155" s="320">
        <v>793465785</v>
      </c>
      <c r="V155" s="477">
        <f>SUM(W155:W170)</f>
        <v>793465784.99915993</v>
      </c>
      <c r="W155" s="392">
        <v>73265332.140000001</v>
      </c>
      <c r="X155" s="477">
        <f>SUM(Y155:Y173)</f>
        <v>767498049.49872625</v>
      </c>
      <c r="Y155" s="402">
        <v>45918801.747000001</v>
      </c>
      <c r="Z155" s="477">
        <f>SUM(AA155:AA181)</f>
        <v>1180822854.7408292</v>
      </c>
      <c r="AA155" s="402">
        <v>44079242.28435</v>
      </c>
      <c r="AB155" s="477">
        <f>SUM(AC155:AC170)</f>
        <v>782822938.62776673</v>
      </c>
      <c r="AC155" s="392">
        <v>81114031.060608</v>
      </c>
    </row>
    <row r="156" spans="1:29" s="293" customFormat="1" ht="15" x14ac:dyDescent="0.2">
      <c r="A156" s="497">
        <v>3</v>
      </c>
      <c r="B156" s="497" t="s">
        <v>1074</v>
      </c>
      <c r="C156" s="497">
        <v>1</v>
      </c>
      <c r="D156" s="497"/>
      <c r="E156" s="338" t="s">
        <v>321</v>
      </c>
      <c r="F156" s="313" t="s">
        <v>266</v>
      </c>
      <c r="G156" s="313" t="s">
        <v>266</v>
      </c>
      <c r="H156" s="311" t="s">
        <v>131</v>
      </c>
      <c r="I156" s="336">
        <f>+J156/19</f>
        <v>80080.684318598709</v>
      </c>
      <c r="J156" s="336">
        <f>+U156/$AE$1</f>
        <v>1521533.0020533754</v>
      </c>
      <c r="K156" s="328" t="s">
        <v>129</v>
      </c>
      <c r="L156" s="328" t="s">
        <v>132</v>
      </c>
      <c r="M156" s="321">
        <v>1</v>
      </c>
      <c r="N156" s="321">
        <v>0</v>
      </c>
      <c r="O156" s="510">
        <v>42095</v>
      </c>
      <c r="P156" s="510">
        <v>42125</v>
      </c>
      <c r="Q156" s="510">
        <v>42125</v>
      </c>
      <c r="R156" s="510">
        <v>42278</v>
      </c>
      <c r="S156" s="309" t="s">
        <v>128</v>
      </c>
      <c r="T156" s="341"/>
      <c r="U156" s="320">
        <v>767498049.5</v>
      </c>
      <c r="W156" s="402">
        <v>60215932.140000001</v>
      </c>
      <c r="Y156" s="402">
        <v>55682100.747000001</v>
      </c>
      <c r="AA156" s="392">
        <v>44980513.913789995</v>
      </c>
      <c r="AC156" s="402">
        <v>64214742.149376012</v>
      </c>
    </row>
    <row r="157" spans="1:29" s="293" customFormat="1" ht="15" x14ac:dyDescent="0.2">
      <c r="A157" s="497">
        <v>4</v>
      </c>
      <c r="B157" s="497" t="s">
        <v>1075</v>
      </c>
      <c r="C157" s="497">
        <v>1</v>
      </c>
      <c r="D157" s="497"/>
      <c r="E157" s="338" t="s">
        <v>322</v>
      </c>
      <c r="F157" s="313" t="s">
        <v>266</v>
      </c>
      <c r="G157" s="313" t="s">
        <v>266</v>
      </c>
      <c r="H157" s="311" t="s">
        <v>131</v>
      </c>
      <c r="I157" s="336">
        <f>+J157/27</f>
        <v>86701.194790887239</v>
      </c>
      <c r="J157" s="336">
        <f>+U157/$AE$1</f>
        <v>2340932.2593539553</v>
      </c>
      <c r="K157" s="328" t="s">
        <v>129</v>
      </c>
      <c r="L157" s="328" t="s">
        <v>132</v>
      </c>
      <c r="M157" s="321">
        <v>1</v>
      </c>
      <c r="N157" s="321">
        <v>0</v>
      </c>
      <c r="O157" s="510">
        <v>42461</v>
      </c>
      <c r="P157" s="510">
        <v>42491</v>
      </c>
      <c r="Q157" s="510">
        <v>42491</v>
      </c>
      <c r="R157" s="510">
        <v>42644</v>
      </c>
      <c r="S157" s="309" t="s">
        <v>128</v>
      </c>
      <c r="T157" s="341"/>
      <c r="U157" s="320">
        <v>1180822854.74</v>
      </c>
      <c r="W157" s="402">
        <v>73265332.140000001</v>
      </c>
      <c r="Y157" s="402">
        <v>55682100.747000001</v>
      </c>
      <c r="AA157" s="392">
        <v>78715394.601480007</v>
      </c>
      <c r="AC157" s="402">
        <v>119359610.70546243</v>
      </c>
    </row>
    <row r="158" spans="1:29" s="293" customFormat="1" ht="15" x14ac:dyDescent="0.2">
      <c r="A158" s="330"/>
      <c r="B158" s="330"/>
      <c r="C158" s="330"/>
      <c r="D158" s="330"/>
      <c r="E158" s="330" t="s">
        <v>291</v>
      </c>
      <c r="F158" s="340" t="s">
        <v>229</v>
      </c>
      <c r="G158" s="340" t="s">
        <v>230</v>
      </c>
      <c r="H158" s="340" t="s">
        <v>231</v>
      </c>
      <c r="I158" s="330"/>
      <c r="J158" s="318">
        <f>SUM(J159:J161)</f>
        <v>1964023.2691657827</v>
      </c>
      <c r="K158" s="335"/>
      <c r="L158" s="342"/>
      <c r="M158" s="330"/>
      <c r="N158" s="330"/>
      <c r="O158" s="331"/>
      <c r="P158" s="331"/>
      <c r="Q158" s="331"/>
      <c r="R158" s="331"/>
      <c r="S158" s="330"/>
      <c r="T158" s="330"/>
      <c r="U158" s="325"/>
      <c r="W158" s="402">
        <v>60215932.140000001</v>
      </c>
      <c r="Y158" s="392">
        <v>55682100.747000001</v>
      </c>
      <c r="AA158" s="392">
        <v>80775028.684350014</v>
      </c>
      <c r="AC158" s="402">
        <v>64214742.149376012</v>
      </c>
    </row>
    <row r="159" spans="1:29" s="293" customFormat="1" ht="15" x14ac:dyDescent="0.2">
      <c r="A159" s="497">
        <v>2</v>
      </c>
      <c r="B159" s="497" t="s">
        <v>1076</v>
      </c>
      <c r="C159" s="497">
        <v>4</v>
      </c>
      <c r="D159" s="497"/>
      <c r="E159" s="338" t="s">
        <v>317</v>
      </c>
      <c r="F159" s="313" t="s">
        <v>266</v>
      </c>
      <c r="G159" s="313" t="s">
        <v>266</v>
      </c>
      <c r="H159" s="311" t="s">
        <v>137</v>
      </c>
      <c r="I159" s="336">
        <f>J159/16</f>
        <v>30310.819495488751</v>
      </c>
      <c r="J159" s="336">
        <f>0.025*(SUM(J49:J64))</f>
        <v>484973.11192782002</v>
      </c>
      <c r="K159" s="328" t="s">
        <v>934</v>
      </c>
      <c r="L159" s="328" t="s">
        <v>132</v>
      </c>
      <c r="M159" s="321">
        <v>1</v>
      </c>
      <c r="N159" s="321">
        <v>0</v>
      </c>
      <c r="O159" s="510">
        <v>41518</v>
      </c>
      <c r="P159" s="510">
        <v>41579</v>
      </c>
      <c r="Q159" s="510">
        <v>41609</v>
      </c>
      <c r="R159" s="510">
        <v>41913</v>
      </c>
      <c r="S159" s="309" t="s">
        <v>128</v>
      </c>
      <c r="T159" s="341"/>
      <c r="U159" s="325"/>
      <c r="W159" s="402">
        <v>53030572.140000001</v>
      </c>
      <c r="Y159" s="402">
        <v>45918801.747000001</v>
      </c>
      <c r="AA159" s="402">
        <v>58466205.78435</v>
      </c>
      <c r="AC159" s="402">
        <v>55382662.433279999</v>
      </c>
    </row>
    <row r="160" spans="1:29" s="293" customFormat="1" ht="15" x14ac:dyDescent="0.2">
      <c r="A160" s="497">
        <v>3</v>
      </c>
      <c r="B160" s="497" t="s">
        <v>1077</v>
      </c>
      <c r="C160" s="497">
        <v>4</v>
      </c>
      <c r="D160" s="497"/>
      <c r="E160" s="338" t="s">
        <v>318</v>
      </c>
      <c r="F160" s="313" t="s">
        <v>266</v>
      </c>
      <c r="G160" s="313" t="s">
        <v>266</v>
      </c>
      <c r="H160" s="311" t="s">
        <v>137</v>
      </c>
      <c r="I160" s="336">
        <f>J160/19</f>
        <v>20974.019584870272</v>
      </c>
      <c r="J160" s="336">
        <f>0.025*(SUM(J65:J83))</f>
        <v>398506.37211253517</v>
      </c>
      <c r="K160" s="328" t="s">
        <v>934</v>
      </c>
      <c r="L160" s="328" t="s">
        <v>132</v>
      </c>
      <c r="M160" s="321">
        <v>1</v>
      </c>
      <c r="N160" s="321">
        <v>0</v>
      </c>
      <c r="O160" s="510">
        <v>41883</v>
      </c>
      <c r="P160" s="510">
        <v>41944</v>
      </c>
      <c r="Q160" s="510">
        <v>41974</v>
      </c>
      <c r="R160" s="510">
        <v>42278</v>
      </c>
      <c r="S160" s="309" t="s">
        <v>128</v>
      </c>
      <c r="T160" s="341"/>
      <c r="U160" s="325"/>
      <c r="W160" s="402">
        <v>60215932.140000001</v>
      </c>
      <c r="Y160" s="402">
        <v>45918801.747000001</v>
      </c>
      <c r="AA160" s="392">
        <v>11245127.575500002</v>
      </c>
      <c r="AC160" s="402">
        <v>64214742.149376012</v>
      </c>
    </row>
    <row r="161" spans="1:29" s="293" customFormat="1" ht="15" x14ac:dyDescent="0.2">
      <c r="A161" s="497">
        <v>4</v>
      </c>
      <c r="B161" s="497" t="s">
        <v>1078</v>
      </c>
      <c r="C161" s="497">
        <v>4</v>
      </c>
      <c r="D161" s="497"/>
      <c r="E161" s="338" t="s">
        <v>319</v>
      </c>
      <c r="F161" s="313" t="s">
        <v>266</v>
      </c>
      <c r="G161" s="313" t="s">
        <v>266</v>
      </c>
      <c r="H161" s="311" t="s">
        <v>137</v>
      </c>
      <c r="I161" s="336">
        <f>J161/27</f>
        <v>40020.140189830643</v>
      </c>
      <c r="J161" s="336">
        <f>0.025*(SUM(J84:J110))</f>
        <v>1080543.7851254274</v>
      </c>
      <c r="K161" s="328" t="s">
        <v>934</v>
      </c>
      <c r="L161" s="328" t="s">
        <v>132</v>
      </c>
      <c r="M161" s="321">
        <v>1</v>
      </c>
      <c r="N161" s="321">
        <v>0</v>
      </c>
      <c r="O161" s="510">
        <v>42248</v>
      </c>
      <c r="P161" s="510">
        <v>42309</v>
      </c>
      <c r="Q161" s="510">
        <v>42339</v>
      </c>
      <c r="R161" s="510">
        <v>42644</v>
      </c>
      <c r="S161" s="309" t="s">
        <v>128</v>
      </c>
      <c r="T161" s="274"/>
      <c r="U161" s="333"/>
      <c r="W161" s="402">
        <v>33897094.653240003</v>
      </c>
      <c r="Y161" s="402">
        <v>35591949.385902002</v>
      </c>
      <c r="AA161" s="402">
        <v>48214741.834350005</v>
      </c>
      <c r="AC161" s="402">
        <v>25617312.494592</v>
      </c>
    </row>
    <row r="162" spans="1:29" s="293" customFormat="1" ht="15" x14ac:dyDescent="0.2">
      <c r="A162" s="330"/>
      <c r="B162" s="330"/>
      <c r="C162" s="330"/>
      <c r="D162" s="330"/>
      <c r="E162" s="330" t="s">
        <v>314</v>
      </c>
      <c r="F162" s="340" t="s">
        <v>229</v>
      </c>
      <c r="G162" s="340" t="s">
        <v>230</v>
      </c>
      <c r="H162" s="340" t="s">
        <v>231</v>
      </c>
      <c r="I162" s="330"/>
      <c r="J162" s="318">
        <f>SUM(J163:J165)</f>
        <v>3928046.5383315654</v>
      </c>
      <c r="K162" s="335"/>
      <c r="L162" s="342"/>
      <c r="M162" s="330"/>
      <c r="N162" s="330"/>
      <c r="O162" s="340"/>
      <c r="P162" s="340"/>
      <c r="Q162" s="340"/>
      <c r="R162" s="340"/>
      <c r="S162" s="330"/>
      <c r="T162" s="330"/>
      <c r="U162" s="325"/>
      <c r="W162" s="402">
        <v>33897094.653240003</v>
      </c>
      <c r="Y162" s="402">
        <v>35591949.385902002</v>
      </c>
      <c r="AA162" s="402">
        <v>48214741.834350005</v>
      </c>
      <c r="AC162" s="402">
        <v>25617312.494592</v>
      </c>
    </row>
    <row r="163" spans="1:29" s="293" customFormat="1" ht="15" x14ac:dyDescent="0.2">
      <c r="A163" s="497">
        <v>2</v>
      </c>
      <c r="B163" s="497" t="s">
        <v>1079</v>
      </c>
      <c r="C163" s="497">
        <v>4</v>
      </c>
      <c r="D163" s="497"/>
      <c r="E163" s="338" t="s">
        <v>427</v>
      </c>
      <c r="F163" s="313" t="s">
        <v>266</v>
      </c>
      <c r="G163" s="313" t="s">
        <v>266</v>
      </c>
      <c r="H163" s="311" t="s">
        <v>137</v>
      </c>
      <c r="I163" s="336">
        <f>+J163/16</f>
        <v>60621.638990977503</v>
      </c>
      <c r="J163" s="336">
        <f>0.05*(SUM(J$49:J$64))</f>
        <v>969946.22385564004</v>
      </c>
      <c r="K163" s="328" t="s">
        <v>1127</v>
      </c>
      <c r="L163" s="328" t="s">
        <v>933</v>
      </c>
      <c r="M163" s="321">
        <v>1</v>
      </c>
      <c r="N163" s="321">
        <v>0</v>
      </c>
      <c r="O163" s="510">
        <v>41334</v>
      </c>
      <c r="P163" s="510">
        <v>41365</v>
      </c>
      <c r="Q163" s="510">
        <v>41365</v>
      </c>
      <c r="R163" s="510">
        <v>41518</v>
      </c>
      <c r="S163" s="309" t="s">
        <v>128</v>
      </c>
      <c r="T163" s="341"/>
      <c r="U163" s="325"/>
      <c r="W163" s="402">
        <v>33897094.653240003</v>
      </c>
      <c r="Y163" s="392">
        <v>35591949.385902002</v>
      </c>
      <c r="AA163" s="392">
        <v>44980513.913789995</v>
      </c>
      <c r="AC163" s="402">
        <v>32791699.379712004</v>
      </c>
    </row>
    <row r="164" spans="1:29" s="293" customFormat="1" ht="15" x14ac:dyDescent="0.2">
      <c r="A164" s="497">
        <v>3</v>
      </c>
      <c r="B164" s="497" t="s">
        <v>1080</v>
      </c>
      <c r="C164" s="497">
        <v>4</v>
      </c>
      <c r="D164" s="497"/>
      <c r="E164" s="338" t="s">
        <v>428</v>
      </c>
      <c r="F164" s="313" t="s">
        <v>266</v>
      </c>
      <c r="G164" s="313" t="s">
        <v>266</v>
      </c>
      <c r="H164" s="311" t="s">
        <v>137</v>
      </c>
      <c r="I164" s="336">
        <f>+J164/19</f>
        <v>41948.039169740543</v>
      </c>
      <c r="J164" s="336">
        <f>0.05*(SUM(J$65:J$83))</f>
        <v>797012.74422507035</v>
      </c>
      <c r="K164" s="328" t="s">
        <v>1127</v>
      </c>
      <c r="L164" s="328" t="s">
        <v>933</v>
      </c>
      <c r="M164" s="321">
        <v>1</v>
      </c>
      <c r="N164" s="321">
        <v>0</v>
      </c>
      <c r="O164" s="510">
        <v>41791</v>
      </c>
      <c r="P164" s="510">
        <v>41821</v>
      </c>
      <c r="Q164" s="510">
        <v>41821</v>
      </c>
      <c r="R164" s="510">
        <v>41883</v>
      </c>
      <c r="S164" s="309" t="s">
        <v>128</v>
      </c>
      <c r="T164" s="341"/>
      <c r="U164" s="325"/>
      <c r="W164" s="402">
        <v>33897094.653240003</v>
      </c>
      <c r="Y164" s="402">
        <v>35591949.385902002</v>
      </c>
      <c r="AA164" s="392">
        <v>78715394.601480007</v>
      </c>
      <c r="AC164" s="402">
        <v>27329152.660992004</v>
      </c>
    </row>
    <row r="165" spans="1:29" s="293" customFormat="1" ht="15" x14ac:dyDescent="0.2">
      <c r="A165" s="497">
        <v>4</v>
      </c>
      <c r="B165" s="497" t="s">
        <v>1081</v>
      </c>
      <c r="C165" s="497">
        <v>4</v>
      </c>
      <c r="D165" s="497"/>
      <c r="E165" s="338" t="s">
        <v>429</v>
      </c>
      <c r="F165" s="313" t="s">
        <v>266</v>
      </c>
      <c r="G165" s="313" t="s">
        <v>266</v>
      </c>
      <c r="H165" s="311" t="s">
        <v>137</v>
      </c>
      <c r="I165" s="336">
        <f>+J165/27</f>
        <v>80040.280379661286</v>
      </c>
      <c r="J165" s="336">
        <f>0.05*(SUM(J$84:J$110))</f>
        <v>2161087.5702508548</v>
      </c>
      <c r="K165" s="328" t="s">
        <v>1127</v>
      </c>
      <c r="L165" s="328" t="s">
        <v>933</v>
      </c>
      <c r="M165" s="321">
        <v>1</v>
      </c>
      <c r="N165" s="321">
        <v>0</v>
      </c>
      <c r="O165" s="510">
        <v>42156</v>
      </c>
      <c r="P165" s="510">
        <v>42186</v>
      </c>
      <c r="Q165" s="510">
        <v>42186</v>
      </c>
      <c r="R165" s="510">
        <v>42248</v>
      </c>
      <c r="S165" s="309" t="s">
        <v>128</v>
      </c>
      <c r="T165" s="274"/>
      <c r="U165" s="333"/>
      <c r="W165" s="402">
        <v>33897094.653240003</v>
      </c>
      <c r="Y165" s="392">
        <v>35591949.385902002</v>
      </c>
      <c r="AA165" s="402">
        <v>37371546.855197102</v>
      </c>
      <c r="AC165" s="402">
        <v>23789160.734976005</v>
      </c>
    </row>
    <row r="166" spans="1:29" s="293" customFormat="1" ht="15" x14ac:dyDescent="0.2">
      <c r="A166" s="330"/>
      <c r="B166" s="330"/>
      <c r="C166" s="330"/>
      <c r="D166" s="330"/>
      <c r="E166" s="330" t="s">
        <v>430</v>
      </c>
      <c r="F166" s="340" t="s">
        <v>229</v>
      </c>
      <c r="G166" s="340" t="s">
        <v>230</v>
      </c>
      <c r="H166" s="340" t="s">
        <v>231</v>
      </c>
      <c r="I166" s="330"/>
      <c r="J166" s="318">
        <f>SUM(J167:J169)</f>
        <v>6284874.4613305032</v>
      </c>
      <c r="K166" s="335"/>
      <c r="L166" s="342"/>
      <c r="M166" s="330"/>
      <c r="N166" s="330"/>
      <c r="O166" s="340"/>
      <c r="P166" s="340"/>
      <c r="Q166" s="340"/>
      <c r="R166" s="340"/>
      <c r="S166" s="330"/>
      <c r="T166" s="330"/>
      <c r="U166" s="325"/>
      <c r="W166" s="402">
        <v>33897094.653240003</v>
      </c>
      <c r="Y166" s="402">
        <v>35591949.385902002</v>
      </c>
      <c r="AA166" s="402">
        <v>37371546.855197102</v>
      </c>
      <c r="AC166" s="402">
        <v>23789160.734976005</v>
      </c>
    </row>
    <row r="167" spans="1:29" s="293" customFormat="1" ht="15" x14ac:dyDescent="0.2">
      <c r="A167" s="497">
        <v>2</v>
      </c>
      <c r="B167" s="497" t="s">
        <v>1082</v>
      </c>
      <c r="C167" s="497" t="s">
        <v>1115</v>
      </c>
      <c r="D167" s="497"/>
      <c r="E167" s="338" t="s">
        <v>432</v>
      </c>
      <c r="F167" s="313"/>
      <c r="G167" s="313"/>
      <c r="H167" s="311"/>
      <c r="I167" s="336">
        <f>+J167/16</f>
        <v>96994.622385563998</v>
      </c>
      <c r="J167" s="336">
        <f>0.08*(SUM(J$49:J$64))</f>
        <v>1551913.958169024</v>
      </c>
      <c r="K167" s="328"/>
      <c r="L167" s="328"/>
      <c r="M167" s="321">
        <v>1</v>
      </c>
      <c r="N167" s="321">
        <v>0</v>
      </c>
      <c r="O167" s="510"/>
      <c r="P167" s="510"/>
      <c r="Q167" s="510"/>
      <c r="R167" s="510"/>
      <c r="S167" s="309"/>
      <c r="T167" s="341"/>
      <c r="U167" s="325">
        <f>+AB155</f>
        <v>782822938.62776673</v>
      </c>
      <c r="W167" s="402">
        <v>33897094.653240003</v>
      </c>
      <c r="Y167" s="402">
        <v>35591949.385902002</v>
      </c>
      <c r="AA167" s="402">
        <v>37371546.855197102</v>
      </c>
      <c r="AC167" s="402">
        <v>25617312.494592</v>
      </c>
    </row>
    <row r="168" spans="1:29" s="293" customFormat="1" ht="15" x14ac:dyDescent="0.2">
      <c r="A168" s="497">
        <v>3</v>
      </c>
      <c r="B168" s="497" t="s">
        <v>1083</v>
      </c>
      <c r="C168" s="497" t="s">
        <v>1115</v>
      </c>
      <c r="D168" s="497"/>
      <c r="E168" s="338" t="s">
        <v>433</v>
      </c>
      <c r="F168" s="313"/>
      <c r="G168" s="313"/>
      <c r="H168" s="311"/>
      <c r="I168" s="336">
        <f>+J168/19</f>
        <v>67116.862671584866</v>
      </c>
      <c r="J168" s="336">
        <f>0.08*(SUM(J$65:J$83))</f>
        <v>1275220.3907601123</v>
      </c>
      <c r="K168" s="328"/>
      <c r="L168" s="328"/>
      <c r="M168" s="321">
        <v>1</v>
      </c>
      <c r="N168" s="321">
        <v>0</v>
      </c>
      <c r="O168" s="510"/>
      <c r="P168" s="510"/>
      <c r="Q168" s="510"/>
      <c r="R168" s="510"/>
      <c r="S168" s="309"/>
      <c r="T168" s="341"/>
      <c r="U168" s="325"/>
      <c r="W168" s="402">
        <v>33897094.653240003</v>
      </c>
      <c r="Y168" s="402">
        <v>35591949.385902002</v>
      </c>
      <c r="AA168" s="392">
        <v>22490255.151000004</v>
      </c>
      <c r="AC168" s="402">
        <v>23789160.734976005</v>
      </c>
    </row>
    <row r="169" spans="1:29" s="293" customFormat="1" ht="15" x14ac:dyDescent="0.2">
      <c r="A169" s="497">
        <v>4</v>
      </c>
      <c r="B169" s="497" t="s">
        <v>1084</v>
      </c>
      <c r="C169" s="497" t="s">
        <v>1115</v>
      </c>
      <c r="D169" s="497"/>
      <c r="E169" s="338" t="s">
        <v>431</v>
      </c>
      <c r="F169" s="313"/>
      <c r="G169" s="313"/>
      <c r="H169" s="311"/>
      <c r="I169" s="336">
        <f>+J169/27</f>
        <v>128064.44860745806</v>
      </c>
      <c r="J169" s="336">
        <f>0.08*(SUM(J$84:J$110))</f>
        <v>3457740.1124013676</v>
      </c>
      <c r="K169" s="328"/>
      <c r="L169" s="328"/>
      <c r="M169" s="321">
        <v>1</v>
      </c>
      <c r="N169" s="321">
        <v>0</v>
      </c>
      <c r="O169" s="510"/>
      <c r="P169" s="510"/>
      <c r="Q169" s="510"/>
      <c r="R169" s="510"/>
      <c r="S169" s="309"/>
      <c r="T169" s="274"/>
      <c r="U169" s="333"/>
      <c r="W169" s="402">
        <v>33897094.653240003</v>
      </c>
      <c r="Y169" s="402">
        <v>35591949.385902002</v>
      </c>
      <c r="AA169" s="402">
        <v>37371546.855197102</v>
      </c>
      <c r="AC169" s="402">
        <v>23789160.734976005</v>
      </c>
    </row>
    <row r="170" spans="1:29" s="293" customFormat="1" ht="42" customHeight="1" x14ac:dyDescent="0.2">
      <c r="A170" s="357"/>
      <c r="B170" s="357"/>
      <c r="C170" s="357"/>
      <c r="D170" s="357"/>
      <c r="E170" s="327" t="s">
        <v>295</v>
      </c>
      <c r="F170" s="357"/>
      <c r="G170" s="357"/>
      <c r="H170" s="357"/>
      <c r="I170" s="357"/>
      <c r="J170" s="316">
        <f>+J171+J196+J199+J202</f>
        <v>8870016.2723070793</v>
      </c>
      <c r="K170" s="357"/>
      <c r="L170" s="357"/>
      <c r="M170" s="357"/>
      <c r="N170" s="357"/>
      <c r="O170" s="356"/>
      <c r="P170" s="357"/>
      <c r="Q170" s="357"/>
      <c r="R170" s="357"/>
      <c r="S170" s="357"/>
      <c r="T170" s="327"/>
      <c r="U170" s="308"/>
      <c r="W170" s="392">
        <v>108182900.28</v>
      </c>
      <c r="Y170" s="402">
        <v>35591949.385902002</v>
      </c>
      <c r="AA170" s="402">
        <v>37371546.855197102</v>
      </c>
      <c r="AC170" s="392">
        <v>102192975.51590402</v>
      </c>
    </row>
    <row r="171" spans="1:29" s="293" customFormat="1" ht="15" x14ac:dyDescent="0.2">
      <c r="A171" s="306"/>
      <c r="B171" s="306"/>
      <c r="C171" s="344"/>
      <c r="D171" s="344"/>
      <c r="E171" s="330" t="s">
        <v>296</v>
      </c>
      <c r="F171" s="334"/>
      <c r="G171" s="334"/>
      <c r="H171" s="337"/>
      <c r="I171" s="337"/>
      <c r="J171" s="329">
        <f>SUM(J172:J195)</f>
        <v>7679667.7682312373</v>
      </c>
      <c r="K171" s="310"/>
      <c r="L171" s="317"/>
      <c r="M171" s="337"/>
      <c r="N171" s="343"/>
      <c r="O171" s="511"/>
      <c r="P171" s="511"/>
      <c r="Q171" s="511"/>
      <c r="R171" s="511"/>
      <c r="S171" s="324"/>
      <c r="T171" s="312"/>
      <c r="Y171" s="402">
        <v>35591949.385902002</v>
      </c>
      <c r="AA171" s="402">
        <v>37371546.855197102</v>
      </c>
    </row>
    <row r="172" spans="1:29" s="293" customFormat="1" ht="15" x14ac:dyDescent="0.2">
      <c r="A172" s="497">
        <v>2</v>
      </c>
      <c r="B172" s="497" t="s">
        <v>1085</v>
      </c>
      <c r="C172" s="497">
        <v>2</v>
      </c>
      <c r="D172" s="497">
        <f>+D110+1</f>
        <v>80</v>
      </c>
      <c r="E172" s="338" t="s">
        <v>456</v>
      </c>
      <c r="F172" s="313" t="s">
        <v>225</v>
      </c>
      <c r="G172" s="313" t="s">
        <v>297</v>
      </c>
      <c r="H172" s="311" t="s">
        <v>130</v>
      </c>
      <c r="I172" s="314">
        <f t="shared" ref="I172:I195" si="8">+U172/$AE$1</f>
        <v>316035.71062679996</v>
      </c>
      <c r="J172" s="326">
        <f t="shared" ref="J172:J195" si="9">+I172</f>
        <v>316035.71062679996</v>
      </c>
      <c r="K172" s="328" t="s">
        <v>129</v>
      </c>
      <c r="L172" s="328" t="s">
        <v>132</v>
      </c>
      <c r="M172" s="287">
        <v>1</v>
      </c>
      <c r="N172" s="284">
        <v>0</v>
      </c>
      <c r="O172" s="510">
        <v>41548</v>
      </c>
      <c r="P172" s="510">
        <v>41579</v>
      </c>
      <c r="Q172" s="510">
        <v>41609</v>
      </c>
      <c r="R172" s="510">
        <v>41671</v>
      </c>
      <c r="S172" s="309" t="s">
        <v>128</v>
      </c>
      <c r="T172" s="274"/>
      <c r="U172" s="346">
        <v>159416056.80000001</v>
      </c>
      <c r="Y172" s="402">
        <v>35591949.385902002</v>
      </c>
      <c r="AA172" s="402">
        <v>37371546.855197102</v>
      </c>
    </row>
    <row r="173" spans="1:29" s="293" customFormat="1" ht="15" x14ac:dyDescent="0.2">
      <c r="A173" s="497">
        <v>2</v>
      </c>
      <c r="B173" s="497" t="s">
        <v>1086</v>
      </c>
      <c r="C173" s="497">
        <v>2</v>
      </c>
      <c r="D173" s="497">
        <f t="shared" ref="D173:D195" si="10">+D172+1</f>
        <v>81</v>
      </c>
      <c r="E173" s="338" t="s">
        <v>457</v>
      </c>
      <c r="F173" s="313" t="s">
        <v>234</v>
      </c>
      <c r="G173" s="313" t="s">
        <v>234</v>
      </c>
      <c r="H173" s="311" t="s">
        <v>130</v>
      </c>
      <c r="I173" s="314">
        <f t="shared" si="8"/>
        <v>316035.71062679996</v>
      </c>
      <c r="J173" s="326">
        <f t="shared" si="9"/>
        <v>316035.71062679996</v>
      </c>
      <c r="K173" s="328" t="s">
        <v>129</v>
      </c>
      <c r="L173" s="328" t="s">
        <v>132</v>
      </c>
      <c r="M173" s="287">
        <v>1</v>
      </c>
      <c r="N173" s="284">
        <v>0</v>
      </c>
      <c r="O173" s="510">
        <v>41548</v>
      </c>
      <c r="P173" s="510">
        <v>41579</v>
      </c>
      <c r="Q173" s="510">
        <v>41609</v>
      </c>
      <c r="R173" s="510">
        <v>41671</v>
      </c>
      <c r="S173" s="309" t="s">
        <v>128</v>
      </c>
      <c r="T173" s="274"/>
      <c r="U173" s="345">
        <v>159416056.80000001</v>
      </c>
      <c r="Y173" s="402">
        <v>35591949.385902002</v>
      </c>
      <c r="AA173" s="402">
        <v>48214741.834350005</v>
      </c>
    </row>
    <row r="174" spans="1:29" s="293" customFormat="1" ht="15" x14ac:dyDescent="0.2">
      <c r="A174" s="497">
        <v>2</v>
      </c>
      <c r="B174" s="497" t="s">
        <v>1087</v>
      </c>
      <c r="C174" s="497">
        <v>2</v>
      </c>
      <c r="D174" s="497">
        <f t="shared" si="10"/>
        <v>82</v>
      </c>
      <c r="E174" s="338" t="s">
        <v>434</v>
      </c>
      <c r="F174" s="313" t="s">
        <v>208</v>
      </c>
      <c r="G174" s="313" t="s">
        <v>298</v>
      </c>
      <c r="H174" s="311" t="s">
        <v>130</v>
      </c>
      <c r="I174" s="314">
        <f t="shared" si="8"/>
        <v>316035.71062679996</v>
      </c>
      <c r="J174" s="326">
        <f t="shared" si="9"/>
        <v>316035.71062679996</v>
      </c>
      <c r="K174" s="328" t="s">
        <v>129</v>
      </c>
      <c r="L174" s="328" t="s">
        <v>132</v>
      </c>
      <c r="M174" s="287">
        <v>1</v>
      </c>
      <c r="N174" s="284">
        <v>0</v>
      </c>
      <c r="O174" s="510">
        <v>41548</v>
      </c>
      <c r="P174" s="510">
        <v>41579</v>
      </c>
      <c r="Q174" s="510">
        <v>41609</v>
      </c>
      <c r="R174" s="510">
        <v>41671</v>
      </c>
      <c r="S174" s="309" t="s">
        <v>128</v>
      </c>
      <c r="T174" s="274"/>
      <c r="U174" s="346">
        <v>159416056.80000001</v>
      </c>
      <c r="AA174" s="402">
        <v>37371546.855197102</v>
      </c>
    </row>
    <row r="175" spans="1:29" s="293" customFormat="1" ht="15" x14ac:dyDescent="0.2">
      <c r="A175" s="497">
        <v>2</v>
      </c>
      <c r="B175" s="497" t="s">
        <v>1088</v>
      </c>
      <c r="C175" s="497">
        <v>2</v>
      </c>
      <c r="D175" s="497">
        <f t="shared" si="10"/>
        <v>83</v>
      </c>
      <c r="E175" s="338" t="s">
        <v>435</v>
      </c>
      <c r="F175" s="313" t="s">
        <v>218</v>
      </c>
      <c r="G175" s="313" t="s">
        <v>299</v>
      </c>
      <c r="H175" s="311" t="s">
        <v>130</v>
      </c>
      <c r="I175" s="314">
        <f t="shared" si="8"/>
        <v>316035.71062679996</v>
      </c>
      <c r="J175" s="326">
        <f t="shared" si="9"/>
        <v>316035.71062679996</v>
      </c>
      <c r="K175" s="328" t="s">
        <v>129</v>
      </c>
      <c r="L175" s="328" t="s">
        <v>132</v>
      </c>
      <c r="M175" s="287">
        <v>1</v>
      </c>
      <c r="N175" s="284">
        <v>0</v>
      </c>
      <c r="O175" s="510">
        <v>41548</v>
      </c>
      <c r="P175" s="510">
        <v>41579</v>
      </c>
      <c r="Q175" s="510">
        <v>41609</v>
      </c>
      <c r="R175" s="510">
        <v>41671</v>
      </c>
      <c r="S175" s="309" t="s">
        <v>128</v>
      </c>
      <c r="T175" s="274"/>
      <c r="U175" s="346">
        <v>159416056.80000001</v>
      </c>
      <c r="AA175" s="402">
        <v>37371546.855197102</v>
      </c>
    </row>
    <row r="176" spans="1:29" s="293" customFormat="1" ht="15" x14ac:dyDescent="0.2">
      <c r="A176" s="497">
        <v>2</v>
      </c>
      <c r="B176" s="497" t="s">
        <v>1089</v>
      </c>
      <c r="C176" s="497">
        <v>2</v>
      </c>
      <c r="D176" s="497">
        <f t="shared" si="10"/>
        <v>84</v>
      </c>
      <c r="E176" s="338" t="s">
        <v>436</v>
      </c>
      <c r="F176" s="313" t="s">
        <v>217</v>
      </c>
      <c r="G176" s="313" t="s">
        <v>300</v>
      </c>
      <c r="H176" s="311" t="s">
        <v>130</v>
      </c>
      <c r="I176" s="314">
        <f t="shared" si="8"/>
        <v>316035.71062679996</v>
      </c>
      <c r="J176" s="326">
        <f t="shared" si="9"/>
        <v>316035.71062679996</v>
      </c>
      <c r="K176" s="328" t="s">
        <v>129</v>
      </c>
      <c r="L176" s="328" t="s">
        <v>132</v>
      </c>
      <c r="M176" s="287">
        <v>1</v>
      </c>
      <c r="N176" s="284">
        <v>0</v>
      </c>
      <c r="O176" s="510">
        <v>41548</v>
      </c>
      <c r="P176" s="510">
        <v>41579</v>
      </c>
      <c r="Q176" s="510">
        <v>41609</v>
      </c>
      <c r="R176" s="510">
        <v>41671</v>
      </c>
      <c r="S176" s="309" t="s">
        <v>128</v>
      </c>
      <c r="T176" s="274"/>
      <c r="U176" s="346">
        <v>159416056.80000001</v>
      </c>
      <c r="AA176" s="402">
        <v>37371546.855197102</v>
      </c>
    </row>
    <row r="177" spans="1:27" s="293" customFormat="1" ht="15" x14ac:dyDescent="0.2">
      <c r="A177" s="497">
        <v>2</v>
      </c>
      <c r="B177" s="497" t="s">
        <v>1090</v>
      </c>
      <c r="C177" s="497">
        <v>2</v>
      </c>
      <c r="D177" s="497">
        <f t="shared" si="10"/>
        <v>85</v>
      </c>
      <c r="E177" s="338" t="s">
        <v>437</v>
      </c>
      <c r="F177" s="313" t="s">
        <v>225</v>
      </c>
      <c r="G177" s="313" t="s">
        <v>301</v>
      </c>
      <c r="H177" s="311" t="s">
        <v>130</v>
      </c>
      <c r="I177" s="314">
        <f t="shared" si="8"/>
        <v>316035.71062679996</v>
      </c>
      <c r="J177" s="326">
        <f t="shared" si="9"/>
        <v>316035.71062679996</v>
      </c>
      <c r="K177" s="328" t="s">
        <v>129</v>
      </c>
      <c r="L177" s="328" t="s">
        <v>132</v>
      </c>
      <c r="M177" s="287">
        <v>1</v>
      </c>
      <c r="N177" s="284">
        <v>0</v>
      </c>
      <c r="O177" s="510">
        <v>41548</v>
      </c>
      <c r="P177" s="510">
        <v>41579</v>
      </c>
      <c r="Q177" s="510">
        <v>41609</v>
      </c>
      <c r="R177" s="510">
        <v>41671</v>
      </c>
      <c r="S177" s="309" t="s">
        <v>128</v>
      </c>
      <c r="T177" s="274"/>
      <c r="U177" s="346">
        <v>159416056.80000001</v>
      </c>
      <c r="AA177" s="402">
        <v>37371546.855197102</v>
      </c>
    </row>
    <row r="178" spans="1:27" s="293" customFormat="1" ht="15" x14ac:dyDescent="0.2">
      <c r="A178" s="497">
        <v>2</v>
      </c>
      <c r="B178" s="497" t="s">
        <v>1091</v>
      </c>
      <c r="C178" s="497">
        <v>2</v>
      </c>
      <c r="D178" s="497">
        <f t="shared" si="10"/>
        <v>86</v>
      </c>
      <c r="E178" s="338" t="s">
        <v>438</v>
      </c>
      <c r="F178" s="313" t="s">
        <v>221</v>
      </c>
      <c r="G178" s="313" t="s">
        <v>302</v>
      </c>
      <c r="H178" s="311" t="s">
        <v>130</v>
      </c>
      <c r="I178" s="314">
        <f t="shared" si="8"/>
        <v>316035.71062679996</v>
      </c>
      <c r="J178" s="326">
        <f t="shared" si="9"/>
        <v>316035.71062679996</v>
      </c>
      <c r="K178" s="328" t="s">
        <v>129</v>
      </c>
      <c r="L178" s="328" t="s">
        <v>132</v>
      </c>
      <c r="M178" s="287">
        <v>1</v>
      </c>
      <c r="N178" s="284">
        <v>0</v>
      </c>
      <c r="O178" s="510">
        <v>41548</v>
      </c>
      <c r="P178" s="510">
        <v>41579</v>
      </c>
      <c r="Q178" s="510">
        <v>41609</v>
      </c>
      <c r="R178" s="510">
        <v>41671</v>
      </c>
      <c r="S178" s="309" t="s">
        <v>128</v>
      </c>
      <c r="T178" s="274"/>
      <c r="U178" s="345">
        <v>159416056.80000001</v>
      </c>
      <c r="AA178" s="392">
        <v>40160984.330130309</v>
      </c>
    </row>
    <row r="179" spans="1:27" s="293" customFormat="1" ht="15" x14ac:dyDescent="0.2">
      <c r="A179" s="497">
        <v>2</v>
      </c>
      <c r="B179" s="497" t="s">
        <v>1092</v>
      </c>
      <c r="C179" s="497">
        <v>2</v>
      </c>
      <c r="D179" s="497">
        <f t="shared" si="10"/>
        <v>87</v>
      </c>
      <c r="E179" s="338" t="s">
        <v>439</v>
      </c>
      <c r="F179" s="313" t="s">
        <v>225</v>
      </c>
      <c r="G179" s="313" t="s">
        <v>303</v>
      </c>
      <c r="H179" s="311" t="s">
        <v>130</v>
      </c>
      <c r="I179" s="314">
        <f t="shared" si="8"/>
        <v>316035.71062679996</v>
      </c>
      <c r="J179" s="326">
        <f t="shared" si="9"/>
        <v>316035.71062679996</v>
      </c>
      <c r="K179" s="328" t="s">
        <v>129</v>
      </c>
      <c r="L179" s="328" t="s">
        <v>132</v>
      </c>
      <c r="M179" s="287">
        <v>1</v>
      </c>
      <c r="N179" s="284">
        <v>0</v>
      </c>
      <c r="O179" s="510">
        <v>41548</v>
      </c>
      <c r="P179" s="510">
        <v>41579</v>
      </c>
      <c r="Q179" s="510">
        <v>41609</v>
      </c>
      <c r="R179" s="510">
        <v>41671</v>
      </c>
      <c r="S179" s="309" t="s">
        <v>128</v>
      </c>
      <c r="T179" s="274"/>
      <c r="U179" s="345">
        <v>159416056.80000001</v>
      </c>
      <c r="AA179" s="392">
        <v>40160984.330130309</v>
      </c>
    </row>
    <row r="180" spans="1:27" s="293" customFormat="1" ht="15" x14ac:dyDescent="0.2">
      <c r="A180" s="497">
        <v>2</v>
      </c>
      <c r="B180" s="497" t="s">
        <v>1093</v>
      </c>
      <c r="C180" s="497">
        <v>2</v>
      </c>
      <c r="D180" s="497">
        <f t="shared" si="10"/>
        <v>88</v>
      </c>
      <c r="E180" s="338" t="s">
        <v>440</v>
      </c>
      <c r="F180" s="313" t="s">
        <v>224</v>
      </c>
      <c r="G180" s="313" t="s">
        <v>249</v>
      </c>
      <c r="H180" s="311" t="s">
        <v>130</v>
      </c>
      <c r="I180" s="314">
        <f t="shared" si="8"/>
        <v>316035.71062679996</v>
      </c>
      <c r="J180" s="326">
        <f t="shared" si="9"/>
        <v>316035.71062679996</v>
      </c>
      <c r="K180" s="328" t="s">
        <v>129</v>
      </c>
      <c r="L180" s="328" t="s">
        <v>132</v>
      </c>
      <c r="M180" s="287">
        <v>1</v>
      </c>
      <c r="N180" s="284">
        <v>0</v>
      </c>
      <c r="O180" s="510">
        <v>41548</v>
      </c>
      <c r="P180" s="510">
        <v>41579</v>
      </c>
      <c r="Q180" s="510">
        <v>41609</v>
      </c>
      <c r="R180" s="510">
        <v>41671</v>
      </c>
      <c r="S180" s="309" t="s">
        <v>128</v>
      </c>
      <c r="T180" s="274"/>
      <c r="U180" s="346">
        <v>159416056.80000001</v>
      </c>
      <c r="AA180" s="392">
        <v>40160984.330130309</v>
      </c>
    </row>
    <row r="181" spans="1:27" s="293" customFormat="1" ht="15" x14ac:dyDescent="0.2">
      <c r="A181" s="497">
        <v>2</v>
      </c>
      <c r="B181" s="497" t="s">
        <v>1094</v>
      </c>
      <c r="C181" s="497">
        <v>2</v>
      </c>
      <c r="D181" s="497">
        <f t="shared" si="10"/>
        <v>89</v>
      </c>
      <c r="E181" s="338" t="s">
        <v>441</v>
      </c>
      <c r="F181" s="313" t="s">
        <v>234</v>
      </c>
      <c r="G181" s="313" t="s">
        <v>304</v>
      </c>
      <c r="H181" s="311" t="s">
        <v>130</v>
      </c>
      <c r="I181" s="314">
        <f t="shared" si="8"/>
        <v>316035.71062679996</v>
      </c>
      <c r="J181" s="326">
        <f t="shared" si="9"/>
        <v>316035.71062679996</v>
      </c>
      <c r="K181" s="328" t="s">
        <v>129</v>
      </c>
      <c r="L181" s="328" t="s">
        <v>132</v>
      </c>
      <c r="M181" s="287">
        <v>1</v>
      </c>
      <c r="N181" s="284">
        <v>0</v>
      </c>
      <c r="O181" s="510">
        <v>41548</v>
      </c>
      <c r="P181" s="510">
        <v>41579</v>
      </c>
      <c r="Q181" s="510">
        <v>41609</v>
      </c>
      <c r="R181" s="510">
        <v>41671</v>
      </c>
      <c r="S181" s="309" t="s">
        <v>128</v>
      </c>
      <c r="T181" s="274"/>
      <c r="U181" s="346">
        <v>159416056.80000001</v>
      </c>
      <c r="AA181" s="469">
        <v>40160984.330130309</v>
      </c>
    </row>
    <row r="182" spans="1:27" s="293" customFormat="1" ht="15" x14ac:dyDescent="0.2">
      <c r="A182" s="497">
        <v>2</v>
      </c>
      <c r="B182" s="497" t="s">
        <v>1095</v>
      </c>
      <c r="C182" s="497">
        <v>2</v>
      </c>
      <c r="D182" s="497">
        <f t="shared" si="10"/>
        <v>90</v>
      </c>
      <c r="E182" s="338" t="s">
        <v>442</v>
      </c>
      <c r="F182" s="313" t="s">
        <v>224</v>
      </c>
      <c r="G182" s="313" t="s">
        <v>224</v>
      </c>
      <c r="H182" s="311" t="s">
        <v>130</v>
      </c>
      <c r="I182" s="314">
        <f t="shared" si="8"/>
        <v>316035.71062679996</v>
      </c>
      <c r="J182" s="326">
        <f t="shared" si="9"/>
        <v>316035.71062679996</v>
      </c>
      <c r="K182" s="328" t="s">
        <v>129</v>
      </c>
      <c r="L182" s="328" t="s">
        <v>132</v>
      </c>
      <c r="M182" s="287">
        <v>1</v>
      </c>
      <c r="N182" s="284">
        <v>0</v>
      </c>
      <c r="O182" s="510">
        <v>41548</v>
      </c>
      <c r="P182" s="510">
        <v>41579</v>
      </c>
      <c r="Q182" s="510">
        <v>41609</v>
      </c>
      <c r="R182" s="510">
        <v>41671</v>
      </c>
      <c r="S182" s="309" t="s">
        <v>128</v>
      </c>
      <c r="T182" s="274"/>
      <c r="U182" s="346">
        <v>159416056.80000001</v>
      </c>
    </row>
    <row r="183" spans="1:27" s="293" customFormat="1" ht="15" x14ac:dyDescent="0.2">
      <c r="A183" s="497">
        <v>2</v>
      </c>
      <c r="B183" s="497" t="s">
        <v>1096</v>
      </c>
      <c r="C183" s="497">
        <v>2</v>
      </c>
      <c r="D183" s="497">
        <f t="shared" si="10"/>
        <v>91</v>
      </c>
      <c r="E183" s="338" t="s">
        <v>443</v>
      </c>
      <c r="F183" s="313" t="s">
        <v>225</v>
      </c>
      <c r="G183" s="313" t="s">
        <v>305</v>
      </c>
      <c r="H183" s="311" t="s">
        <v>130</v>
      </c>
      <c r="I183" s="314">
        <f t="shared" si="8"/>
        <v>316035.71062679996</v>
      </c>
      <c r="J183" s="326">
        <f t="shared" si="9"/>
        <v>316035.71062679996</v>
      </c>
      <c r="K183" s="328" t="s">
        <v>129</v>
      </c>
      <c r="L183" s="328" t="s">
        <v>132</v>
      </c>
      <c r="M183" s="287">
        <v>1</v>
      </c>
      <c r="N183" s="284">
        <v>0</v>
      </c>
      <c r="O183" s="510">
        <v>41548</v>
      </c>
      <c r="P183" s="510">
        <v>41579</v>
      </c>
      <c r="Q183" s="510">
        <v>41609</v>
      </c>
      <c r="R183" s="510">
        <v>41671</v>
      </c>
      <c r="S183" s="309" t="s">
        <v>128</v>
      </c>
      <c r="T183" s="274"/>
      <c r="U183" s="346">
        <v>159416056.80000001</v>
      </c>
    </row>
    <row r="184" spans="1:27" s="293" customFormat="1" ht="15" x14ac:dyDescent="0.2">
      <c r="A184" s="497">
        <v>2</v>
      </c>
      <c r="B184" s="497" t="s">
        <v>1097</v>
      </c>
      <c r="C184" s="497">
        <v>2</v>
      </c>
      <c r="D184" s="497">
        <f t="shared" si="10"/>
        <v>92</v>
      </c>
      <c r="E184" s="338" t="s">
        <v>444</v>
      </c>
      <c r="F184" s="313" t="s">
        <v>208</v>
      </c>
      <c r="G184" s="313" t="s">
        <v>298</v>
      </c>
      <c r="H184" s="311" t="s">
        <v>130</v>
      </c>
      <c r="I184" s="314">
        <f t="shared" si="8"/>
        <v>316035.71062679996</v>
      </c>
      <c r="J184" s="326">
        <f t="shared" si="9"/>
        <v>316035.71062679996</v>
      </c>
      <c r="K184" s="328" t="s">
        <v>129</v>
      </c>
      <c r="L184" s="328" t="s">
        <v>132</v>
      </c>
      <c r="M184" s="287">
        <v>1</v>
      </c>
      <c r="N184" s="284">
        <v>0</v>
      </c>
      <c r="O184" s="510">
        <v>41548</v>
      </c>
      <c r="P184" s="510">
        <v>41579</v>
      </c>
      <c r="Q184" s="510">
        <v>41609</v>
      </c>
      <c r="R184" s="510">
        <v>41671</v>
      </c>
      <c r="S184" s="309" t="s">
        <v>128</v>
      </c>
      <c r="T184" s="274"/>
      <c r="U184" s="346">
        <v>159416056.80000001</v>
      </c>
    </row>
    <row r="185" spans="1:27" s="293" customFormat="1" ht="15" x14ac:dyDescent="0.2">
      <c r="A185" s="497">
        <v>2</v>
      </c>
      <c r="B185" s="497" t="s">
        <v>1098</v>
      </c>
      <c r="C185" s="497">
        <v>2</v>
      </c>
      <c r="D185" s="497">
        <f t="shared" si="10"/>
        <v>93</v>
      </c>
      <c r="E185" s="338" t="s">
        <v>445</v>
      </c>
      <c r="F185" s="313" t="s">
        <v>234</v>
      </c>
      <c r="G185" s="313" t="s">
        <v>306</v>
      </c>
      <c r="H185" s="311" t="s">
        <v>130</v>
      </c>
      <c r="I185" s="314">
        <f t="shared" si="8"/>
        <v>316035.71062679996</v>
      </c>
      <c r="J185" s="326">
        <f t="shared" si="9"/>
        <v>316035.71062679996</v>
      </c>
      <c r="K185" s="328" t="s">
        <v>129</v>
      </c>
      <c r="L185" s="328" t="s">
        <v>132</v>
      </c>
      <c r="M185" s="287">
        <v>1</v>
      </c>
      <c r="N185" s="284">
        <v>0</v>
      </c>
      <c r="O185" s="510">
        <v>41548</v>
      </c>
      <c r="P185" s="510">
        <v>41579</v>
      </c>
      <c r="Q185" s="510">
        <v>41609</v>
      </c>
      <c r="R185" s="510">
        <v>41671</v>
      </c>
      <c r="S185" s="309" t="s">
        <v>128</v>
      </c>
      <c r="T185" s="274"/>
      <c r="U185" s="346">
        <v>159416056.80000001</v>
      </c>
    </row>
    <row r="186" spans="1:27" s="293" customFormat="1" ht="15" x14ac:dyDescent="0.2">
      <c r="A186" s="497">
        <v>2</v>
      </c>
      <c r="B186" s="497" t="s">
        <v>1099</v>
      </c>
      <c r="C186" s="497">
        <v>2</v>
      </c>
      <c r="D186" s="497">
        <f t="shared" si="10"/>
        <v>94</v>
      </c>
      <c r="E186" s="338" t="s">
        <v>446</v>
      </c>
      <c r="F186" s="313" t="s">
        <v>210</v>
      </c>
      <c r="G186" s="313" t="s">
        <v>235</v>
      </c>
      <c r="H186" s="311" t="s">
        <v>130</v>
      </c>
      <c r="I186" s="314">
        <f t="shared" si="8"/>
        <v>316035.71062679996</v>
      </c>
      <c r="J186" s="326">
        <f t="shared" si="9"/>
        <v>316035.71062679996</v>
      </c>
      <c r="K186" s="328" t="s">
        <v>129</v>
      </c>
      <c r="L186" s="328" t="s">
        <v>132</v>
      </c>
      <c r="M186" s="287">
        <v>1</v>
      </c>
      <c r="N186" s="284">
        <v>0</v>
      </c>
      <c r="O186" s="510">
        <v>41548</v>
      </c>
      <c r="P186" s="510">
        <v>41579</v>
      </c>
      <c r="Q186" s="510">
        <v>41609</v>
      </c>
      <c r="R186" s="510">
        <v>41671</v>
      </c>
      <c r="S186" s="309" t="s">
        <v>128</v>
      </c>
      <c r="T186" s="274"/>
      <c r="U186" s="346">
        <v>159416056.80000001</v>
      </c>
    </row>
    <row r="187" spans="1:27" s="293" customFormat="1" ht="15" x14ac:dyDescent="0.2">
      <c r="A187" s="497">
        <v>2</v>
      </c>
      <c r="B187" s="497" t="s">
        <v>1100</v>
      </c>
      <c r="C187" s="497">
        <v>2</v>
      </c>
      <c r="D187" s="497">
        <f t="shared" si="10"/>
        <v>95</v>
      </c>
      <c r="E187" s="338" t="s">
        <v>447</v>
      </c>
      <c r="F187" s="313" t="s">
        <v>224</v>
      </c>
      <c r="G187" s="313" t="s">
        <v>224</v>
      </c>
      <c r="H187" s="311" t="s">
        <v>130</v>
      </c>
      <c r="I187" s="314">
        <f t="shared" si="8"/>
        <v>316035.71062679996</v>
      </c>
      <c r="J187" s="326">
        <f t="shared" si="9"/>
        <v>316035.71062679996</v>
      </c>
      <c r="K187" s="328" t="s">
        <v>129</v>
      </c>
      <c r="L187" s="328" t="s">
        <v>132</v>
      </c>
      <c r="M187" s="287">
        <v>1</v>
      </c>
      <c r="N187" s="284">
        <v>0</v>
      </c>
      <c r="O187" s="510">
        <v>41548</v>
      </c>
      <c r="P187" s="510">
        <v>41579</v>
      </c>
      <c r="Q187" s="510">
        <v>41609</v>
      </c>
      <c r="R187" s="510">
        <v>41671</v>
      </c>
      <c r="S187" s="309" t="s">
        <v>128</v>
      </c>
      <c r="T187" s="274"/>
      <c r="U187" s="346">
        <v>159416056.80000001</v>
      </c>
    </row>
    <row r="188" spans="1:27" s="293" customFormat="1" ht="15" x14ac:dyDescent="0.2">
      <c r="A188" s="497">
        <v>2</v>
      </c>
      <c r="B188" s="497" t="s">
        <v>1101</v>
      </c>
      <c r="C188" s="497">
        <v>2</v>
      </c>
      <c r="D188" s="497">
        <f t="shared" si="10"/>
        <v>96</v>
      </c>
      <c r="E188" s="338" t="s">
        <v>448</v>
      </c>
      <c r="F188" s="313" t="s">
        <v>218</v>
      </c>
      <c r="G188" s="313" t="s">
        <v>245</v>
      </c>
      <c r="H188" s="311" t="s">
        <v>130</v>
      </c>
      <c r="I188" s="314">
        <f t="shared" si="8"/>
        <v>316035.71062679996</v>
      </c>
      <c r="J188" s="326">
        <f t="shared" si="9"/>
        <v>316035.71062679996</v>
      </c>
      <c r="K188" s="328" t="s">
        <v>129</v>
      </c>
      <c r="L188" s="328" t="s">
        <v>132</v>
      </c>
      <c r="M188" s="287">
        <v>1</v>
      </c>
      <c r="N188" s="284">
        <v>0</v>
      </c>
      <c r="O188" s="510">
        <v>41548</v>
      </c>
      <c r="P188" s="510">
        <v>41579</v>
      </c>
      <c r="Q188" s="510">
        <v>41609</v>
      </c>
      <c r="R188" s="510">
        <v>41671</v>
      </c>
      <c r="S188" s="309" t="s">
        <v>128</v>
      </c>
      <c r="T188" s="274"/>
      <c r="U188" s="346">
        <v>159416056.80000001</v>
      </c>
    </row>
    <row r="189" spans="1:27" s="293" customFormat="1" ht="15" x14ac:dyDescent="0.2">
      <c r="A189" s="497">
        <v>2</v>
      </c>
      <c r="B189" s="497" t="s">
        <v>1102</v>
      </c>
      <c r="C189" s="497">
        <v>2</v>
      </c>
      <c r="D189" s="497">
        <f t="shared" si="10"/>
        <v>97</v>
      </c>
      <c r="E189" s="338" t="s">
        <v>449</v>
      </c>
      <c r="F189" s="313" t="s">
        <v>217</v>
      </c>
      <c r="G189" s="313" t="s">
        <v>307</v>
      </c>
      <c r="H189" s="311" t="s">
        <v>130</v>
      </c>
      <c r="I189" s="314">
        <f t="shared" si="8"/>
        <v>316035.71062679996</v>
      </c>
      <c r="J189" s="326">
        <f t="shared" si="9"/>
        <v>316035.71062679996</v>
      </c>
      <c r="K189" s="328" t="s">
        <v>129</v>
      </c>
      <c r="L189" s="328" t="s">
        <v>132</v>
      </c>
      <c r="M189" s="287">
        <v>1</v>
      </c>
      <c r="N189" s="284">
        <v>0</v>
      </c>
      <c r="O189" s="510">
        <v>41548</v>
      </c>
      <c r="P189" s="510">
        <v>41579</v>
      </c>
      <c r="Q189" s="510">
        <v>41609</v>
      </c>
      <c r="R189" s="510">
        <v>41671</v>
      </c>
      <c r="S189" s="309" t="s">
        <v>128</v>
      </c>
      <c r="T189" s="274"/>
      <c r="U189" s="346">
        <v>159416056.80000001</v>
      </c>
    </row>
    <row r="190" spans="1:27" s="293" customFormat="1" ht="15" x14ac:dyDescent="0.2">
      <c r="A190" s="497">
        <v>3</v>
      </c>
      <c r="B190" s="497" t="s">
        <v>1103</v>
      </c>
      <c r="C190" s="497">
        <v>2</v>
      </c>
      <c r="D190" s="497">
        <f t="shared" si="10"/>
        <v>98</v>
      </c>
      <c r="E190" s="338" t="s">
        <v>454</v>
      </c>
      <c r="F190" s="313" t="s">
        <v>225</v>
      </c>
      <c r="G190" s="313" t="s">
        <v>308</v>
      </c>
      <c r="H190" s="311" t="s">
        <v>130</v>
      </c>
      <c r="I190" s="314">
        <f t="shared" si="8"/>
        <v>331837.49615814001</v>
      </c>
      <c r="J190" s="326">
        <f t="shared" si="9"/>
        <v>331837.49615814001</v>
      </c>
      <c r="K190" s="328" t="s">
        <v>129</v>
      </c>
      <c r="L190" s="328" t="s">
        <v>132</v>
      </c>
      <c r="M190" s="287">
        <v>1</v>
      </c>
      <c r="N190" s="284">
        <v>0</v>
      </c>
      <c r="O190" s="510">
        <v>41913</v>
      </c>
      <c r="P190" s="510">
        <v>41944</v>
      </c>
      <c r="Q190" s="510">
        <v>41974</v>
      </c>
      <c r="R190" s="510">
        <v>42036</v>
      </c>
      <c r="S190" s="309" t="s">
        <v>128</v>
      </c>
      <c r="T190" s="274"/>
      <c r="U190" s="346">
        <v>167386859.64000002</v>
      </c>
    </row>
    <row r="191" spans="1:27" s="293" customFormat="1" ht="15" x14ac:dyDescent="0.2">
      <c r="A191" s="497">
        <v>3</v>
      </c>
      <c r="B191" s="497" t="s">
        <v>1104</v>
      </c>
      <c r="C191" s="497">
        <v>2</v>
      </c>
      <c r="D191" s="497">
        <f t="shared" si="10"/>
        <v>99</v>
      </c>
      <c r="E191" s="338" t="s">
        <v>450</v>
      </c>
      <c r="F191" s="313" t="s">
        <v>225</v>
      </c>
      <c r="G191" s="313" t="s">
        <v>241</v>
      </c>
      <c r="H191" s="311" t="s">
        <v>130</v>
      </c>
      <c r="I191" s="314">
        <f t="shared" si="8"/>
        <v>331837.49615814001</v>
      </c>
      <c r="J191" s="326">
        <f t="shared" si="9"/>
        <v>331837.49615814001</v>
      </c>
      <c r="K191" s="328" t="s">
        <v>129</v>
      </c>
      <c r="L191" s="328" t="s">
        <v>132</v>
      </c>
      <c r="M191" s="287">
        <v>1</v>
      </c>
      <c r="N191" s="284">
        <v>0</v>
      </c>
      <c r="O191" s="510">
        <v>41913</v>
      </c>
      <c r="P191" s="510">
        <v>41944</v>
      </c>
      <c r="Q191" s="510">
        <v>41974</v>
      </c>
      <c r="R191" s="510">
        <v>42036</v>
      </c>
      <c r="S191" s="309" t="s">
        <v>128</v>
      </c>
      <c r="T191" s="274"/>
      <c r="U191" s="346">
        <v>167386859.64000002</v>
      </c>
    </row>
    <row r="192" spans="1:27" s="293" customFormat="1" ht="15" x14ac:dyDescent="0.2">
      <c r="A192" s="497">
        <v>3</v>
      </c>
      <c r="B192" s="497" t="s">
        <v>1105</v>
      </c>
      <c r="C192" s="497">
        <v>2</v>
      </c>
      <c r="D192" s="497">
        <f t="shared" si="10"/>
        <v>100</v>
      </c>
      <c r="E192" s="338" t="s">
        <v>451</v>
      </c>
      <c r="F192" s="313" t="s">
        <v>225</v>
      </c>
      <c r="G192" s="313" t="s">
        <v>227</v>
      </c>
      <c r="H192" s="311" t="s">
        <v>130</v>
      </c>
      <c r="I192" s="314">
        <f t="shared" si="8"/>
        <v>331837.49615814001</v>
      </c>
      <c r="J192" s="326">
        <f t="shared" si="9"/>
        <v>331837.49615814001</v>
      </c>
      <c r="K192" s="328" t="s">
        <v>129</v>
      </c>
      <c r="L192" s="328" t="s">
        <v>132</v>
      </c>
      <c r="M192" s="287">
        <v>1</v>
      </c>
      <c r="N192" s="284">
        <v>0</v>
      </c>
      <c r="O192" s="510">
        <v>41913</v>
      </c>
      <c r="P192" s="510">
        <v>41944</v>
      </c>
      <c r="Q192" s="510">
        <v>41974</v>
      </c>
      <c r="R192" s="510">
        <v>42036</v>
      </c>
      <c r="S192" s="309" t="s">
        <v>128</v>
      </c>
      <c r="T192" s="274"/>
      <c r="U192" s="346">
        <v>167386859.64000002</v>
      </c>
    </row>
    <row r="193" spans="1:29" s="293" customFormat="1" ht="15" x14ac:dyDescent="0.2">
      <c r="A193" s="497">
        <v>3</v>
      </c>
      <c r="B193" s="497" t="s">
        <v>1106</v>
      </c>
      <c r="C193" s="497">
        <v>2</v>
      </c>
      <c r="D193" s="497">
        <f t="shared" si="10"/>
        <v>101</v>
      </c>
      <c r="E193" s="338" t="s">
        <v>452</v>
      </c>
      <c r="F193" s="313" t="s">
        <v>225</v>
      </c>
      <c r="G193" s="313" t="s">
        <v>309</v>
      </c>
      <c r="H193" s="311" t="s">
        <v>130</v>
      </c>
      <c r="I193" s="314">
        <f t="shared" si="8"/>
        <v>331837.49615814001</v>
      </c>
      <c r="J193" s="326">
        <f t="shared" si="9"/>
        <v>331837.49615814001</v>
      </c>
      <c r="K193" s="328" t="s">
        <v>129</v>
      </c>
      <c r="L193" s="328" t="s">
        <v>132</v>
      </c>
      <c r="M193" s="287">
        <v>1</v>
      </c>
      <c r="N193" s="284">
        <v>0</v>
      </c>
      <c r="O193" s="510">
        <v>41913</v>
      </c>
      <c r="P193" s="510">
        <v>41944</v>
      </c>
      <c r="Q193" s="510">
        <v>41974</v>
      </c>
      <c r="R193" s="510">
        <v>42036</v>
      </c>
      <c r="S193" s="309" t="s">
        <v>128</v>
      </c>
      <c r="T193" s="274"/>
      <c r="U193" s="346">
        <v>167386859.64000002</v>
      </c>
    </row>
    <row r="194" spans="1:29" s="293" customFormat="1" ht="15" x14ac:dyDescent="0.2">
      <c r="A194" s="497">
        <v>3</v>
      </c>
      <c r="B194" s="497" t="s">
        <v>1107</v>
      </c>
      <c r="C194" s="497">
        <v>2</v>
      </c>
      <c r="D194" s="497">
        <f t="shared" si="10"/>
        <v>102</v>
      </c>
      <c r="E194" s="338" t="s">
        <v>453</v>
      </c>
      <c r="F194" s="313" t="s">
        <v>234</v>
      </c>
      <c r="G194" s="313" t="s">
        <v>252</v>
      </c>
      <c r="H194" s="311" t="s">
        <v>130</v>
      </c>
      <c r="I194" s="314">
        <f t="shared" si="8"/>
        <v>331837.49615814001</v>
      </c>
      <c r="J194" s="326">
        <f t="shared" si="9"/>
        <v>331837.49615814001</v>
      </c>
      <c r="K194" s="328" t="s">
        <v>129</v>
      </c>
      <c r="L194" s="328" t="s">
        <v>132</v>
      </c>
      <c r="M194" s="287">
        <v>1</v>
      </c>
      <c r="N194" s="284">
        <v>0</v>
      </c>
      <c r="O194" s="510">
        <v>41913</v>
      </c>
      <c r="P194" s="510">
        <v>41944</v>
      </c>
      <c r="Q194" s="510">
        <v>41974</v>
      </c>
      <c r="R194" s="510">
        <v>42036</v>
      </c>
      <c r="S194" s="309" t="s">
        <v>128</v>
      </c>
      <c r="T194" s="274"/>
      <c r="U194" s="346">
        <v>167386859.64000002</v>
      </c>
    </row>
    <row r="195" spans="1:29" s="293" customFormat="1" ht="15" x14ac:dyDescent="0.2">
      <c r="A195" s="497">
        <v>3</v>
      </c>
      <c r="B195" s="497" t="s">
        <v>1108</v>
      </c>
      <c r="C195" s="497">
        <v>2</v>
      </c>
      <c r="D195" s="497">
        <f t="shared" si="10"/>
        <v>103</v>
      </c>
      <c r="E195" s="338" t="s">
        <v>455</v>
      </c>
      <c r="F195" s="313" t="s">
        <v>213</v>
      </c>
      <c r="G195" s="313" t="s">
        <v>310</v>
      </c>
      <c r="H195" s="311" t="s">
        <v>130</v>
      </c>
      <c r="I195" s="314">
        <f t="shared" si="8"/>
        <v>331837.49615814001</v>
      </c>
      <c r="J195" s="326">
        <f t="shared" si="9"/>
        <v>331837.49615814001</v>
      </c>
      <c r="K195" s="328" t="s">
        <v>129</v>
      </c>
      <c r="L195" s="328" t="s">
        <v>132</v>
      </c>
      <c r="M195" s="287">
        <v>1</v>
      </c>
      <c r="N195" s="284">
        <v>0</v>
      </c>
      <c r="O195" s="510">
        <v>41913</v>
      </c>
      <c r="P195" s="510">
        <v>41944</v>
      </c>
      <c r="Q195" s="510">
        <v>41974</v>
      </c>
      <c r="R195" s="510">
        <v>42036</v>
      </c>
      <c r="S195" s="309" t="s">
        <v>128</v>
      </c>
      <c r="T195" s="274"/>
      <c r="U195" s="346">
        <v>167386859.64000002</v>
      </c>
    </row>
    <row r="196" spans="1:29" s="293" customFormat="1" x14ac:dyDescent="0.2">
      <c r="A196" s="330"/>
      <c r="B196" s="330"/>
      <c r="C196" s="330"/>
      <c r="D196" s="330"/>
      <c r="E196" s="330" t="s">
        <v>291</v>
      </c>
      <c r="F196" s="340" t="s">
        <v>229</v>
      </c>
      <c r="G196" s="340" t="s">
        <v>230</v>
      </c>
      <c r="H196" s="340" t="s">
        <v>231</v>
      </c>
      <c r="I196" s="330"/>
      <c r="J196" s="318">
        <f>SUM(J197:J198)</f>
        <v>191991.69420578098</v>
      </c>
      <c r="K196" s="335"/>
      <c r="L196" s="342"/>
      <c r="M196" s="330"/>
      <c r="N196" s="330"/>
      <c r="O196" s="340"/>
      <c r="P196" s="340"/>
      <c r="Q196" s="340"/>
      <c r="R196" s="340"/>
      <c r="S196" s="330"/>
      <c r="T196" s="330"/>
    </row>
    <row r="197" spans="1:29" s="293" customFormat="1" x14ac:dyDescent="0.2">
      <c r="A197" s="497">
        <v>2</v>
      </c>
      <c r="B197" s="497" t="s">
        <v>1109</v>
      </c>
      <c r="C197" s="497">
        <v>4</v>
      </c>
      <c r="D197" s="497"/>
      <c r="E197" s="338" t="s">
        <v>311</v>
      </c>
      <c r="F197" s="313" t="s">
        <v>266</v>
      </c>
      <c r="G197" s="313" t="s">
        <v>266</v>
      </c>
      <c r="H197" s="311" t="s">
        <v>137</v>
      </c>
      <c r="I197" s="336">
        <f>J197/19</f>
        <v>7485.056304318945</v>
      </c>
      <c r="J197" s="336">
        <f>0.025*(SUM(J$172:J$189))</f>
        <v>142216.06978205996</v>
      </c>
      <c r="K197" s="328" t="s">
        <v>934</v>
      </c>
      <c r="L197" s="328" t="s">
        <v>132</v>
      </c>
      <c r="M197" s="321">
        <v>1</v>
      </c>
      <c r="N197" s="321">
        <v>0</v>
      </c>
      <c r="O197" s="510">
        <v>41518</v>
      </c>
      <c r="P197" s="510">
        <v>41579</v>
      </c>
      <c r="Q197" s="510">
        <v>41609</v>
      </c>
      <c r="R197" s="510">
        <v>41913</v>
      </c>
      <c r="S197" s="309" t="s">
        <v>128</v>
      </c>
      <c r="T197" s="341"/>
    </row>
    <row r="198" spans="1:29" s="293" customFormat="1" x14ac:dyDescent="0.2">
      <c r="A198" s="497">
        <v>3</v>
      </c>
      <c r="B198" s="497" t="s">
        <v>1110</v>
      </c>
      <c r="C198" s="497">
        <v>4</v>
      </c>
      <c r="D198" s="497"/>
      <c r="E198" s="338" t="s">
        <v>312</v>
      </c>
      <c r="F198" s="313" t="s">
        <v>266</v>
      </c>
      <c r="G198" s="313" t="s">
        <v>266</v>
      </c>
      <c r="H198" s="311" t="s">
        <v>137</v>
      </c>
      <c r="I198" s="336">
        <f>J198/5</f>
        <v>9955.1248847442002</v>
      </c>
      <c r="J198" s="336">
        <f>0.025*(SUM(J$190:J$195))</f>
        <v>49775.624423721005</v>
      </c>
      <c r="K198" s="328" t="s">
        <v>934</v>
      </c>
      <c r="L198" s="328" t="s">
        <v>132</v>
      </c>
      <c r="M198" s="321">
        <v>1</v>
      </c>
      <c r="N198" s="321">
        <v>0</v>
      </c>
      <c r="O198" s="510">
        <v>41883</v>
      </c>
      <c r="P198" s="510">
        <v>41944</v>
      </c>
      <c r="Q198" s="510">
        <v>41974</v>
      </c>
      <c r="R198" s="510">
        <v>42278</v>
      </c>
      <c r="S198" s="309" t="s">
        <v>128</v>
      </c>
      <c r="T198" s="341"/>
    </row>
    <row r="199" spans="1:29" s="293" customFormat="1" x14ac:dyDescent="0.2">
      <c r="A199" s="330"/>
      <c r="B199" s="330"/>
      <c r="C199" s="330"/>
      <c r="D199" s="330"/>
      <c r="E199" s="330" t="s">
        <v>314</v>
      </c>
      <c r="F199" s="340" t="s">
        <v>229</v>
      </c>
      <c r="G199" s="340" t="s">
        <v>230</v>
      </c>
      <c r="H199" s="340" t="s">
        <v>231</v>
      </c>
      <c r="I199" s="330"/>
      <c r="J199" s="318">
        <f>SUM(J200:J201)</f>
        <v>383983.38841156196</v>
      </c>
      <c r="K199" s="335"/>
      <c r="L199" s="342"/>
      <c r="M199" s="330"/>
      <c r="N199" s="330"/>
      <c r="O199" s="340"/>
      <c r="P199" s="340"/>
      <c r="Q199" s="340"/>
      <c r="R199" s="340"/>
      <c r="S199" s="330"/>
      <c r="T199" s="330"/>
    </row>
    <row r="200" spans="1:29" s="293" customFormat="1" x14ac:dyDescent="0.2">
      <c r="A200" s="497">
        <v>2</v>
      </c>
      <c r="B200" s="497" t="s">
        <v>1111</v>
      </c>
      <c r="C200" s="497">
        <v>4</v>
      </c>
      <c r="D200" s="497"/>
      <c r="E200" s="338" t="s">
        <v>461</v>
      </c>
      <c r="F200" s="313" t="s">
        <v>266</v>
      </c>
      <c r="G200" s="313" t="s">
        <v>266</v>
      </c>
      <c r="H200" s="311" t="s">
        <v>137</v>
      </c>
      <c r="I200" s="336">
        <f>J200/19</f>
        <v>14970.11260863789</v>
      </c>
      <c r="J200" s="336">
        <f>0.05*(SUM(J$172:J$189))</f>
        <v>284432.13956411992</v>
      </c>
      <c r="K200" s="328" t="s">
        <v>1127</v>
      </c>
      <c r="L200" s="328" t="s">
        <v>132</v>
      </c>
      <c r="M200" s="321">
        <v>1</v>
      </c>
      <c r="N200" s="321">
        <v>0</v>
      </c>
      <c r="O200" s="510">
        <v>41334</v>
      </c>
      <c r="P200" s="510">
        <v>41365</v>
      </c>
      <c r="Q200" s="510">
        <v>41365</v>
      </c>
      <c r="R200" s="510">
        <v>41518</v>
      </c>
      <c r="S200" s="309" t="s">
        <v>128</v>
      </c>
      <c r="T200" s="341"/>
    </row>
    <row r="201" spans="1:29" s="293" customFormat="1" x14ac:dyDescent="0.2">
      <c r="A201" s="497">
        <v>3</v>
      </c>
      <c r="B201" s="497" t="s">
        <v>1116</v>
      </c>
      <c r="C201" s="497">
        <v>4</v>
      </c>
      <c r="D201" s="497"/>
      <c r="E201" s="338" t="s">
        <v>462</v>
      </c>
      <c r="F201" s="313" t="s">
        <v>266</v>
      </c>
      <c r="G201" s="313" t="s">
        <v>266</v>
      </c>
      <c r="H201" s="311" t="s">
        <v>137</v>
      </c>
      <c r="I201" s="336">
        <f>J201/5</f>
        <v>19910.2497694884</v>
      </c>
      <c r="J201" s="336">
        <f>0.05*(SUM(J$190:J$195))</f>
        <v>99551.24884744201</v>
      </c>
      <c r="K201" s="328" t="s">
        <v>1127</v>
      </c>
      <c r="L201" s="328" t="s">
        <v>132</v>
      </c>
      <c r="M201" s="321">
        <v>1</v>
      </c>
      <c r="N201" s="321">
        <v>0</v>
      </c>
      <c r="O201" s="510">
        <v>41791</v>
      </c>
      <c r="P201" s="510">
        <v>41821</v>
      </c>
      <c r="Q201" s="510">
        <v>41821</v>
      </c>
      <c r="R201" s="510">
        <v>41883</v>
      </c>
      <c r="S201" s="309" t="s">
        <v>128</v>
      </c>
      <c r="T201" s="341"/>
    </row>
    <row r="202" spans="1:29" s="293" customFormat="1" x14ac:dyDescent="0.2">
      <c r="A202" s="330"/>
      <c r="B202" s="330"/>
      <c r="C202" s="330"/>
      <c r="D202" s="330"/>
      <c r="E202" s="330" t="s">
        <v>430</v>
      </c>
      <c r="F202" s="340" t="s">
        <v>229</v>
      </c>
      <c r="G202" s="340" t="s">
        <v>230</v>
      </c>
      <c r="H202" s="340" t="s">
        <v>231</v>
      </c>
      <c r="I202" s="330"/>
      <c r="J202" s="318">
        <f>SUM(J203:J204)</f>
        <v>614373.42145849904</v>
      </c>
      <c r="K202" s="335"/>
      <c r="L202" s="342"/>
      <c r="M202" s="330"/>
      <c r="N202" s="330"/>
      <c r="O202" s="340"/>
      <c r="P202" s="340"/>
      <c r="Q202" s="340"/>
      <c r="R202" s="340"/>
      <c r="S202" s="330"/>
      <c r="T202" s="330"/>
    </row>
    <row r="203" spans="1:29" s="293" customFormat="1" x14ac:dyDescent="0.2">
      <c r="A203" s="497">
        <v>2</v>
      </c>
      <c r="B203" s="497" t="s">
        <v>1117</v>
      </c>
      <c r="C203" s="497" t="s">
        <v>1115</v>
      </c>
      <c r="D203" s="497"/>
      <c r="E203" s="338" t="s">
        <v>463</v>
      </c>
      <c r="F203" s="313"/>
      <c r="G203" s="313"/>
      <c r="H203" s="311"/>
      <c r="I203" s="336">
        <f>J203/19</f>
        <v>23952.180173820627</v>
      </c>
      <c r="J203" s="336">
        <f>0.08*(SUM(J172:J189))</f>
        <v>455091.42330259189</v>
      </c>
      <c r="K203" s="328"/>
      <c r="L203" s="328"/>
      <c r="M203" s="321">
        <v>1</v>
      </c>
      <c r="N203" s="321">
        <v>0</v>
      </c>
      <c r="O203" s="510"/>
      <c r="P203" s="510"/>
      <c r="Q203" s="510"/>
      <c r="R203" s="510"/>
      <c r="S203" s="309"/>
      <c r="T203" s="341"/>
    </row>
    <row r="204" spans="1:29" s="293" customFormat="1" x14ac:dyDescent="0.2">
      <c r="A204" s="497">
        <v>3</v>
      </c>
      <c r="B204" s="497" t="s">
        <v>1118</v>
      </c>
      <c r="C204" s="497" t="s">
        <v>1115</v>
      </c>
      <c r="D204" s="497"/>
      <c r="E204" s="338" t="s">
        <v>464</v>
      </c>
      <c r="F204" s="313"/>
      <c r="G204" s="313"/>
      <c r="H204" s="311"/>
      <c r="I204" s="336">
        <f>J204/5</f>
        <v>31856.399631181441</v>
      </c>
      <c r="J204" s="336">
        <f>0.08*(SUM(J190:J195))</f>
        <v>159281.9981559072</v>
      </c>
      <c r="K204" s="328"/>
      <c r="L204" s="328"/>
      <c r="M204" s="321">
        <v>1</v>
      </c>
      <c r="N204" s="321">
        <v>0</v>
      </c>
      <c r="O204" s="510"/>
      <c r="P204" s="510"/>
      <c r="Q204" s="510"/>
      <c r="R204" s="510"/>
      <c r="S204" s="309"/>
      <c r="T204" s="341"/>
    </row>
    <row r="205" spans="1:29" s="293" customFormat="1" ht="15" x14ac:dyDescent="0.2">
      <c r="A205" s="357"/>
      <c r="B205" s="357"/>
      <c r="C205" s="357"/>
      <c r="D205" s="357"/>
      <c r="E205" s="327" t="s">
        <v>931</v>
      </c>
      <c r="F205" s="357"/>
      <c r="G205" s="357"/>
      <c r="H205" s="357"/>
      <c r="I205" s="357"/>
      <c r="J205" s="316">
        <f>SUM(J206:J209)</f>
        <v>10972583.104532151</v>
      </c>
      <c r="K205" s="357"/>
      <c r="L205" s="357"/>
      <c r="M205" s="357"/>
      <c r="N205" s="357"/>
      <c r="O205" s="356"/>
      <c r="P205" s="357"/>
      <c r="Q205" s="357"/>
      <c r="R205" s="357"/>
      <c r="S205" s="357"/>
      <c r="T205" s="327"/>
      <c r="U205" s="308"/>
      <c r="W205" s="484"/>
      <c r="Y205" s="485"/>
      <c r="AA205" s="485"/>
      <c r="AC205" s="484"/>
    </row>
    <row r="206" spans="1:29" s="293" customFormat="1" x14ac:dyDescent="0.2">
      <c r="A206" s="551" t="s">
        <v>1119</v>
      </c>
      <c r="B206" s="497" t="s">
        <v>1120</v>
      </c>
      <c r="C206" s="497">
        <v>4</v>
      </c>
      <c r="D206" s="497"/>
      <c r="E206" s="245" t="s">
        <v>928</v>
      </c>
      <c r="F206" s="313" t="s">
        <v>266</v>
      </c>
      <c r="G206" s="313" t="s">
        <v>266</v>
      </c>
      <c r="H206" s="311" t="s">
        <v>137</v>
      </c>
      <c r="I206" s="277"/>
      <c r="J206" s="326">
        <f>0.055*(((SUM(J8:J13))+(SUM(J49:J64))+(SUM(J172:J189))))</f>
        <v>1746345.3620864963</v>
      </c>
      <c r="K206" s="555" t="s">
        <v>934</v>
      </c>
      <c r="L206" s="289"/>
      <c r="M206" s="321">
        <v>1</v>
      </c>
      <c r="N206" s="321">
        <v>0</v>
      </c>
      <c r="O206" s="558">
        <v>41244</v>
      </c>
      <c r="P206" s="558">
        <v>41334</v>
      </c>
      <c r="Q206" s="558">
        <v>41334</v>
      </c>
      <c r="R206" s="558">
        <v>42339</v>
      </c>
      <c r="S206" s="309" t="s">
        <v>128</v>
      </c>
      <c r="T206" s="267"/>
    </row>
    <row r="207" spans="1:29" s="293" customFormat="1" x14ac:dyDescent="0.2">
      <c r="A207" s="552"/>
      <c r="B207" s="497" t="s">
        <v>1121</v>
      </c>
      <c r="C207" s="497">
        <v>4</v>
      </c>
      <c r="D207" s="497"/>
      <c r="E207" s="245" t="s">
        <v>929</v>
      </c>
      <c r="F207" s="313" t="s">
        <v>266</v>
      </c>
      <c r="G207" s="313" t="s">
        <v>266</v>
      </c>
      <c r="H207" s="311" t="s">
        <v>137</v>
      </c>
      <c r="I207" s="277"/>
      <c r="J207" s="326">
        <f>0.055*(((SUM(J14:J19))+(SUM(J65:J83))+(SUM(J190:J195))))</f>
        <v>1638427.0717773861</v>
      </c>
      <c r="K207" s="556"/>
      <c r="L207" s="289"/>
      <c r="M207" s="321">
        <v>1</v>
      </c>
      <c r="N207" s="321">
        <v>0</v>
      </c>
      <c r="O207" s="559"/>
      <c r="P207" s="559"/>
      <c r="Q207" s="559"/>
      <c r="R207" s="559"/>
      <c r="S207" s="309" t="s">
        <v>128</v>
      </c>
      <c r="T207" s="267"/>
    </row>
    <row r="208" spans="1:29" s="293" customFormat="1" x14ac:dyDescent="0.2">
      <c r="A208" s="553"/>
      <c r="B208" s="497" t="s">
        <v>1122</v>
      </c>
      <c r="C208" s="497">
        <v>4</v>
      </c>
      <c r="D208" s="497"/>
      <c r="E208" s="245" t="s">
        <v>930</v>
      </c>
      <c r="F208" s="313" t="s">
        <v>266</v>
      </c>
      <c r="G208" s="313" t="s">
        <v>266</v>
      </c>
      <c r="H208" s="311" t="s">
        <v>137</v>
      </c>
      <c r="I208" s="277"/>
      <c r="J208" s="326">
        <f>0.055*(((SUM(J20:J24))+(SUM(J84:J110))))</f>
        <v>2624675.7804148621</v>
      </c>
      <c r="K208" s="557"/>
      <c r="L208" s="289"/>
      <c r="M208" s="321">
        <v>1</v>
      </c>
      <c r="N208" s="321">
        <v>0</v>
      </c>
      <c r="O208" s="560"/>
      <c r="P208" s="560"/>
      <c r="Q208" s="560"/>
      <c r="R208" s="560"/>
      <c r="S208" s="309" t="s">
        <v>128</v>
      </c>
      <c r="T208" s="267"/>
    </row>
    <row r="209" spans="1:29" s="293" customFormat="1" ht="24" x14ac:dyDescent="0.2">
      <c r="A209" s="497" t="s">
        <v>1119</v>
      </c>
      <c r="B209" s="497" t="s">
        <v>1123</v>
      </c>
      <c r="C209" s="497">
        <v>5</v>
      </c>
      <c r="D209" s="497"/>
      <c r="E209" s="245" t="s">
        <v>935</v>
      </c>
      <c r="F209" s="245"/>
      <c r="G209" s="245"/>
      <c r="H209" s="286"/>
      <c r="I209" s="277"/>
      <c r="J209" s="326">
        <f>0.05*(J7+J48+J171)+0.15-500000</f>
        <v>4963134.890253406</v>
      </c>
      <c r="K209" s="292"/>
      <c r="L209" s="289"/>
      <c r="M209" s="291"/>
      <c r="N209" s="281"/>
      <c r="O209" s="271"/>
      <c r="P209" s="271"/>
      <c r="Q209" s="271"/>
      <c r="R209" s="271"/>
      <c r="S209" s="309" t="s">
        <v>128</v>
      </c>
      <c r="T209" s="267"/>
    </row>
    <row r="210" spans="1:29" s="293" customFormat="1" ht="15" x14ac:dyDescent="0.2">
      <c r="A210" s="357"/>
      <c r="B210" s="357"/>
      <c r="C210" s="357"/>
      <c r="D210" s="357"/>
      <c r="E210" s="327" t="s">
        <v>116</v>
      </c>
      <c r="F210" s="357"/>
      <c r="G210" s="357"/>
      <c r="H210" s="357"/>
      <c r="I210" s="357"/>
      <c r="J210" s="316">
        <f>+J6+J47+J170+J205</f>
        <v>166999999.99576774</v>
      </c>
      <c r="K210" s="357"/>
      <c r="L210" s="357"/>
      <c r="M210" s="357"/>
      <c r="N210" s="357"/>
      <c r="O210" s="327"/>
      <c r="P210" s="357"/>
      <c r="Q210" s="357"/>
      <c r="R210" s="357"/>
      <c r="S210" s="357"/>
      <c r="T210" s="327"/>
      <c r="U210" s="308"/>
      <c r="W210" s="484"/>
      <c r="Y210" s="485"/>
      <c r="AA210" s="485"/>
      <c r="AC210" s="484"/>
    </row>
    <row r="211" spans="1:29" x14ac:dyDescent="0.2">
      <c r="E211" s="296"/>
      <c r="F211" s="296"/>
      <c r="G211" s="296"/>
      <c r="J211" s="294"/>
      <c r="K211" s="275"/>
      <c r="L211" s="275"/>
      <c r="M211" s="275"/>
      <c r="N211" s="275"/>
      <c r="O211" s="297"/>
      <c r="P211" s="285"/>
      <c r="Q211" s="280"/>
      <c r="R211" s="280"/>
    </row>
    <row r="212" spans="1:29" x14ac:dyDescent="0.2">
      <c r="E212" s="276"/>
      <c r="F212" s="276"/>
      <c r="G212" s="276"/>
      <c r="L212" s="272"/>
      <c r="P212" s="282"/>
      <c r="Q212" s="280"/>
      <c r="R212" s="280"/>
    </row>
    <row r="213" spans="1:29" x14ac:dyDescent="0.2">
      <c r="E213" s="355" t="s">
        <v>1135</v>
      </c>
      <c r="F213" s="512" t="s">
        <v>1133</v>
      </c>
      <c r="G213" s="512" t="s">
        <v>1131</v>
      </c>
      <c r="H213" s="512" t="s">
        <v>1132</v>
      </c>
      <c r="I213" s="512" t="s">
        <v>1134</v>
      </c>
      <c r="J213" s="512" t="s">
        <v>1134</v>
      </c>
      <c r="L213" s="272"/>
      <c r="R213" s="280"/>
    </row>
    <row r="214" spans="1:29" x14ac:dyDescent="0.2">
      <c r="E214" s="298" t="s">
        <v>1141</v>
      </c>
      <c r="F214" s="513">
        <v>17</v>
      </c>
      <c r="G214" s="513">
        <v>62</v>
      </c>
      <c r="H214" s="513">
        <v>24</v>
      </c>
      <c r="I214" s="513"/>
      <c r="J214" s="513">
        <f>SUM(F214:I214)</f>
        <v>103</v>
      </c>
      <c r="L214" s="272"/>
    </row>
    <row r="215" spans="1:29" x14ac:dyDescent="0.2">
      <c r="E215" s="298" t="s">
        <v>1130</v>
      </c>
      <c r="F215" s="299">
        <v>5</v>
      </c>
      <c r="G215" s="299">
        <v>42</v>
      </c>
      <c r="H215" s="299"/>
      <c r="I215" s="299"/>
      <c r="J215" s="513">
        <f>SUM(F215:I215)</f>
        <v>47</v>
      </c>
      <c r="L215" s="272"/>
    </row>
    <row r="216" spans="1:29" x14ac:dyDescent="0.2">
      <c r="E216" s="298" t="s">
        <v>1129</v>
      </c>
      <c r="F216" s="299">
        <v>3</v>
      </c>
      <c r="G216" s="299">
        <v>3</v>
      </c>
      <c r="H216" s="299">
        <v>2</v>
      </c>
      <c r="I216" s="299">
        <v>1</v>
      </c>
      <c r="J216" s="513">
        <f>SUM(F216:I216)</f>
        <v>9</v>
      </c>
      <c r="L216" s="272"/>
    </row>
    <row r="217" spans="1:29" x14ac:dyDescent="0.2">
      <c r="E217" s="298" t="s">
        <v>1128</v>
      </c>
      <c r="F217" s="300">
        <v>3</v>
      </c>
      <c r="G217" s="300">
        <v>3</v>
      </c>
      <c r="H217" s="300">
        <v>2</v>
      </c>
      <c r="I217" s="300"/>
      <c r="J217" s="513">
        <f>SUM(F217:I217)</f>
        <v>8</v>
      </c>
      <c r="L217" s="272"/>
    </row>
    <row r="218" spans="1:29" x14ac:dyDescent="0.2">
      <c r="E218" s="301" t="s">
        <v>27</v>
      </c>
      <c r="F218" s="514">
        <f>SUM(F214:F217)</f>
        <v>28</v>
      </c>
      <c r="G218" s="514">
        <f>SUM(G214:G217)</f>
        <v>110</v>
      </c>
      <c r="H218" s="514">
        <f>SUM(H214:H217)</f>
        <v>28</v>
      </c>
      <c r="I218" s="514">
        <f>SUM(I214:I217)</f>
        <v>1</v>
      </c>
      <c r="J218" s="514">
        <f>SUM(J214:J217)</f>
        <v>167</v>
      </c>
      <c r="L218" s="272"/>
    </row>
    <row r="219" spans="1:29" x14ac:dyDescent="0.2">
      <c r="H219" s="302"/>
      <c r="I219" s="302"/>
      <c r="J219" s="303"/>
      <c r="K219" s="304"/>
      <c r="L219" s="272"/>
      <c r="Q219" s="515"/>
    </row>
    <row r="220" spans="1:29" x14ac:dyDescent="0.2">
      <c r="E220" s="272" t="s">
        <v>1142</v>
      </c>
      <c r="H220" s="302"/>
      <c r="I220" s="302"/>
      <c r="J220" s="303"/>
      <c r="K220" s="304"/>
      <c r="L220" s="272"/>
      <c r="Q220" s="515"/>
    </row>
    <row r="221" spans="1:29" x14ac:dyDescent="0.2">
      <c r="L221" s="272"/>
    </row>
    <row r="222" spans="1:29" x14ac:dyDescent="0.2">
      <c r="L222" s="272"/>
    </row>
    <row r="230" spans="5:7" x14ac:dyDescent="0.2">
      <c r="E230" s="305"/>
      <c r="F230" s="305"/>
      <c r="G230" s="305"/>
    </row>
  </sheetData>
  <mergeCells count="29">
    <mergeCell ref="AD4:AD5"/>
    <mergeCell ref="A2:E2"/>
    <mergeCell ref="L4:L5"/>
    <mergeCell ref="Y4:Y5"/>
    <mergeCell ref="Z4:Z5"/>
    <mergeCell ref="AA4:AA5"/>
    <mergeCell ref="AB4:AB5"/>
    <mergeCell ref="AC4:AC5"/>
    <mergeCell ref="B4:B5"/>
    <mergeCell ref="C4:C5"/>
    <mergeCell ref="D4:D5"/>
    <mergeCell ref="J4:J5"/>
    <mergeCell ref="I4:I5"/>
    <mergeCell ref="A206:A208"/>
    <mergeCell ref="U4:U5"/>
    <mergeCell ref="V4:V5"/>
    <mergeCell ref="W4:W5"/>
    <mergeCell ref="X4:X5"/>
    <mergeCell ref="K206:K208"/>
    <mergeCell ref="O206:O208"/>
    <mergeCell ref="P206:P208"/>
    <mergeCell ref="Q206:Q208"/>
    <mergeCell ref="R206:R208"/>
    <mergeCell ref="T4:T5"/>
    <mergeCell ref="K4:K5"/>
    <mergeCell ref="M4:N4"/>
    <mergeCell ref="O4:R4"/>
    <mergeCell ref="S4:S5"/>
    <mergeCell ref="A4:A5"/>
  </mergeCells>
  <phoneticPr fontId="18" type="noConversion"/>
  <printOptions horizontalCentered="1"/>
  <pageMargins left="0.19685039370078741" right="0.11811023622047245" top="0.74803149606299213" bottom="0.74803149606299213" header="0.31496062992125984" footer="0.31496062992125984"/>
  <pageSetup paperSize="5" scale="8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42"/>
  <sheetViews>
    <sheetView topLeftCell="A42" zoomScale="99" zoomScaleNormal="99" workbookViewId="0">
      <pane xSplit="2" topLeftCell="AI1" activePane="topRight" state="frozen"/>
      <selection activeCell="A25" sqref="A25"/>
      <selection pane="topRight" activeCell="G19" sqref="G19"/>
    </sheetView>
  </sheetViews>
  <sheetFormatPr defaultColWidth="0" defaultRowHeight="0" customHeight="1" zeroHeight="1" x14ac:dyDescent="0.25"/>
  <cols>
    <col min="1" max="1" width="54.140625" style="62" customWidth="1"/>
    <col min="2" max="2" width="46.85546875" style="59" hidden="1" customWidth="1"/>
    <col min="3" max="3" width="32.85546875" style="59" customWidth="1"/>
    <col min="4" max="4" width="3.140625" style="59" bestFit="1" customWidth="1"/>
    <col min="5" max="5" width="3.85546875" style="59" bestFit="1" customWidth="1"/>
    <col min="6" max="6" width="4.28515625" style="59" bestFit="1" customWidth="1"/>
    <col min="7" max="8" width="4" style="59" bestFit="1" customWidth="1"/>
    <col min="9" max="9" width="3.5703125" style="59" bestFit="1" customWidth="1"/>
    <col min="10" max="10" width="5.28515625" style="59" bestFit="1" customWidth="1"/>
    <col min="11" max="11" width="4.7109375" style="59" bestFit="1" customWidth="1"/>
    <col min="12" max="13" width="4.28515625" style="59" customWidth="1"/>
    <col min="14" max="14" width="4.42578125" style="59" customWidth="1"/>
    <col min="15" max="15" width="3.140625" style="59" bestFit="1" customWidth="1"/>
    <col min="16" max="16" width="4.28515625" style="59" customWidth="1"/>
    <col min="17" max="17" width="4.28515625" style="59" bestFit="1" customWidth="1"/>
    <col min="18" max="18" width="4.28515625" style="59" customWidth="1"/>
    <col min="19" max="19" width="4.28515625" style="59" bestFit="1" customWidth="1"/>
    <col min="20" max="20" width="4" style="59" bestFit="1" customWidth="1"/>
    <col min="21" max="21" width="4.7109375" style="59" customWidth="1"/>
    <col min="22" max="22" width="5.7109375" style="59" customWidth="1"/>
    <col min="23" max="23" width="4.7109375" style="59" bestFit="1" customWidth="1"/>
    <col min="24" max="24" width="4" style="59" bestFit="1" customWidth="1"/>
    <col min="25" max="25" width="4.28515625" style="59" bestFit="1" customWidth="1"/>
    <col min="26" max="26" width="5.140625" style="59" bestFit="1" customWidth="1"/>
    <col min="27" max="27" width="5.140625" style="59" customWidth="1"/>
    <col min="28" max="28" width="3.7109375" style="59" bestFit="1" customWidth="1"/>
    <col min="29" max="29" width="4.140625" style="59" bestFit="1" customWidth="1"/>
    <col min="30" max="30" width="4.140625" style="59" customWidth="1"/>
    <col min="31" max="31" width="4" style="59" bestFit="1" customWidth="1"/>
    <col min="32" max="38" width="4" style="59" customWidth="1"/>
    <col min="39" max="39" width="14" style="59" customWidth="1"/>
    <col min="40" max="40" width="16.140625" style="59" customWidth="1"/>
    <col min="41" max="41" width="15.140625" style="59" customWidth="1"/>
    <col min="42" max="42" width="14.42578125" style="59" bestFit="1" customWidth="1"/>
    <col min="43" max="43" width="13.5703125" style="59" customWidth="1"/>
    <col min="44" max="44" width="15" style="59" customWidth="1"/>
    <col min="45" max="45" width="15.42578125" style="60" customWidth="1"/>
    <col min="46" max="46" width="14.85546875" style="60" customWidth="1"/>
    <col min="47" max="47" width="16" style="60" customWidth="1"/>
    <col min="48" max="49" width="14.5703125" style="60" customWidth="1"/>
    <col min="50" max="50" width="15.42578125" style="60" customWidth="1"/>
    <col min="51" max="51" width="3" style="60" hidden="1" customWidth="1"/>
    <col min="52" max="16384" width="0" style="60" hidden="1"/>
  </cols>
  <sheetData>
    <row r="1" spans="1:50" ht="13.5" customHeight="1" x14ac:dyDescent="0.25">
      <c r="A1" s="50" t="s">
        <v>93</v>
      </c>
    </row>
    <row r="2" spans="1:50" ht="13.5" customHeight="1" x14ac:dyDescent="0.25">
      <c r="A2" s="50" t="s">
        <v>140</v>
      </c>
    </row>
    <row r="3" spans="1:50" ht="9.75" customHeight="1" x14ac:dyDescent="0.25"/>
    <row r="4" spans="1:50" ht="26.25" customHeight="1" x14ac:dyDescent="0.35">
      <c r="A4" s="570" t="s">
        <v>125</v>
      </c>
      <c r="B4" s="570"/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  <c r="AE4" s="570"/>
      <c r="AF4" s="570"/>
      <c r="AG4" s="570"/>
      <c r="AH4" s="570"/>
      <c r="AI4" s="570"/>
      <c r="AJ4" s="570"/>
      <c r="AK4" s="570"/>
      <c r="AL4" s="570"/>
      <c r="AM4" s="570"/>
      <c r="AN4" s="570"/>
      <c r="AO4" s="570"/>
      <c r="AP4" s="570"/>
      <c r="AQ4" s="570"/>
    </row>
    <row r="5" spans="1:50" ht="13.5" customHeight="1" thickBot="1" x14ac:dyDescent="0.3"/>
    <row r="6" spans="1:50" s="51" customFormat="1" ht="16.5" customHeight="1" x14ac:dyDescent="0.2">
      <c r="A6" s="105" t="s">
        <v>94</v>
      </c>
      <c r="B6" s="106"/>
      <c r="C6" s="102" t="s">
        <v>100</v>
      </c>
      <c r="D6" s="575" t="s">
        <v>99</v>
      </c>
      <c r="E6" s="576"/>
      <c r="F6" s="576"/>
      <c r="G6" s="576"/>
      <c r="H6" s="576"/>
      <c r="I6" s="576"/>
      <c r="J6" s="576"/>
      <c r="K6" s="576"/>
      <c r="L6" s="576"/>
      <c r="M6" s="576"/>
      <c r="N6" s="577"/>
      <c r="O6" s="575" t="s">
        <v>135</v>
      </c>
      <c r="P6" s="576"/>
      <c r="Q6" s="576"/>
      <c r="R6" s="576"/>
      <c r="S6" s="576"/>
      <c r="T6" s="576"/>
      <c r="U6" s="576"/>
      <c r="V6" s="576"/>
      <c r="W6" s="576"/>
      <c r="X6" s="576"/>
      <c r="Y6" s="576"/>
      <c r="Z6" s="577"/>
      <c r="AA6" s="126"/>
      <c r="AB6" s="578" t="s">
        <v>134</v>
      </c>
      <c r="AC6" s="579"/>
      <c r="AD6" s="579"/>
      <c r="AE6" s="579"/>
      <c r="AF6" s="579"/>
      <c r="AG6" s="579"/>
      <c r="AH6" s="579"/>
      <c r="AI6" s="579"/>
      <c r="AJ6" s="579"/>
      <c r="AK6" s="579"/>
      <c r="AL6" s="580"/>
      <c r="AM6" s="584" t="s">
        <v>101</v>
      </c>
      <c r="AN6" s="585"/>
      <c r="AO6" s="586"/>
      <c r="AP6" s="584" t="s">
        <v>101</v>
      </c>
      <c r="AQ6" s="585"/>
      <c r="AR6" s="586"/>
      <c r="AS6" s="584" t="s">
        <v>101</v>
      </c>
      <c r="AT6" s="585"/>
      <c r="AU6" s="586"/>
      <c r="AV6" s="587" t="s">
        <v>101</v>
      </c>
      <c r="AW6" s="588"/>
      <c r="AX6" s="589"/>
    </row>
    <row r="7" spans="1:50" s="51" customFormat="1" ht="24.75" customHeight="1" x14ac:dyDescent="0.2">
      <c r="A7" s="107"/>
      <c r="B7" s="108"/>
      <c r="C7" s="102"/>
      <c r="D7" s="52" t="s">
        <v>104</v>
      </c>
      <c r="E7" s="52" t="s">
        <v>105</v>
      </c>
      <c r="F7" s="52" t="s">
        <v>106</v>
      </c>
      <c r="G7" s="52" t="s">
        <v>107</v>
      </c>
      <c r="H7" s="52" t="s">
        <v>109</v>
      </c>
      <c r="I7" s="52" t="s">
        <v>110</v>
      </c>
      <c r="J7" s="52" t="s">
        <v>111</v>
      </c>
      <c r="K7" s="52" t="s">
        <v>112</v>
      </c>
      <c r="L7" s="52" t="s">
        <v>113</v>
      </c>
      <c r="M7" s="52" t="s">
        <v>102</v>
      </c>
      <c r="N7" s="52" t="s">
        <v>103</v>
      </c>
      <c r="O7" s="52" t="s">
        <v>104</v>
      </c>
      <c r="P7" s="52" t="s">
        <v>105</v>
      </c>
      <c r="Q7" s="52" t="s">
        <v>106</v>
      </c>
      <c r="R7" s="52" t="s">
        <v>107</v>
      </c>
      <c r="S7" s="52" t="s">
        <v>108</v>
      </c>
      <c r="T7" s="52" t="s">
        <v>109</v>
      </c>
      <c r="U7" s="52" t="s">
        <v>110</v>
      </c>
      <c r="V7" s="52" t="s">
        <v>111</v>
      </c>
      <c r="W7" s="52" t="s">
        <v>112</v>
      </c>
      <c r="X7" s="52" t="s">
        <v>113</v>
      </c>
      <c r="Y7" s="52" t="s">
        <v>102</v>
      </c>
      <c r="Z7" s="52" t="s">
        <v>103</v>
      </c>
      <c r="AA7" s="52" t="s">
        <v>170</v>
      </c>
      <c r="AB7" s="189" t="s">
        <v>105</v>
      </c>
      <c r="AC7" s="189" t="s">
        <v>106</v>
      </c>
      <c r="AD7" s="189" t="s">
        <v>107</v>
      </c>
      <c r="AE7" s="194" t="s">
        <v>108</v>
      </c>
      <c r="AF7" s="211" t="s">
        <v>109</v>
      </c>
      <c r="AG7" s="211" t="s">
        <v>110</v>
      </c>
      <c r="AH7" s="211" t="s">
        <v>201</v>
      </c>
      <c r="AI7" s="211" t="s">
        <v>202</v>
      </c>
      <c r="AJ7" s="211" t="s">
        <v>113</v>
      </c>
      <c r="AK7" s="211" t="s">
        <v>102</v>
      </c>
      <c r="AL7" s="211" t="s">
        <v>103</v>
      </c>
      <c r="AM7" s="195" t="s">
        <v>114</v>
      </c>
      <c r="AN7" s="53" t="s">
        <v>115</v>
      </c>
      <c r="AO7" s="196" t="s">
        <v>27</v>
      </c>
      <c r="AP7" s="195" t="s">
        <v>114</v>
      </c>
      <c r="AQ7" s="53" t="s">
        <v>115</v>
      </c>
      <c r="AR7" s="196" t="s">
        <v>27</v>
      </c>
      <c r="AS7" s="195" t="s">
        <v>114</v>
      </c>
      <c r="AT7" s="53" t="s">
        <v>115</v>
      </c>
      <c r="AU7" s="196" t="s">
        <v>27</v>
      </c>
      <c r="AV7" s="54" t="s">
        <v>114</v>
      </c>
      <c r="AW7" s="54" t="s">
        <v>115</v>
      </c>
      <c r="AX7" s="54" t="s">
        <v>97</v>
      </c>
    </row>
    <row r="8" spans="1:50" s="51" customFormat="1" ht="15.75" customHeight="1" thickBot="1" x14ac:dyDescent="0.25">
      <c r="A8" s="109"/>
      <c r="B8" s="110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4"/>
      <c r="AB8" s="104"/>
      <c r="AC8" s="111"/>
      <c r="AD8" s="111"/>
      <c r="AE8" s="111"/>
      <c r="AF8" s="212"/>
      <c r="AG8" s="212"/>
      <c r="AH8" s="212"/>
      <c r="AI8" s="212"/>
      <c r="AJ8" s="212"/>
      <c r="AK8" s="212"/>
      <c r="AL8" s="212"/>
      <c r="AM8" s="581" t="s">
        <v>99</v>
      </c>
      <c r="AN8" s="582"/>
      <c r="AO8" s="583"/>
      <c r="AP8" s="581" t="s">
        <v>135</v>
      </c>
      <c r="AQ8" s="582"/>
      <c r="AR8" s="583"/>
      <c r="AS8" s="581" t="s">
        <v>134</v>
      </c>
      <c r="AT8" s="582"/>
      <c r="AU8" s="583"/>
      <c r="AV8" s="590" t="s">
        <v>97</v>
      </c>
      <c r="AW8" s="591"/>
      <c r="AX8" s="592"/>
    </row>
    <row r="9" spans="1:50" s="55" customFormat="1" ht="31.5" customHeight="1" thickBot="1" x14ac:dyDescent="0.35">
      <c r="A9" s="70" t="s">
        <v>144</v>
      </c>
      <c r="B9" s="103"/>
      <c r="C9" s="157"/>
      <c r="D9" s="158"/>
      <c r="E9" s="159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60"/>
      <c r="AC9" s="160"/>
      <c r="AD9" s="160"/>
      <c r="AE9" s="160"/>
      <c r="AF9" s="213"/>
      <c r="AG9" s="213"/>
      <c r="AH9" s="213"/>
      <c r="AI9" s="213"/>
      <c r="AJ9" s="213"/>
      <c r="AK9" s="213"/>
      <c r="AL9" s="213"/>
      <c r="AM9" s="206" t="e">
        <f>AM10+AM15+#REF!</f>
        <v>#REF!</v>
      </c>
      <c r="AN9" s="206" t="e">
        <f>AN10+AN15+#REF!</f>
        <v>#REF!</v>
      </c>
      <c r="AO9" s="206" t="e">
        <f>AO10+AO15+#REF!</f>
        <v>#REF!</v>
      </c>
      <c r="AP9" s="206" t="e">
        <f>AP10+AP15+#REF!</f>
        <v>#REF!</v>
      </c>
      <c r="AQ9" s="206" t="e">
        <f>AQ10+AQ15+#REF!</f>
        <v>#REF!</v>
      </c>
      <c r="AR9" s="206" t="e">
        <f>AR10+AR15+#REF!</f>
        <v>#REF!</v>
      </c>
      <c r="AS9" s="206" t="e">
        <f>AS10+AS15+#REF!</f>
        <v>#REF!</v>
      </c>
      <c r="AT9" s="206" t="e">
        <f>AT10+AT15+#REF!</f>
        <v>#REF!</v>
      </c>
      <c r="AU9" s="206" t="e">
        <f>AU10+AU15+#REF!</f>
        <v>#REF!</v>
      </c>
      <c r="AV9" s="206" t="e">
        <f>AV10+AV15+#REF!</f>
        <v>#REF!</v>
      </c>
      <c r="AW9" s="206" t="e">
        <f>AW10+AW15+#REF!</f>
        <v>#REF!</v>
      </c>
      <c r="AX9" s="206" t="e">
        <f>AX10+AX15+#REF!</f>
        <v>#REF!</v>
      </c>
    </row>
    <row r="10" spans="1:50" s="56" customFormat="1" ht="36" customHeight="1" thickBot="1" x14ac:dyDescent="0.3">
      <c r="A10" s="571" t="s">
        <v>168</v>
      </c>
      <c r="B10" s="572"/>
      <c r="C10" s="161"/>
      <c r="D10" s="162"/>
      <c r="E10" s="162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85">
        <f t="shared" ref="AM10:AW10" si="0">AM11+AM12+AM13+AM14</f>
        <v>400000</v>
      </c>
      <c r="AN10" s="185">
        <f t="shared" si="0"/>
        <v>480000</v>
      </c>
      <c r="AO10" s="185">
        <f t="shared" si="0"/>
        <v>880000</v>
      </c>
      <c r="AP10" s="185">
        <f t="shared" si="0"/>
        <v>400000</v>
      </c>
      <c r="AQ10" s="185" t="e">
        <f t="shared" si="0"/>
        <v>#REF!</v>
      </c>
      <c r="AR10" s="185" t="e">
        <f t="shared" si="0"/>
        <v>#REF!</v>
      </c>
      <c r="AS10" s="185">
        <f t="shared" si="0"/>
        <v>400000</v>
      </c>
      <c r="AT10" s="185" t="e">
        <f t="shared" si="0"/>
        <v>#REF!</v>
      </c>
      <c r="AU10" s="185" t="e">
        <f t="shared" si="0"/>
        <v>#REF!</v>
      </c>
      <c r="AV10" s="185">
        <f t="shared" si="0"/>
        <v>1200000</v>
      </c>
      <c r="AW10" s="185" t="e">
        <f t="shared" si="0"/>
        <v>#REF!</v>
      </c>
      <c r="AX10" s="208" t="e">
        <f>AV10+AW10</f>
        <v>#REF!</v>
      </c>
    </row>
    <row r="11" spans="1:50" s="56" customFormat="1" ht="25.5" x14ac:dyDescent="0.25">
      <c r="A11" s="128" t="s">
        <v>141</v>
      </c>
      <c r="B11" s="128" t="s">
        <v>141</v>
      </c>
      <c r="C11" s="193" t="s">
        <v>174</v>
      </c>
      <c r="D11" s="72"/>
      <c r="E11" s="72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152"/>
      <c r="AB11" s="68"/>
      <c r="AC11" s="58"/>
      <c r="AD11" s="58"/>
      <c r="AE11" s="192"/>
      <c r="AF11" s="214"/>
      <c r="AG11" s="214"/>
      <c r="AH11" s="214"/>
      <c r="AI11" s="214"/>
      <c r="AJ11" s="214"/>
      <c r="AK11" s="214"/>
      <c r="AL11" s="214"/>
      <c r="AM11" s="205">
        <v>0</v>
      </c>
      <c r="AN11" s="202">
        <v>240000</v>
      </c>
      <c r="AO11" s="226">
        <f>AM11+AN11</f>
        <v>240000</v>
      </c>
      <c r="AP11" s="202">
        <v>0</v>
      </c>
      <c r="AQ11" s="202">
        <v>0</v>
      </c>
      <c r="AR11" s="202">
        <f>AP11+AQ11</f>
        <v>0</v>
      </c>
      <c r="AS11" s="202">
        <v>0</v>
      </c>
      <c r="AT11" s="202">
        <v>0</v>
      </c>
      <c r="AU11" s="227">
        <f>AS11+AT11</f>
        <v>0</v>
      </c>
      <c r="AV11" s="209">
        <f t="shared" ref="AV11:AW14" si="1">AM11+AP11+AS11</f>
        <v>0</v>
      </c>
      <c r="AW11" s="209">
        <f t="shared" si="1"/>
        <v>240000</v>
      </c>
      <c r="AX11" s="209">
        <f>AV11+AW11</f>
        <v>240000</v>
      </c>
    </row>
    <row r="12" spans="1:50" s="56" customFormat="1" ht="25.5" x14ac:dyDescent="0.25">
      <c r="A12" s="128" t="s">
        <v>142</v>
      </c>
      <c r="B12" s="128" t="s">
        <v>142</v>
      </c>
      <c r="C12" s="193" t="s">
        <v>174</v>
      </c>
      <c r="D12" s="72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57"/>
      <c r="S12" s="57"/>
      <c r="T12" s="57"/>
      <c r="U12" s="57"/>
      <c r="V12" s="57"/>
      <c r="W12" s="57"/>
      <c r="X12" s="57"/>
      <c r="Y12" s="57"/>
      <c r="Z12" s="57"/>
      <c r="AA12" s="153"/>
      <c r="AB12" s="69"/>
      <c r="AC12" s="58"/>
      <c r="AD12" s="190"/>
      <c r="AE12" s="68"/>
      <c r="AF12" s="68"/>
      <c r="AG12" s="68"/>
      <c r="AH12" s="68"/>
      <c r="AI12" s="68"/>
      <c r="AJ12" s="68"/>
      <c r="AK12" s="68"/>
      <c r="AL12" s="68"/>
      <c r="AM12" s="205">
        <v>0</v>
      </c>
      <c r="AN12" s="202">
        <v>240000</v>
      </c>
      <c r="AO12" s="226">
        <f>AM12+AN12</f>
        <v>240000</v>
      </c>
      <c r="AP12" s="202">
        <v>0</v>
      </c>
      <c r="AQ12" s="202">
        <v>0</v>
      </c>
      <c r="AR12" s="202">
        <f t="shared" ref="AR12:AR24" si="2">AP12+AQ12</f>
        <v>0</v>
      </c>
      <c r="AS12" s="202">
        <v>0</v>
      </c>
      <c r="AT12" s="202">
        <v>0</v>
      </c>
      <c r="AU12" s="227">
        <f t="shared" ref="AU12:AU24" si="3">AS12+AT12</f>
        <v>0</v>
      </c>
      <c r="AV12" s="209">
        <f t="shared" si="1"/>
        <v>0</v>
      </c>
      <c r="AW12" s="209">
        <f t="shared" si="1"/>
        <v>240000</v>
      </c>
      <c r="AX12" s="209">
        <f>AV12+AW12</f>
        <v>240000</v>
      </c>
    </row>
    <row r="13" spans="1:50" s="56" customFormat="1" ht="25.5" customHeight="1" x14ac:dyDescent="0.25">
      <c r="A13" s="129" t="s">
        <v>143</v>
      </c>
      <c r="B13" s="129" t="s">
        <v>143</v>
      </c>
      <c r="C13" s="193" t="s">
        <v>175</v>
      </c>
      <c r="D13" s="114"/>
      <c r="E13" s="114"/>
      <c r="F13" s="73"/>
      <c r="G13" s="73"/>
      <c r="H13" s="73"/>
      <c r="I13" s="73"/>
      <c r="J13" s="73"/>
      <c r="K13" s="73"/>
      <c r="L13" s="73"/>
      <c r="M13" s="73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153"/>
      <c r="AB13" s="69"/>
      <c r="AC13" s="58"/>
      <c r="AD13" s="191"/>
      <c r="AE13" s="69"/>
      <c r="AF13" s="69"/>
      <c r="AG13" s="69"/>
      <c r="AH13" s="69"/>
      <c r="AI13" s="69"/>
      <c r="AJ13" s="69"/>
      <c r="AK13" s="69"/>
      <c r="AL13" s="69"/>
      <c r="AM13" s="198">
        <v>400000</v>
      </c>
      <c r="AN13" s="202">
        <v>0</v>
      </c>
      <c r="AO13" s="226">
        <f>AM13+AN13</f>
        <v>400000</v>
      </c>
      <c r="AP13" s="202">
        <v>400000</v>
      </c>
      <c r="AQ13" s="202">
        <v>0</v>
      </c>
      <c r="AR13" s="202">
        <f>AP13+AQ13</f>
        <v>400000</v>
      </c>
      <c r="AS13" s="183">
        <v>400000</v>
      </c>
      <c r="AT13" s="202">
        <v>0</v>
      </c>
      <c r="AU13" s="227">
        <f>AS13+AT13</f>
        <v>400000</v>
      </c>
      <c r="AV13" s="209">
        <f>AM13+AP13+AS13</f>
        <v>1200000</v>
      </c>
      <c r="AW13" s="209">
        <f>AN13+AQ13+AT13</f>
        <v>0</v>
      </c>
      <c r="AX13" s="209">
        <f>AV13+AW13</f>
        <v>1200000</v>
      </c>
    </row>
    <row r="14" spans="1:50" s="56" customFormat="1" ht="25.5" customHeight="1" x14ac:dyDescent="0.25">
      <c r="A14" s="231" t="s">
        <v>206</v>
      </c>
      <c r="B14" s="129" t="s">
        <v>143</v>
      </c>
      <c r="C14" s="193" t="s">
        <v>175</v>
      </c>
      <c r="D14" s="114"/>
      <c r="E14" s="114"/>
      <c r="F14" s="73"/>
      <c r="G14" s="73"/>
      <c r="H14" s="73"/>
      <c r="I14" s="73"/>
      <c r="J14" s="73"/>
      <c r="K14" s="73"/>
      <c r="L14" s="73"/>
      <c r="M14" s="73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153"/>
      <c r="AB14" s="69"/>
      <c r="AC14" s="58"/>
      <c r="AD14" s="191"/>
      <c r="AE14" s="69"/>
      <c r="AF14" s="69"/>
      <c r="AG14" s="69"/>
      <c r="AH14" s="69"/>
      <c r="AI14" s="69"/>
      <c r="AJ14" s="69"/>
      <c r="AK14" s="69"/>
      <c r="AL14" s="69"/>
      <c r="AM14" s="202">
        <v>0</v>
      </c>
      <c r="AN14" s="202">
        <v>0</v>
      </c>
      <c r="AO14" s="226">
        <f>AM14+AN14</f>
        <v>0</v>
      </c>
      <c r="AP14" s="202">
        <v>0</v>
      </c>
      <c r="AQ14" s="202" t="e">
        <f>'POA CONSOLIDADO'!#REF!</f>
        <v>#REF!</v>
      </c>
      <c r="AR14" s="202" t="e">
        <f t="shared" si="2"/>
        <v>#REF!</v>
      </c>
      <c r="AS14" s="202">
        <v>0</v>
      </c>
      <c r="AT14" s="202" t="e">
        <f>'POA CONSOLIDADO'!#REF!</f>
        <v>#REF!</v>
      </c>
      <c r="AU14" s="227" t="e">
        <f t="shared" si="3"/>
        <v>#REF!</v>
      </c>
      <c r="AV14" s="209">
        <f t="shared" si="1"/>
        <v>0</v>
      </c>
      <c r="AW14" s="209" t="e">
        <f t="shared" si="1"/>
        <v>#REF!</v>
      </c>
      <c r="AX14" s="209" t="e">
        <f>AV14+AW14</f>
        <v>#REF!</v>
      </c>
    </row>
    <row r="15" spans="1:50" s="56" customFormat="1" ht="28.5" customHeight="1" x14ac:dyDescent="0.25">
      <c r="A15" s="130" t="s">
        <v>169</v>
      </c>
      <c r="B15" s="115"/>
      <c r="C15" s="163"/>
      <c r="D15" s="164"/>
      <c r="E15" s="164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97" t="e">
        <f>#REF!+#REF!+AM16+AM17+AM18+AM19+AM20+AM21+AM22+AM23+AM24</f>
        <v>#REF!</v>
      </c>
      <c r="AN15" s="197" t="e">
        <f>#REF!+#REF!+AN16+AN17+AN18+AN19+AN20+AN21+AN22+AN23+AN24</f>
        <v>#REF!</v>
      </c>
      <c r="AO15" s="197" t="e">
        <f>#REF!+#REF!+AO16+AO17+AO18+AO19+AO20+AO21+AO22+AO23+AO24</f>
        <v>#REF!</v>
      </c>
      <c r="AP15" s="197" t="e">
        <f>#REF!+#REF!+AP16+AP17+AP18+AP19+AP20+AP21+AP22+AP23+AP24</f>
        <v>#REF!</v>
      </c>
      <c r="AQ15" s="197" t="e">
        <f>#REF!+#REF!+AQ16+AQ17+AQ18+AQ19+AQ20+AQ21+AQ22+AQ23+AQ24</f>
        <v>#REF!</v>
      </c>
      <c r="AR15" s="197" t="e">
        <f>#REF!+#REF!+AR16+AR17+AR18+AR19+AR20+AR21+AR22+AR23+AR24</f>
        <v>#REF!</v>
      </c>
      <c r="AS15" s="197" t="e">
        <f>#REF!+#REF!+AS16+AS17+AS18+AS19+AS20+AS21+AS22+AS23+AS24</f>
        <v>#REF!</v>
      </c>
      <c r="AT15" s="197" t="e">
        <f>#REF!+#REF!+AT16+AT17+AT18+AT19+AT20+AT21+AT22+AT23+AT24</f>
        <v>#REF!</v>
      </c>
      <c r="AU15" s="197" t="e">
        <f>#REF!+#REF!+AU16+AU17+AU18+AU19+AU20+AU21+AU22+AU23+AU24</f>
        <v>#REF!</v>
      </c>
      <c r="AV15" s="197" t="e">
        <f>#REF!+#REF!+AV16+AV17+AV18+AV19+AV20+AV21+AV22+AV23+AV24</f>
        <v>#REF!</v>
      </c>
      <c r="AW15" s="197" t="e">
        <f>#REF!+#REF!+AW16+AW17+AW18+AW19+AW20+AW21+AW22+AW23+AW24</f>
        <v>#REF!</v>
      </c>
      <c r="AX15" s="197" t="e">
        <f>#REF!+#REF!+AX16+AX17+AX18+AX19+AX20+AX21+AX22+AX23+AX24</f>
        <v>#REF!</v>
      </c>
    </row>
    <row r="16" spans="1:50" s="56" customFormat="1" ht="28.5" customHeight="1" x14ac:dyDescent="0.25">
      <c r="A16" s="128" t="s">
        <v>191</v>
      </c>
      <c r="B16" s="215"/>
      <c r="C16" s="193" t="s">
        <v>177</v>
      </c>
      <c r="D16" s="77"/>
      <c r="E16" s="77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216"/>
      <c r="AB16" s="217"/>
      <c r="AC16" s="218"/>
      <c r="AD16" s="217"/>
      <c r="AE16" s="217"/>
      <c r="AF16" s="217"/>
      <c r="AG16" s="217"/>
      <c r="AH16" s="217"/>
      <c r="AI16" s="217"/>
      <c r="AJ16" s="217"/>
      <c r="AK16" s="217"/>
      <c r="AL16" s="217"/>
      <c r="AM16" s="210"/>
      <c r="AN16" s="202" t="e">
        <f>'POA CONSOLIDADO'!#REF!</f>
        <v>#REF!</v>
      </c>
      <c r="AO16" s="202" t="e">
        <f t="shared" ref="AO16:AO24" si="4">AM16+AN16</f>
        <v>#REF!</v>
      </c>
      <c r="AP16" s="202">
        <v>0</v>
      </c>
      <c r="AQ16" s="202">
        <v>0</v>
      </c>
      <c r="AR16" s="202">
        <f t="shared" si="2"/>
        <v>0</v>
      </c>
      <c r="AS16" s="202">
        <v>0</v>
      </c>
      <c r="AT16" s="202">
        <v>0</v>
      </c>
      <c r="AU16" s="227">
        <f t="shared" si="3"/>
        <v>0</v>
      </c>
      <c r="AV16" s="209">
        <f t="shared" ref="AV16:AV24" si="5">AM16+AP16+AS16</f>
        <v>0</v>
      </c>
      <c r="AW16" s="209" t="e">
        <f t="shared" ref="AW16:AW24" si="6">AN16+AQ16+AT16</f>
        <v>#REF!</v>
      </c>
      <c r="AX16" s="209" t="e">
        <f t="shared" ref="AX16:AX24" si="7">AV16+AW16</f>
        <v>#REF!</v>
      </c>
    </row>
    <row r="17" spans="1:52" s="56" customFormat="1" ht="28.5" customHeight="1" x14ac:dyDescent="0.25">
      <c r="A17" s="128" t="s">
        <v>192</v>
      </c>
      <c r="B17" s="215"/>
      <c r="C17" s="193" t="s">
        <v>177</v>
      </c>
      <c r="D17" s="77"/>
      <c r="E17" s="77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216"/>
      <c r="AB17" s="217"/>
      <c r="AC17" s="218"/>
      <c r="AD17" s="217"/>
      <c r="AE17" s="217"/>
      <c r="AF17" s="217"/>
      <c r="AG17" s="217"/>
      <c r="AH17" s="217"/>
      <c r="AI17" s="217"/>
      <c r="AJ17" s="217"/>
      <c r="AK17" s="217"/>
      <c r="AL17" s="217"/>
      <c r="AM17" s="202">
        <v>0</v>
      </c>
      <c r="AN17" s="202">
        <v>0</v>
      </c>
      <c r="AO17" s="202">
        <f t="shared" si="4"/>
        <v>0</v>
      </c>
      <c r="AP17" s="80">
        <v>0</v>
      </c>
      <c r="AQ17" s="202" t="e">
        <f>'POA CONSOLIDADO'!#REF!</f>
        <v>#REF!</v>
      </c>
      <c r="AR17" s="202" t="e">
        <f t="shared" si="2"/>
        <v>#REF!</v>
      </c>
      <c r="AS17" s="202">
        <v>0</v>
      </c>
      <c r="AT17" s="202">
        <v>0</v>
      </c>
      <c r="AU17" s="227">
        <f t="shared" si="3"/>
        <v>0</v>
      </c>
      <c r="AV17" s="209">
        <f t="shared" si="5"/>
        <v>0</v>
      </c>
      <c r="AW17" s="209" t="e">
        <f t="shared" si="6"/>
        <v>#REF!</v>
      </c>
      <c r="AX17" s="209" t="e">
        <f t="shared" si="7"/>
        <v>#REF!</v>
      </c>
    </row>
    <row r="18" spans="1:52" s="56" customFormat="1" ht="28.5" customHeight="1" x14ac:dyDescent="0.25">
      <c r="A18" s="128" t="s">
        <v>192</v>
      </c>
      <c r="B18" s="215"/>
      <c r="C18" s="193" t="s">
        <v>177</v>
      </c>
      <c r="D18" s="77"/>
      <c r="E18" s="77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216"/>
      <c r="AB18" s="217"/>
      <c r="AC18" s="218"/>
      <c r="AD18" s="217"/>
      <c r="AE18" s="217"/>
      <c r="AF18" s="217"/>
      <c r="AG18" s="217"/>
      <c r="AH18" s="217"/>
      <c r="AI18" s="217"/>
      <c r="AJ18" s="217"/>
      <c r="AK18" s="217"/>
      <c r="AL18" s="217"/>
      <c r="AM18" s="202">
        <v>0</v>
      </c>
      <c r="AN18" s="202">
        <v>0</v>
      </c>
      <c r="AO18" s="202">
        <f t="shared" si="4"/>
        <v>0</v>
      </c>
      <c r="AP18" s="202">
        <v>0</v>
      </c>
      <c r="AQ18" s="202">
        <v>0</v>
      </c>
      <c r="AR18" s="202">
        <f t="shared" si="2"/>
        <v>0</v>
      </c>
      <c r="AS18" s="220">
        <v>0</v>
      </c>
      <c r="AT18" s="202" t="e">
        <f>'POA CONSOLIDADO'!#REF!</f>
        <v>#REF!</v>
      </c>
      <c r="AU18" s="227" t="e">
        <f t="shared" si="3"/>
        <v>#REF!</v>
      </c>
      <c r="AV18" s="209">
        <f t="shared" si="5"/>
        <v>0</v>
      </c>
      <c r="AW18" s="209" t="e">
        <f t="shared" si="6"/>
        <v>#REF!</v>
      </c>
      <c r="AX18" s="209" t="e">
        <f t="shared" si="7"/>
        <v>#REF!</v>
      </c>
    </row>
    <row r="19" spans="1:52" s="56" customFormat="1" ht="28.5" customHeight="1" x14ac:dyDescent="0.25">
      <c r="A19" s="128" t="s">
        <v>193</v>
      </c>
      <c r="B19" s="215"/>
      <c r="C19" s="84" t="s">
        <v>204</v>
      </c>
      <c r="D19" s="77"/>
      <c r="E19" s="77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216"/>
      <c r="AB19" s="217"/>
      <c r="AC19" s="218"/>
      <c r="AD19" s="217"/>
      <c r="AE19" s="217"/>
      <c r="AF19" s="217"/>
      <c r="AG19" s="217"/>
      <c r="AH19" s="217"/>
      <c r="AI19" s="217"/>
      <c r="AJ19" s="217"/>
      <c r="AK19" s="217"/>
      <c r="AL19" s="217"/>
      <c r="AM19" s="210">
        <v>0</v>
      </c>
      <c r="AN19" s="210" t="e">
        <f>'POA CONSOLIDADO'!#REF!</f>
        <v>#REF!</v>
      </c>
      <c r="AO19" s="202" t="e">
        <f t="shared" si="4"/>
        <v>#REF!</v>
      </c>
      <c r="AP19" s="202">
        <v>0</v>
      </c>
      <c r="AQ19" s="202">
        <v>0</v>
      </c>
      <c r="AR19" s="202">
        <f t="shared" si="2"/>
        <v>0</v>
      </c>
      <c r="AS19" s="202">
        <v>0</v>
      </c>
      <c r="AT19" s="202">
        <v>0</v>
      </c>
      <c r="AU19" s="227">
        <f t="shared" si="3"/>
        <v>0</v>
      </c>
      <c r="AV19" s="209">
        <f t="shared" si="5"/>
        <v>0</v>
      </c>
      <c r="AW19" s="209" t="e">
        <f t="shared" si="6"/>
        <v>#REF!</v>
      </c>
      <c r="AX19" s="209" t="e">
        <f t="shared" si="7"/>
        <v>#REF!</v>
      </c>
    </row>
    <row r="20" spans="1:52" s="56" customFormat="1" ht="28.5" customHeight="1" x14ac:dyDescent="0.25">
      <c r="A20" s="128" t="s">
        <v>193</v>
      </c>
      <c r="B20" s="215"/>
      <c r="C20" s="84" t="s">
        <v>204</v>
      </c>
      <c r="D20" s="77"/>
      <c r="E20" s="77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216"/>
      <c r="AB20" s="217"/>
      <c r="AC20" s="218"/>
      <c r="AD20" s="217"/>
      <c r="AE20" s="217"/>
      <c r="AF20" s="217"/>
      <c r="AG20" s="217"/>
      <c r="AH20" s="217"/>
      <c r="AI20" s="217"/>
      <c r="AJ20" s="217"/>
      <c r="AK20" s="217"/>
      <c r="AL20" s="217"/>
      <c r="AM20" s="202">
        <v>0</v>
      </c>
      <c r="AN20" s="202">
        <v>0</v>
      </c>
      <c r="AO20" s="202">
        <f t="shared" si="4"/>
        <v>0</v>
      </c>
      <c r="AP20" s="80">
        <v>0</v>
      </c>
      <c r="AQ20" s="80" t="e">
        <f>'POA CONSOLIDADO'!#REF!</f>
        <v>#REF!</v>
      </c>
      <c r="AR20" s="202" t="e">
        <f t="shared" si="2"/>
        <v>#REF!</v>
      </c>
      <c r="AS20" s="202">
        <v>0</v>
      </c>
      <c r="AT20" s="202">
        <v>0</v>
      </c>
      <c r="AU20" s="227">
        <f t="shared" si="3"/>
        <v>0</v>
      </c>
      <c r="AV20" s="209">
        <f t="shared" si="5"/>
        <v>0</v>
      </c>
      <c r="AW20" s="209" t="e">
        <f t="shared" si="6"/>
        <v>#REF!</v>
      </c>
      <c r="AX20" s="209" t="e">
        <f t="shared" si="7"/>
        <v>#REF!</v>
      </c>
    </row>
    <row r="21" spans="1:52" s="55" customFormat="1" ht="31.5" customHeight="1" x14ac:dyDescent="0.25">
      <c r="A21" s="128" t="s">
        <v>194</v>
      </c>
      <c r="B21" s="66"/>
      <c r="C21" s="193" t="s">
        <v>204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7"/>
      <c r="U21" s="77"/>
      <c r="V21" s="77"/>
      <c r="W21" s="77"/>
      <c r="X21" s="77"/>
      <c r="Y21" s="77"/>
      <c r="Z21" s="77"/>
      <c r="AA21" s="154"/>
      <c r="AB21" s="95"/>
      <c r="AC21" s="78"/>
      <c r="AD21" s="184"/>
      <c r="AE21" s="95"/>
      <c r="AF21" s="95"/>
      <c r="AG21" s="95"/>
      <c r="AH21" s="95"/>
      <c r="AI21" s="95"/>
      <c r="AJ21" s="95"/>
      <c r="AK21" s="95"/>
      <c r="AL21" s="95"/>
      <c r="AM21" s="202">
        <v>0</v>
      </c>
      <c r="AN21" s="202">
        <v>0</v>
      </c>
      <c r="AO21" s="202">
        <f t="shared" si="4"/>
        <v>0</v>
      </c>
      <c r="AP21" s="202">
        <v>0</v>
      </c>
      <c r="AQ21" s="202">
        <v>0</v>
      </c>
      <c r="AR21" s="202">
        <f t="shared" si="2"/>
        <v>0</v>
      </c>
      <c r="AS21" s="79">
        <v>0</v>
      </c>
      <c r="AT21" s="79" t="e">
        <f>'POA CONSOLIDADO'!#REF!</f>
        <v>#REF!</v>
      </c>
      <c r="AU21" s="227" t="e">
        <f t="shared" si="3"/>
        <v>#REF!</v>
      </c>
      <c r="AV21" s="209">
        <f t="shared" si="5"/>
        <v>0</v>
      </c>
      <c r="AW21" s="209" t="e">
        <f t="shared" si="6"/>
        <v>#REF!</v>
      </c>
      <c r="AX21" s="209" t="e">
        <f t="shared" si="7"/>
        <v>#REF!</v>
      </c>
      <c r="AY21" s="56"/>
      <c r="AZ21" s="123">
        <f>AM21+AR21</f>
        <v>0</v>
      </c>
    </row>
    <row r="22" spans="1:52" s="55" customFormat="1" ht="31.5" customHeight="1" x14ac:dyDescent="0.25">
      <c r="A22" s="128" t="s">
        <v>195</v>
      </c>
      <c r="B22" s="66"/>
      <c r="C22" s="219" t="s">
        <v>176</v>
      </c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155"/>
      <c r="AB22" s="95"/>
      <c r="AC22" s="78"/>
      <c r="AD22" s="184"/>
      <c r="AE22" s="95"/>
      <c r="AF22" s="95"/>
      <c r="AG22" s="95"/>
      <c r="AH22" s="95"/>
      <c r="AI22" s="95"/>
      <c r="AJ22" s="95"/>
      <c r="AK22" s="95"/>
      <c r="AL22" s="95"/>
      <c r="AM22" s="210">
        <v>0</v>
      </c>
      <c r="AN22" s="210" t="e">
        <f>'POA CONSOLIDADO'!#REF!</f>
        <v>#REF!</v>
      </c>
      <c r="AO22" s="202" t="e">
        <f t="shared" si="4"/>
        <v>#REF!</v>
      </c>
      <c r="AP22" s="202">
        <v>0</v>
      </c>
      <c r="AQ22" s="202">
        <v>0</v>
      </c>
      <c r="AR22" s="202">
        <f t="shared" si="2"/>
        <v>0</v>
      </c>
      <c r="AS22" s="202">
        <v>0</v>
      </c>
      <c r="AT22" s="202">
        <v>0</v>
      </c>
      <c r="AU22" s="227">
        <f t="shared" si="3"/>
        <v>0</v>
      </c>
      <c r="AV22" s="209">
        <f t="shared" si="5"/>
        <v>0</v>
      </c>
      <c r="AW22" s="209" t="e">
        <f t="shared" si="6"/>
        <v>#REF!</v>
      </c>
      <c r="AX22" s="209" t="e">
        <f t="shared" si="7"/>
        <v>#REF!</v>
      </c>
      <c r="AY22" s="56"/>
      <c r="AZ22" s="123">
        <f>AM22+AR22</f>
        <v>0</v>
      </c>
    </row>
    <row r="23" spans="1:52" s="55" customFormat="1" ht="31.5" customHeight="1" x14ac:dyDescent="0.25">
      <c r="A23" s="128" t="s">
        <v>195</v>
      </c>
      <c r="B23" s="66"/>
      <c r="C23" s="193" t="s">
        <v>176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7"/>
      <c r="V23" s="77"/>
      <c r="W23" s="77"/>
      <c r="X23" s="77"/>
      <c r="Y23" s="77"/>
      <c r="Z23" s="77"/>
      <c r="AA23" s="154"/>
      <c r="AB23" s="95"/>
      <c r="AC23" s="78"/>
      <c r="AD23" s="184"/>
      <c r="AE23" s="95"/>
      <c r="AF23" s="95"/>
      <c r="AG23" s="95"/>
      <c r="AH23" s="95"/>
      <c r="AI23" s="95"/>
      <c r="AJ23" s="95"/>
      <c r="AK23" s="95"/>
      <c r="AL23" s="95"/>
      <c r="AM23" s="202">
        <v>0</v>
      </c>
      <c r="AN23" s="202">
        <v>0</v>
      </c>
      <c r="AO23" s="202">
        <f t="shared" si="4"/>
        <v>0</v>
      </c>
      <c r="AP23" s="79">
        <v>0</v>
      </c>
      <c r="AQ23" s="79" t="e">
        <f>'POA CONSOLIDADO'!#REF!</f>
        <v>#REF!</v>
      </c>
      <c r="AR23" s="202" t="e">
        <f t="shared" si="2"/>
        <v>#REF!</v>
      </c>
      <c r="AS23" s="202">
        <v>0</v>
      </c>
      <c r="AT23" s="202">
        <v>0</v>
      </c>
      <c r="AU23" s="227">
        <f t="shared" si="3"/>
        <v>0</v>
      </c>
      <c r="AV23" s="209">
        <f t="shared" si="5"/>
        <v>0</v>
      </c>
      <c r="AW23" s="209" t="e">
        <f t="shared" si="6"/>
        <v>#REF!</v>
      </c>
      <c r="AX23" s="209" t="e">
        <f t="shared" si="7"/>
        <v>#REF!</v>
      </c>
      <c r="AY23" s="98"/>
      <c r="AZ23" s="99" t="e">
        <f>AO23+AR23+AU23</f>
        <v>#REF!</v>
      </c>
    </row>
    <row r="24" spans="1:52" s="55" customFormat="1" ht="27.75" customHeight="1" x14ac:dyDescent="0.25">
      <c r="A24" s="128" t="s">
        <v>196</v>
      </c>
      <c r="B24" s="66"/>
      <c r="C24" s="193" t="s">
        <v>176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124">
        <v>42005</v>
      </c>
      <c r="AA24" s="124"/>
      <c r="AB24" s="96"/>
      <c r="AC24" s="78"/>
      <c r="AD24" s="78"/>
      <c r="AE24" s="96"/>
      <c r="AF24" s="96"/>
      <c r="AG24" s="96"/>
      <c r="AH24" s="96"/>
      <c r="AI24" s="96"/>
      <c r="AJ24" s="96"/>
      <c r="AK24" s="96"/>
      <c r="AL24" s="96"/>
      <c r="AM24" s="202">
        <v>0</v>
      </c>
      <c r="AN24" s="202">
        <v>0</v>
      </c>
      <c r="AO24" s="202">
        <f t="shared" si="4"/>
        <v>0</v>
      </c>
      <c r="AP24" s="202">
        <v>0</v>
      </c>
      <c r="AQ24" s="202">
        <v>0</v>
      </c>
      <c r="AR24" s="202">
        <f t="shared" si="2"/>
        <v>0</v>
      </c>
      <c r="AS24" s="187">
        <v>0</v>
      </c>
      <c r="AT24" s="187" t="e">
        <f>'POA CONSOLIDADO'!#REF!</f>
        <v>#REF!</v>
      </c>
      <c r="AU24" s="227" t="e">
        <f t="shared" si="3"/>
        <v>#REF!</v>
      </c>
      <c r="AV24" s="209">
        <f t="shared" si="5"/>
        <v>0</v>
      </c>
      <c r="AW24" s="209" t="e">
        <f t="shared" si="6"/>
        <v>#REF!</v>
      </c>
      <c r="AX24" s="209" t="e">
        <f t="shared" si="7"/>
        <v>#REF!</v>
      </c>
    </row>
    <row r="25" spans="1:52" ht="33.75" customHeight="1" x14ac:dyDescent="0.3">
      <c r="A25" s="132" t="s">
        <v>145</v>
      </c>
      <c r="B25" s="116"/>
      <c r="C25" s="170"/>
      <c r="D25" s="165"/>
      <c r="E25" s="171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207" t="e">
        <f t="shared" ref="AM25:AX25" si="8">AM26+AM31+AM41</f>
        <v>#REF!</v>
      </c>
      <c r="AN25" s="207" t="e">
        <f t="shared" si="8"/>
        <v>#REF!</v>
      </c>
      <c r="AO25" s="207" t="e">
        <f t="shared" si="8"/>
        <v>#REF!</v>
      </c>
      <c r="AP25" s="207" t="e">
        <f t="shared" si="8"/>
        <v>#REF!</v>
      </c>
      <c r="AQ25" s="207" t="e">
        <f t="shared" si="8"/>
        <v>#REF!</v>
      </c>
      <c r="AR25" s="207" t="e">
        <f t="shared" si="8"/>
        <v>#REF!</v>
      </c>
      <c r="AS25" s="207" t="e">
        <f t="shared" si="8"/>
        <v>#REF!</v>
      </c>
      <c r="AT25" s="207" t="e">
        <f t="shared" si="8"/>
        <v>#REF!</v>
      </c>
      <c r="AU25" s="207" t="e">
        <f t="shared" si="8"/>
        <v>#REF!</v>
      </c>
      <c r="AV25" s="207" t="e">
        <f t="shared" si="8"/>
        <v>#REF!</v>
      </c>
      <c r="AW25" s="207" t="e">
        <f t="shared" si="8"/>
        <v>#REF!</v>
      </c>
      <c r="AX25" s="207" t="e">
        <f t="shared" si="8"/>
        <v>#REF!</v>
      </c>
    </row>
    <row r="26" spans="1:52" s="56" customFormat="1" ht="30" customHeight="1" x14ac:dyDescent="0.25">
      <c r="A26" s="131" t="s">
        <v>146</v>
      </c>
      <c r="B26" s="117"/>
      <c r="C26" s="164"/>
      <c r="D26" s="164"/>
      <c r="E26" s="164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97">
        <f t="shared" ref="AM26:AW26" si="9">AM27+AM28+AM30</f>
        <v>424000</v>
      </c>
      <c r="AN26" s="197">
        <f t="shared" si="9"/>
        <v>0</v>
      </c>
      <c r="AO26" s="197">
        <f t="shared" si="9"/>
        <v>424000</v>
      </c>
      <c r="AP26" s="197" t="e">
        <f t="shared" si="9"/>
        <v>#REF!</v>
      </c>
      <c r="AQ26" s="197">
        <f t="shared" si="9"/>
        <v>0</v>
      </c>
      <c r="AR26" s="197" t="e">
        <f t="shared" si="9"/>
        <v>#REF!</v>
      </c>
      <c r="AS26" s="197" t="e">
        <f t="shared" si="9"/>
        <v>#REF!</v>
      </c>
      <c r="AT26" s="197">
        <f t="shared" si="9"/>
        <v>0</v>
      </c>
      <c r="AU26" s="197" t="e">
        <f t="shared" si="9"/>
        <v>#REF!</v>
      </c>
      <c r="AV26" s="197" t="e">
        <f>AV27+AV28+AV29+AV30</f>
        <v>#REF!</v>
      </c>
      <c r="AW26" s="197">
        <f t="shared" si="9"/>
        <v>0</v>
      </c>
      <c r="AX26" s="208" t="e">
        <f>AX27+AX28+AX29+AX30</f>
        <v>#REF!</v>
      </c>
    </row>
    <row r="27" spans="1:52" s="56" customFormat="1" ht="27" customHeight="1" x14ac:dyDescent="0.25">
      <c r="A27" s="128" t="s">
        <v>148</v>
      </c>
      <c r="B27" s="118"/>
      <c r="C27" s="89" t="s">
        <v>178</v>
      </c>
      <c r="D27" s="81"/>
      <c r="E27" s="85"/>
      <c r="F27" s="85"/>
      <c r="G27" s="83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200">
        <v>190500</v>
      </c>
      <c r="AN27" s="202">
        <v>0</v>
      </c>
      <c r="AO27" s="202">
        <f t="shared" ref="AO27:AO56" si="10">AM27+AN27</f>
        <v>190500</v>
      </c>
      <c r="AP27" s="202">
        <v>238125</v>
      </c>
      <c r="AQ27" s="202">
        <v>0</v>
      </c>
      <c r="AR27" s="202">
        <f>AP27+AQ27</f>
        <v>238125</v>
      </c>
      <c r="AS27" s="186">
        <v>238125</v>
      </c>
      <c r="AT27" s="202">
        <v>0</v>
      </c>
      <c r="AU27" s="227">
        <f t="shared" ref="AU27:AU56" si="11">AS27+AT27</f>
        <v>238125</v>
      </c>
      <c r="AV27" s="209">
        <f t="shared" ref="AV27:AW30" si="12">AM27+AP27+AS27</f>
        <v>666750</v>
      </c>
      <c r="AW27" s="209">
        <f t="shared" si="12"/>
        <v>0</v>
      </c>
      <c r="AX27" s="209">
        <f>AV27+AW27</f>
        <v>666750</v>
      </c>
    </row>
    <row r="28" spans="1:52" s="56" customFormat="1" ht="25.5" customHeight="1" x14ac:dyDescent="0.25">
      <c r="A28" s="128" t="s">
        <v>149</v>
      </c>
      <c r="B28" s="118"/>
      <c r="C28" s="89" t="s">
        <v>178</v>
      </c>
      <c r="D28" s="81"/>
      <c r="E28" s="85"/>
      <c r="F28" s="83"/>
      <c r="G28" s="83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200">
        <v>233500</v>
      </c>
      <c r="AN28" s="202">
        <v>0</v>
      </c>
      <c r="AO28" s="202">
        <f t="shared" si="10"/>
        <v>233500</v>
      </c>
      <c r="AP28" s="202">
        <v>291875</v>
      </c>
      <c r="AQ28" s="202">
        <v>0</v>
      </c>
      <c r="AR28" s="202">
        <f>AP28+AQ28</f>
        <v>291875</v>
      </c>
      <c r="AS28" s="186">
        <v>291875</v>
      </c>
      <c r="AT28" s="202">
        <v>0</v>
      </c>
      <c r="AU28" s="227">
        <f t="shared" si="11"/>
        <v>291875</v>
      </c>
      <c r="AV28" s="209">
        <f t="shared" si="12"/>
        <v>817250</v>
      </c>
      <c r="AW28" s="209">
        <f t="shared" si="12"/>
        <v>0</v>
      </c>
      <c r="AX28" s="209">
        <f>AV28+AW28</f>
        <v>817250</v>
      </c>
    </row>
    <row r="29" spans="1:52" s="56" customFormat="1" ht="34.5" customHeight="1" x14ac:dyDescent="0.25">
      <c r="A29" s="128" t="s">
        <v>149</v>
      </c>
      <c r="B29" s="119"/>
      <c r="C29" s="89" t="s">
        <v>178</v>
      </c>
      <c r="D29" s="81"/>
      <c r="E29" s="81"/>
      <c r="F29" s="82"/>
      <c r="G29" s="82"/>
      <c r="H29" s="82"/>
      <c r="I29" s="82"/>
      <c r="J29" s="82"/>
      <c r="K29" s="82"/>
      <c r="L29" s="573" t="s">
        <v>136</v>
      </c>
      <c r="M29" s="574"/>
      <c r="N29" s="574"/>
      <c r="O29" s="574"/>
      <c r="P29" s="574"/>
      <c r="Q29" s="574"/>
      <c r="R29" s="574"/>
      <c r="S29" s="574"/>
      <c r="T29" s="574"/>
      <c r="U29" s="574"/>
      <c r="V29" s="574"/>
      <c r="W29" s="230"/>
      <c r="X29" s="230"/>
      <c r="Y29" s="230"/>
      <c r="Z29" s="113"/>
      <c r="AA29" s="113"/>
      <c r="AB29" s="91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200">
        <v>1000000</v>
      </c>
      <c r="AN29" s="202">
        <v>0</v>
      </c>
      <c r="AO29" s="202">
        <f>AM29+AN29</f>
        <v>1000000</v>
      </c>
      <c r="AP29" s="204">
        <v>1250000</v>
      </c>
      <c r="AQ29" s="202">
        <v>0</v>
      </c>
      <c r="AR29" s="202">
        <f>AP29+AQ29</f>
        <v>1250000</v>
      </c>
      <c r="AS29" s="186">
        <v>1250000</v>
      </c>
      <c r="AT29" s="202">
        <v>0</v>
      </c>
      <c r="AU29" s="227">
        <f>AS29+AT29</f>
        <v>1250000</v>
      </c>
      <c r="AV29" s="209">
        <f>AM29+AP29+AS29</f>
        <v>3500000</v>
      </c>
      <c r="AW29" s="209">
        <f>AN29+AQ29+AT29</f>
        <v>0</v>
      </c>
      <c r="AX29" s="209">
        <f>AV29+AW29</f>
        <v>3500000</v>
      </c>
    </row>
    <row r="30" spans="1:52" s="56" customFormat="1" ht="34.5" customHeight="1" x14ac:dyDescent="0.25">
      <c r="A30" s="128" t="s">
        <v>205</v>
      </c>
      <c r="B30" s="119"/>
      <c r="C30" s="89" t="s">
        <v>178</v>
      </c>
      <c r="D30" s="81"/>
      <c r="E30" s="81"/>
      <c r="F30" s="82"/>
      <c r="G30" s="82"/>
      <c r="H30" s="82"/>
      <c r="I30" s="82"/>
      <c r="J30" s="82"/>
      <c r="K30" s="82"/>
      <c r="L30" s="573" t="s">
        <v>136</v>
      </c>
      <c r="M30" s="574"/>
      <c r="N30" s="574"/>
      <c r="O30" s="574"/>
      <c r="P30" s="574"/>
      <c r="Q30" s="574"/>
      <c r="R30" s="574"/>
      <c r="S30" s="574"/>
      <c r="T30" s="574"/>
      <c r="U30" s="574"/>
      <c r="V30" s="574"/>
      <c r="W30" s="112"/>
      <c r="X30" s="112"/>
      <c r="Y30" s="112"/>
      <c r="Z30" s="113"/>
      <c r="AA30" s="113"/>
      <c r="AB30" s="91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200">
        <v>0</v>
      </c>
      <c r="AN30" s="202">
        <v>0</v>
      </c>
      <c r="AO30" s="202">
        <f t="shared" si="10"/>
        <v>0</v>
      </c>
      <c r="AP30" s="204" t="e">
        <f>'POA CONSOLIDADO'!#REF!</f>
        <v>#REF!</v>
      </c>
      <c r="AQ30" s="202">
        <v>0</v>
      </c>
      <c r="AR30" s="202" t="e">
        <f>AP30+AQ30</f>
        <v>#REF!</v>
      </c>
      <c r="AS30" s="186" t="e">
        <f>'POA CONSOLIDADO'!#REF!</f>
        <v>#REF!</v>
      </c>
      <c r="AT30" s="202">
        <v>0</v>
      </c>
      <c r="AU30" s="227" t="e">
        <f t="shared" si="11"/>
        <v>#REF!</v>
      </c>
      <c r="AV30" s="209" t="e">
        <f t="shared" si="12"/>
        <v>#REF!</v>
      </c>
      <c r="AW30" s="209">
        <f t="shared" si="12"/>
        <v>0</v>
      </c>
      <c r="AX30" s="209" t="e">
        <f>AV30+AW30</f>
        <v>#REF!</v>
      </c>
    </row>
    <row r="31" spans="1:52" s="56" customFormat="1" ht="32.25" customHeight="1" x14ac:dyDescent="0.25">
      <c r="A31" s="131" t="s">
        <v>147</v>
      </c>
      <c r="B31" s="117"/>
      <c r="C31" s="164"/>
      <c r="D31" s="164"/>
      <c r="E31" s="164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99" t="e">
        <f>AM32+AM33+AM34+AM35+AM36+AM37+AM38+AM39+AM40</f>
        <v>#REF!</v>
      </c>
      <c r="AN31" s="199">
        <f>AN32+AN33+AN34+AN35+AN36+AN37+AO38+AN39+AN40</f>
        <v>1600000</v>
      </c>
      <c r="AO31" s="199" t="e">
        <f t="shared" ref="AO31:AX31" si="13">AO32+AO33+AO34+AO35+AO36+AO37+AO38+AO39+AO40</f>
        <v>#REF!</v>
      </c>
      <c r="AP31" s="199" t="e">
        <f t="shared" si="13"/>
        <v>#REF!</v>
      </c>
      <c r="AQ31" s="199">
        <f t="shared" si="13"/>
        <v>693000</v>
      </c>
      <c r="AR31" s="199" t="e">
        <f t="shared" si="13"/>
        <v>#REF!</v>
      </c>
      <c r="AS31" s="199" t="e">
        <f t="shared" si="13"/>
        <v>#REF!</v>
      </c>
      <c r="AT31" s="199">
        <f t="shared" si="13"/>
        <v>1155000</v>
      </c>
      <c r="AU31" s="199" t="e">
        <f t="shared" si="13"/>
        <v>#REF!</v>
      </c>
      <c r="AV31" s="199" t="e">
        <f t="shared" si="13"/>
        <v>#REF!</v>
      </c>
      <c r="AW31" s="199">
        <f t="shared" si="13"/>
        <v>3448000</v>
      </c>
      <c r="AX31" s="199" t="e">
        <f t="shared" si="13"/>
        <v>#REF!</v>
      </c>
    </row>
    <row r="32" spans="1:52" s="56" customFormat="1" ht="37.5" customHeight="1" x14ac:dyDescent="0.25">
      <c r="A32" s="133" t="s">
        <v>150</v>
      </c>
      <c r="B32" s="118"/>
      <c r="C32" s="89" t="s">
        <v>179</v>
      </c>
      <c r="D32" s="81"/>
      <c r="E32" s="81"/>
      <c r="F32" s="82"/>
      <c r="G32" s="82"/>
      <c r="H32" s="83"/>
      <c r="I32" s="83"/>
      <c r="J32" s="83"/>
      <c r="K32" s="83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200" t="e">
        <f>'POA CONSOLIDADO'!#REF!</f>
        <v>#REF!</v>
      </c>
      <c r="AN32" s="202">
        <v>0</v>
      </c>
      <c r="AO32" s="202" t="e">
        <f t="shared" si="10"/>
        <v>#REF!</v>
      </c>
      <c r="AP32" s="202">
        <v>0</v>
      </c>
      <c r="AQ32" s="202">
        <v>0</v>
      </c>
      <c r="AR32" s="202">
        <f t="shared" ref="AR32:AR40" si="14">AP32+AQ32</f>
        <v>0</v>
      </c>
      <c r="AS32" s="202">
        <v>0</v>
      </c>
      <c r="AT32" s="202">
        <v>0</v>
      </c>
      <c r="AU32" s="227">
        <f t="shared" si="11"/>
        <v>0</v>
      </c>
      <c r="AV32" s="209" t="e">
        <f t="shared" ref="AV32:AV47" si="15">AM32+AP32+AS32</f>
        <v>#REF!</v>
      </c>
      <c r="AW32" s="209">
        <f t="shared" ref="AW32:AW42" si="16">AN32+AQ32+AT32</f>
        <v>0</v>
      </c>
      <c r="AX32" s="209" t="e">
        <f t="shared" ref="AX32:AX40" si="17">AV32+AW32</f>
        <v>#REF!</v>
      </c>
    </row>
    <row r="33" spans="1:50" s="56" customFormat="1" ht="31.15" customHeight="1" x14ac:dyDescent="0.25">
      <c r="A33" s="133" t="s">
        <v>151</v>
      </c>
      <c r="B33" s="121"/>
      <c r="C33" s="89" t="s">
        <v>179</v>
      </c>
      <c r="D33" s="81"/>
      <c r="E33" s="81"/>
      <c r="F33" s="82"/>
      <c r="G33" s="82"/>
      <c r="H33" s="83"/>
      <c r="I33" s="83"/>
      <c r="J33" s="83"/>
      <c r="K33" s="83"/>
      <c r="L33" s="83"/>
      <c r="M33" s="83"/>
      <c r="N33" s="82"/>
      <c r="O33" s="82"/>
      <c r="P33" s="82"/>
      <c r="Q33" s="82"/>
      <c r="R33" s="82"/>
      <c r="S33" s="82"/>
      <c r="T33" s="91"/>
      <c r="U33" s="82"/>
      <c r="V33" s="82"/>
      <c r="W33" s="82"/>
      <c r="X33" s="82"/>
      <c r="Y33" s="82"/>
      <c r="Z33" s="82"/>
      <c r="AA33" s="82"/>
      <c r="AB33" s="82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202">
        <v>0</v>
      </c>
      <c r="AN33" s="202">
        <v>0</v>
      </c>
      <c r="AO33" s="202">
        <f t="shared" si="10"/>
        <v>0</v>
      </c>
      <c r="AP33" s="80" t="e">
        <f>'POA CONSOLIDADO'!#REF!</f>
        <v>#REF!</v>
      </c>
      <c r="AQ33" s="202">
        <v>0</v>
      </c>
      <c r="AR33" s="202" t="e">
        <f t="shared" si="14"/>
        <v>#REF!</v>
      </c>
      <c r="AS33" s="202">
        <v>0</v>
      </c>
      <c r="AT33" s="202">
        <v>0</v>
      </c>
      <c r="AU33" s="227">
        <f t="shared" si="11"/>
        <v>0</v>
      </c>
      <c r="AV33" s="209" t="e">
        <f t="shared" si="15"/>
        <v>#REF!</v>
      </c>
      <c r="AW33" s="209">
        <f t="shared" si="16"/>
        <v>0</v>
      </c>
      <c r="AX33" s="209" t="e">
        <f t="shared" si="17"/>
        <v>#REF!</v>
      </c>
    </row>
    <row r="34" spans="1:50" s="56" customFormat="1" ht="31.15" customHeight="1" x14ac:dyDescent="0.25">
      <c r="A34" s="133" t="s">
        <v>155</v>
      </c>
      <c r="B34" s="121"/>
      <c r="C34" s="89" t="s">
        <v>180</v>
      </c>
      <c r="D34" s="81"/>
      <c r="E34" s="81"/>
      <c r="F34" s="82"/>
      <c r="G34" s="82"/>
      <c r="H34" s="83"/>
      <c r="I34" s="83"/>
      <c r="J34" s="83"/>
      <c r="K34" s="83"/>
      <c r="L34" s="83"/>
      <c r="M34" s="83"/>
      <c r="N34" s="82"/>
      <c r="O34" s="82"/>
      <c r="P34" s="82"/>
      <c r="Q34" s="82"/>
      <c r="R34" s="82"/>
      <c r="S34" s="82"/>
      <c r="T34" s="91"/>
      <c r="U34" s="82"/>
      <c r="V34" s="82"/>
      <c r="W34" s="82"/>
      <c r="X34" s="82"/>
      <c r="Y34" s="82"/>
      <c r="Z34" s="82"/>
      <c r="AA34" s="82"/>
      <c r="AB34" s="82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202">
        <v>0</v>
      </c>
      <c r="AN34" s="202">
        <v>0</v>
      </c>
      <c r="AO34" s="202">
        <f t="shared" si="10"/>
        <v>0</v>
      </c>
      <c r="AP34" s="80" t="e">
        <f>'POA CONSOLIDADO'!#REF!</f>
        <v>#REF!</v>
      </c>
      <c r="AQ34" s="202">
        <v>0</v>
      </c>
      <c r="AR34" s="202" t="e">
        <f t="shared" si="14"/>
        <v>#REF!</v>
      </c>
      <c r="AS34" s="202">
        <v>0</v>
      </c>
      <c r="AT34" s="202">
        <v>0</v>
      </c>
      <c r="AU34" s="227">
        <f t="shared" si="11"/>
        <v>0</v>
      </c>
      <c r="AV34" s="209" t="e">
        <f t="shared" si="15"/>
        <v>#REF!</v>
      </c>
      <c r="AW34" s="209">
        <f t="shared" si="16"/>
        <v>0</v>
      </c>
      <c r="AX34" s="209" t="e">
        <f t="shared" si="17"/>
        <v>#REF!</v>
      </c>
    </row>
    <row r="35" spans="1:50" s="56" customFormat="1" ht="31.15" customHeight="1" x14ac:dyDescent="0.25">
      <c r="A35" s="133" t="s">
        <v>152</v>
      </c>
      <c r="B35" s="121"/>
      <c r="C35" s="89" t="s">
        <v>180</v>
      </c>
      <c r="D35" s="81"/>
      <c r="E35" s="81"/>
      <c r="F35" s="82"/>
      <c r="G35" s="82"/>
      <c r="H35" s="83"/>
      <c r="I35" s="83"/>
      <c r="J35" s="83"/>
      <c r="K35" s="83"/>
      <c r="L35" s="83"/>
      <c r="M35" s="83"/>
      <c r="N35" s="82"/>
      <c r="O35" s="82"/>
      <c r="P35" s="82"/>
      <c r="Q35" s="82"/>
      <c r="R35" s="82"/>
      <c r="S35" s="82"/>
      <c r="T35" s="91"/>
      <c r="U35" s="82"/>
      <c r="V35" s="82"/>
      <c r="W35" s="82"/>
      <c r="X35" s="82"/>
      <c r="Y35" s="82"/>
      <c r="Z35" s="82"/>
      <c r="AA35" s="82"/>
      <c r="AB35" s="82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202">
        <v>0</v>
      </c>
      <c r="AN35" s="202">
        <v>0</v>
      </c>
      <c r="AO35" s="202">
        <f t="shared" si="10"/>
        <v>0</v>
      </c>
      <c r="AP35" s="202">
        <v>0</v>
      </c>
      <c r="AQ35" s="202">
        <v>0</v>
      </c>
      <c r="AR35" s="202">
        <f t="shared" si="14"/>
        <v>0</v>
      </c>
      <c r="AS35" s="220" t="e">
        <f>'POA CONSOLIDADO'!#REF!</f>
        <v>#REF!</v>
      </c>
      <c r="AT35" s="202">
        <v>0</v>
      </c>
      <c r="AU35" s="227" t="e">
        <f t="shared" si="11"/>
        <v>#REF!</v>
      </c>
      <c r="AV35" s="209" t="e">
        <f t="shared" si="15"/>
        <v>#REF!</v>
      </c>
      <c r="AW35" s="209">
        <f t="shared" si="16"/>
        <v>0</v>
      </c>
      <c r="AX35" s="209" t="e">
        <f t="shared" si="17"/>
        <v>#REF!</v>
      </c>
    </row>
    <row r="36" spans="1:50" s="56" customFormat="1" ht="31.15" customHeight="1" x14ac:dyDescent="0.25">
      <c r="A36" s="133" t="s">
        <v>153</v>
      </c>
      <c r="B36" s="121"/>
      <c r="C36" s="89" t="s">
        <v>181</v>
      </c>
      <c r="D36" s="81"/>
      <c r="E36" s="81"/>
      <c r="F36" s="82"/>
      <c r="G36" s="82"/>
      <c r="H36" s="83"/>
      <c r="I36" s="83"/>
      <c r="J36" s="83"/>
      <c r="K36" s="83"/>
      <c r="L36" s="83"/>
      <c r="M36" s="83"/>
      <c r="N36" s="82"/>
      <c r="O36" s="82"/>
      <c r="P36" s="82"/>
      <c r="Q36" s="82"/>
      <c r="R36" s="82"/>
      <c r="S36" s="82"/>
      <c r="T36" s="91"/>
      <c r="U36" s="82"/>
      <c r="V36" s="82"/>
      <c r="W36" s="82"/>
      <c r="X36" s="82"/>
      <c r="Y36" s="82"/>
      <c r="Z36" s="82"/>
      <c r="AA36" s="82"/>
      <c r="AB36" s="82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202">
        <v>0</v>
      </c>
      <c r="AN36" s="202">
        <v>0</v>
      </c>
      <c r="AO36" s="202">
        <f t="shared" si="10"/>
        <v>0</v>
      </c>
      <c r="AP36" s="80">
        <v>0</v>
      </c>
      <c r="AQ36" s="202">
        <v>231000</v>
      </c>
      <c r="AR36" s="202">
        <f t="shared" si="14"/>
        <v>231000</v>
      </c>
      <c r="AS36" s="202">
        <v>0</v>
      </c>
      <c r="AT36" s="202">
        <v>0</v>
      </c>
      <c r="AU36" s="227">
        <f t="shared" si="11"/>
        <v>0</v>
      </c>
      <c r="AV36" s="209">
        <f t="shared" si="15"/>
        <v>0</v>
      </c>
      <c r="AW36" s="209">
        <f t="shared" si="16"/>
        <v>231000</v>
      </c>
      <c r="AX36" s="209">
        <f t="shared" si="17"/>
        <v>231000</v>
      </c>
    </row>
    <row r="37" spans="1:50" s="56" customFormat="1" ht="31.15" customHeight="1" x14ac:dyDescent="0.25">
      <c r="A37" s="133" t="s">
        <v>154</v>
      </c>
      <c r="B37" s="121"/>
      <c r="C37" s="89" t="s">
        <v>181</v>
      </c>
      <c r="D37" s="81"/>
      <c r="E37" s="81"/>
      <c r="F37" s="82"/>
      <c r="G37" s="82"/>
      <c r="H37" s="83"/>
      <c r="I37" s="83"/>
      <c r="J37" s="83"/>
      <c r="K37" s="83"/>
      <c r="L37" s="83"/>
      <c r="M37" s="83"/>
      <c r="N37" s="82"/>
      <c r="O37" s="82"/>
      <c r="P37" s="82"/>
      <c r="Q37" s="82"/>
      <c r="R37" s="82"/>
      <c r="S37" s="82"/>
      <c r="T37" s="91"/>
      <c r="U37" s="82"/>
      <c r="V37" s="82"/>
      <c r="W37" s="82"/>
      <c r="X37" s="82"/>
      <c r="Y37" s="82"/>
      <c r="Z37" s="82"/>
      <c r="AA37" s="82"/>
      <c r="AB37" s="82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202">
        <v>0</v>
      </c>
      <c r="AN37" s="202">
        <v>0</v>
      </c>
      <c r="AO37" s="202">
        <f t="shared" si="10"/>
        <v>0</v>
      </c>
      <c r="AP37" s="202">
        <v>0</v>
      </c>
      <c r="AQ37" s="202">
        <v>0</v>
      </c>
      <c r="AR37" s="202">
        <f t="shared" si="14"/>
        <v>0</v>
      </c>
      <c r="AS37" s="202">
        <v>0</v>
      </c>
      <c r="AT37" s="86">
        <v>385000</v>
      </c>
      <c r="AU37" s="227">
        <f t="shared" si="11"/>
        <v>385000</v>
      </c>
      <c r="AV37" s="209">
        <f t="shared" si="15"/>
        <v>0</v>
      </c>
      <c r="AW37" s="209">
        <f t="shared" si="16"/>
        <v>385000</v>
      </c>
      <c r="AX37" s="209">
        <f t="shared" si="17"/>
        <v>385000</v>
      </c>
    </row>
    <row r="38" spans="1:50" s="56" customFormat="1" ht="31.15" customHeight="1" x14ac:dyDescent="0.25">
      <c r="A38" s="133" t="s">
        <v>197</v>
      </c>
      <c r="B38" s="121"/>
      <c r="C38" s="89"/>
      <c r="D38" s="81"/>
      <c r="E38" s="81"/>
      <c r="F38" s="82"/>
      <c r="G38" s="82"/>
      <c r="H38" s="83"/>
      <c r="I38" s="83"/>
      <c r="J38" s="83"/>
      <c r="K38" s="83"/>
      <c r="L38" s="83"/>
      <c r="M38" s="83"/>
      <c r="N38" s="82"/>
      <c r="O38" s="82"/>
      <c r="P38" s="82"/>
      <c r="Q38" s="82"/>
      <c r="R38" s="82"/>
      <c r="S38" s="82"/>
      <c r="T38" s="91"/>
      <c r="U38" s="82"/>
      <c r="V38" s="82"/>
      <c r="W38" s="82"/>
      <c r="X38" s="82"/>
      <c r="Y38" s="82"/>
      <c r="Z38" s="82"/>
      <c r="AA38" s="82"/>
      <c r="AB38" s="82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202">
        <v>0</v>
      </c>
      <c r="AN38" s="200">
        <v>1600000</v>
      </c>
      <c r="AO38" s="202">
        <f t="shared" si="10"/>
        <v>1600000</v>
      </c>
      <c r="AP38" s="202">
        <v>0</v>
      </c>
      <c r="AQ38" s="202">
        <v>0</v>
      </c>
      <c r="AR38" s="202">
        <f t="shared" si="14"/>
        <v>0</v>
      </c>
      <c r="AS38" s="202">
        <v>0</v>
      </c>
      <c r="AT38" s="202">
        <v>0</v>
      </c>
      <c r="AU38" s="227">
        <f t="shared" si="11"/>
        <v>0</v>
      </c>
      <c r="AV38" s="209">
        <f t="shared" si="15"/>
        <v>0</v>
      </c>
      <c r="AW38" s="209">
        <f t="shared" si="16"/>
        <v>1600000</v>
      </c>
      <c r="AX38" s="209">
        <f t="shared" si="17"/>
        <v>1600000</v>
      </c>
    </row>
    <row r="39" spans="1:50" s="56" customFormat="1" ht="31.15" customHeight="1" x14ac:dyDescent="0.25">
      <c r="A39" s="133" t="s">
        <v>198</v>
      </c>
      <c r="B39" s="121"/>
      <c r="C39" s="89" t="s">
        <v>182</v>
      </c>
      <c r="D39" s="81"/>
      <c r="E39" s="81"/>
      <c r="F39" s="82"/>
      <c r="G39" s="82"/>
      <c r="H39" s="83"/>
      <c r="I39" s="83"/>
      <c r="J39" s="83"/>
      <c r="K39" s="83"/>
      <c r="L39" s="83"/>
      <c r="M39" s="83"/>
      <c r="N39" s="82"/>
      <c r="O39" s="82"/>
      <c r="P39" s="82"/>
      <c r="Q39" s="82"/>
      <c r="R39" s="82"/>
      <c r="S39" s="82"/>
      <c r="T39" s="91"/>
      <c r="U39" s="82"/>
      <c r="V39" s="82"/>
      <c r="W39" s="82"/>
      <c r="X39" s="82"/>
      <c r="Y39" s="82"/>
      <c r="Z39" s="82"/>
      <c r="AA39" s="82"/>
      <c r="AB39" s="82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202">
        <v>0</v>
      </c>
      <c r="AN39" s="202">
        <v>0</v>
      </c>
      <c r="AO39" s="202">
        <f t="shared" si="10"/>
        <v>0</v>
      </c>
      <c r="AP39" s="202">
        <v>0</v>
      </c>
      <c r="AQ39" s="202">
        <v>462000</v>
      </c>
      <c r="AR39" s="202">
        <f t="shared" si="14"/>
        <v>462000</v>
      </c>
      <c r="AS39" s="202">
        <v>0</v>
      </c>
      <c r="AT39" s="202">
        <v>0</v>
      </c>
      <c r="AU39" s="227">
        <f t="shared" si="11"/>
        <v>0</v>
      </c>
      <c r="AV39" s="209">
        <f t="shared" si="15"/>
        <v>0</v>
      </c>
      <c r="AW39" s="209">
        <f t="shared" si="16"/>
        <v>462000</v>
      </c>
      <c r="AX39" s="209">
        <f t="shared" si="17"/>
        <v>462000</v>
      </c>
    </row>
    <row r="40" spans="1:50" s="56" customFormat="1" ht="28.9" customHeight="1" x14ac:dyDescent="0.25">
      <c r="A40" s="133" t="s">
        <v>199</v>
      </c>
      <c r="B40" s="121"/>
      <c r="C40" s="89" t="s">
        <v>182</v>
      </c>
      <c r="D40" s="81"/>
      <c r="E40" s="81"/>
      <c r="F40" s="81"/>
      <c r="G40" s="82"/>
      <c r="H40" s="83"/>
      <c r="I40" s="83"/>
      <c r="J40" s="83"/>
      <c r="K40" s="83"/>
      <c r="L40" s="83"/>
      <c r="M40" s="83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202">
        <v>0</v>
      </c>
      <c r="AN40" s="202">
        <v>0</v>
      </c>
      <c r="AO40" s="202">
        <f t="shared" si="10"/>
        <v>0</v>
      </c>
      <c r="AP40" s="202">
        <v>0</v>
      </c>
      <c r="AQ40" s="202">
        <v>0</v>
      </c>
      <c r="AR40" s="202">
        <f t="shared" si="14"/>
        <v>0</v>
      </c>
      <c r="AS40" s="202">
        <v>0</v>
      </c>
      <c r="AT40" s="86">
        <v>770000</v>
      </c>
      <c r="AU40" s="227">
        <f t="shared" si="11"/>
        <v>770000</v>
      </c>
      <c r="AV40" s="209">
        <f t="shared" si="15"/>
        <v>0</v>
      </c>
      <c r="AW40" s="209">
        <f t="shared" si="16"/>
        <v>770000</v>
      </c>
      <c r="AX40" s="209">
        <f t="shared" si="17"/>
        <v>770000</v>
      </c>
    </row>
    <row r="41" spans="1:50" s="56" customFormat="1" ht="33.75" customHeight="1" x14ac:dyDescent="0.25">
      <c r="A41" s="134" t="s">
        <v>171</v>
      </c>
      <c r="B41" s="117"/>
      <c r="C41" s="164"/>
      <c r="D41" s="164"/>
      <c r="E41" s="164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99">
        <f t="shared" ref="AM41:AX41" si="18">AM42+AM43+AM44+AM45+AM46+AM47+AM48+AM49+AM50+AM51+AM52+AM53</f>
        <v>0</v>
      </c>
      <c r="AN41" s="199" t="e">
        <f t="shared" si="18"/>
        <v>#REF!</v>
      </c>
      <c r="AO41" s="199" t="e">
        <f t="shared" si="18"/>
        <v>#REF!</v>
      </c>
      <c r="AP41" s="199">
        <f t="shared" si="18"/>
        <v>7980000</v>
      </c>
      <c r="AQ41" s="199" t="e">
        <f t="shared" si="18"/>
        <v>#REF!</v>
      </c>
      <c r="AR41" s="199" t="e">
        <f t="shared" si="18"/>
        <v>#REF!</v>
      </c>
      <c r="AS41" s="199">
        <f t="shared" si="18"/>
        <v>14700000</v>
      </c>
      <c r="AT41" s="199" t="e">
        <f t="shared" si="18"/>
        <v>#REF!</v>
      </c>
      <c r="AU41" s="199" t="e">
        <f t="shared" si="18"/>
        <v>#REF!</v>
      </c>
      <c r="AV41" s="199">
        <f t="shared" si="18"/>
        <v>22680000</v>
      </c>
      <c r="AW41" s="199" t="e">
        <f t="shared" si="18"/>
        <v>#REF!</v>
      </c>
      <c r="AX41" s="199" t="e">
        <f t="shared" si="18"/>
        <v>#REF!</v>
      </c>
    </row>
    <row r="42" spans="1:50" s="56" customFormat="1" ht="29.45" customHeight="1" x14ac:dyDescent="0.25">
      <c r="A42" s="168" t="s">
        <v>157</v>
      </c>
      <c r="B42" s="120"/>
      <c r="C42" s="84" t="s">
        <v>183</v>
      </c>
      <c r="D42" s="81"/>
      <c r="E42" s="81"/>
      <c r="F42" s="82"/>
      <c r="G42" s="82"/>
      <c r="H42" s="82"/>
      <c r="I42" s="82"/>
      <c r="J42" s="82"/>
      <c r="K42" s="82"/>
      <c r="L42" s="573" t="s">
        <v>136</v>
      </c>
      <c r="M42" s="574"/>
      <c r="N42" s="574"/>
      <c r="O42" s="574"/>
      <c r="P42" s="574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27"/>
      <c r="AB42" s="82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202">
        <v>0</v>
      </c>
      <c r="AN42" s="200" t="e">
        <f>'POA CONSOLIDADO'!#REF!</f>
        <v>#REF!</v>
      </c>
      <c r="AO42" s="202" t="e">
        <f t="shared" si="10"/>
        <v>#REF!</v>
      </c>
      <c r="AP42" s="202">
        <v>0</v>
      </c>
      <c r="AQ42" s="202">
        <v>0</v>
      </c>
      <c r="AR42" s="202">
        <f>AP42+AQ42</f>
        <v>0</v>
      </c>
      <c r="AS42" s="202">
        <v>0</v>
      </c>
      <c r="AT42" s="202">
        <v>0</v>
      </c>
      <c r="AU42" s="227">
        <f t="shared" si="11"/>
        <v>0</v>
      </c>
      <c r="AV42" s="209">
        <f t="shared" si="15"/>
        <v>0</v>
      </c>
      <c r="AW42" s="209" t="e">
        <f t="shared" si="16"/>
        <v>#REF!</v>
      </c>
      <c r="AX42" s="209" t="e">
        <f t="shared" ref="AX42:AX53" si="19">AV42+AW42</f>
        <v>#REF!</v>
      </c>
    </row>
    <row r="43" spans="1:50" s="56" customFormat="1" ht="39" customHeight="1" x14ac:dyDescent="0.25">
      <c r="A43" s="133" t="s">
        <v>156</v>
      </c>
      <c r="B43" s="120"/>
      <c r="C43" s="84" t="s">
        <v>183</v>
      </c>
      <c r="D43" s="81"/>
      <c r="E43" s="81"/>
      <c r="F43" s="82"/>
      <c r="G43" s="82"/>
      <c r="H43" s="82"/>
      <c r="I43" s="82"/>
      <c r="J43" s="82"/>
      <c r="K43" s="82"/>
      <c r="L43" s="573" t="s">
        <v>136</v>
      </c>
      <c r="M43" s="574"/>
      <c r="N43" s="574"/>
      <c r="O43" s="574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27"/>
      <c r="AB43" s="82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202">
        <v>0</v>
      </c>
      <c r="AN43" s="202">
        <v>0</v>
      </c>
      <c r="AO43" s="202">
        <f t="shared" si="10"/>
        <v>0</v>
      </c>
      <c r="AP43" s="200">
        <v>0</v>
      </c>
      <c r="AQ43" s="202" t="e">
        <f>'POA CONSOLIDADO'!#REF!</f>
        <v>#REF!</v>
      </c>
      <c r="AR43" s="202" t="e">
        <f>AP43+AQ43</f>
        <v>#REF!</v>
      </c>
      <c r="AS43" s="202">
        <v>0</v>
      </c>
      <c r="AT43" s="202">
        <v>0</v>
      </c>
      <c r="AU43" s="227">
        <f t="shared" si="11"/>
        <v>0</v>
      </c>
      <c r="AV43" s="209">
        <f t="shared" si="15"/>
        <v>0</v>
      </c>
      <c r="AW43" s="209" t="e">
        <f t="shared" ref="AV43:AW53" si="20">AN43+AQ43+AT43</f>
        <v>#REF!</v>
      </c>
      <c r="AX43" s="209" t="e">
        <f t="shared" si="19"/>
        <v>#REF!</v>
      </c>
    </row>
    <row r="44" spans="1:50" s="56" customFormat="1" ht="24" customHeight="1" x14ac:dyDescent="0.25">
      <c r="A44" s="133" t="s">
        <v>158</v>
      </c>
      <c r="B44" s="120"/>
      <c r="C44" s="84" t="s">
        <v>184</v>
      </c>
      <c r="D44" s="81"/>
      <c r="E44" s="81"/>
      <c r="F44" s="82"/>
      <c r="G44" s="82"/>
      <c r="H44" s="82"/>
      <c r="I44" s="82"/>
      <c r="J44" s="82"/>
      <c r="K44" s="82"/>
      <c r="L44" s="573" t="s">
        <v>136</v>
      </c>
      <c r="M44" s="574"/>
      <c r="N44" s="574"/>
      <c r="O44" s="574"/>
      <c r="P44" s="574"/>
      <c r="Q44" s="574"/>
      <c r="R44" s="112"/>
      <c r="S44" s="112"/>
      <c r="T44" s="112"/>
      <c r="U44" s="112"/>
      <c r="V44" s="112"/>
      <c r="W44" s="112"/>
      <c r="X44" s="112"/>
      <c r="Y44" s="112"/>
      <c r="Z44" s="113"/>
      <c r="AA44" s="113"/>
      <c r="AB44" s="91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202">
        <v>0</v>
      </c>
      <c r="AN44" s="202">
        <v>0</v>
      </c>
      <c r="AO44" s="202">
        <f t="shared" si="10"/>
        <v>0</v>
      </c>
      <c r="AP44" s="200">
        <v>7980000</v>
      </c>
      <c r="AQ44" s="202">
        <v>0</v>
      </c>
      <c r="AR44" s="202">
        <f>AP44+AQ44</f>
        <v>7980000</v>
      </c>
      <c r="AS44" s="202">
        <v>0</v>
      </c>
      <c r="AT44" s="202">
        <v>0</v>
      </c>
      <c r="AU44" s="227">
        <f t="shared" si="11"/>
        <v>0</v>
      </c>
      <c r="AV44" s="209">
        <f>AM44+AP44+AS44</f>
        <v>7980000</v>
      </c>
      <c r="AW44" s="209">
        <f>AN44+AQ44+AT44</f>
        <v>0</v>
      </c>
      <c r="AX44" s="209">
        <f t="shared" si="19"/>
        <v>7980000</v>
      </c>
    </row>
    <row r="45" spans="1:50" s="61" customFormat="1" ht="27" customHeight="1" x14ac:dyDescent="0.25">
      <c r="A45" s="133" t="s">
        <v>159</v>
      </c>
      <c r="B45" s="117"/>
      <c r="C45" s="84" t="s">
        <v>184</v>
      </c>
      <c r="D45" s="81"/>
      <c r="E45" s="81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202">
        <v>0</v>
      </c>
      <c r="AN45" s="202">
        <v>0</v>
      </c>
      <c r="AO45" s="202">
        <f t="shared" si="10"/>
        <v>0</v>
      </c>
      <c r="AP45" s="202">
        <v>0</v>
      </c>
      <c r="AQ45" s="202">
        <v>0</v>
      </c>
      <c r="AR45" s="202">
        <f t="shared" ref="AR45:AR56" si="21">AP45+AQ45</f>
        <v>0</v>
      </c>
      <c r="AS45" s="202">
        <v>14700000</v>
      </c>
      <c r="AT45" s="202">
        <v>0</v>
      </c>
      <c r="AU45" s="227">
        <f>AS45+AT45</f>
        <v>14700000</v>
      </c>
      <c r="AV45" s="209">
        <f t="shared" si="15"/>
        <v>14700000</v>
      </c>
      <c r="AW45" s="209">
        <f>AN45+AQ45+AT45</f>
        <v>0</v>
      </c>
      <c r="AX45" s="209">
        <f t="shared" si="19"/>
        <v>14700000</v>
      </c>
    </row>
    <row r="46" spans="1:50" s="56" customFormat="1" ht="27.75" customHeight="1" x14ac:dyDescent="0.25">
      <c r="A46" s="133" t="s">
        <v>160</v>
      </c>
      <c r="B46" s="122"/>
      <c r="C46" s="84" t="s">
        <v>185</v>
      </c>
      <c r="D46" s="85"/>
      <c r="E46" s="85"/>
      <c r="F46" s="83"/>
      <c r="G46" s="83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7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202">
        <v>0</v>
      </c>
      <c r="AN46" s="202">
        <v>0</v>
      </c>
      <c r="AO46" s="202">
        <f t="shared" si="10"/>
        <v>0</v>
      </c>
      <c r="AP46" s="202">
        <v>0</v>
      </c>
      <c r="AQ46" s="202">
        <v>0</v>
      </c>
      <c r="AR46" s="202">
        <v>0</v>
      </c>
      <c r="AS46" s="202">
        <v>0</v>
      </c>
      <c r="AT46" s="202" t="e">
        <f>'POA CONSOLIDADO'!#REF!</f>
        <v>#REF!</v>
      </c>
      <c r="AU46" s="227" t="e">
        <f t="shared" si="11"/>
        <v>#REF!</v>
      </c>
      <c r="AV46" s="209">
        <f t="shared" si="15"/>
        <v>0</v>
      </c>
      <c r="AW46" s="209" t="e">
        <f t="shared" si="20"/>
        <v>#REF!</v>
      </c>
      <c r="AX46" s="209" t="e">
        <f t="shared" si="19"/>
        <v>#REF!</v>
      </c>
    </row>
    <row r="47" spans="1:50" s="56" customFormat="1" ht="27.75" customHeight="1" x14ac:dyDescent="0.25">
      <c r="A47" s="133" t="s">
        <v>161</v>
      </c>
      <c r="B47" s="122"/>
      <c r="C47" s="84" t="s">
        <v>185</v>
      </c>
      <c r="D47" s="81"/>
      <c r="E47" s="81"/>
      <c r="F47" s="82"/>
      <c r="G47" s="82"/>
      <c r="H47" s="83"/>
      <c r="I47" s="83"/>
      <c r="J47" s="83"/>
      <c r="K47" s="83"/>
      <c r="L47" s="83"/>
      <c r="M47" s="83"/>
      <c r="N47" s="83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7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202">
        <v>0</v>
      </c>
      <c r="AN47" s="202">
        <v>0</v>
      </c>
      <c r="AO47" s="202">
        <f t="shared" si="10"/>
        <v>0</v>
      </c>
      <c r="AP47" s="202">
        <v>0</v>
      </c>
      <c r="AQ47" s="202">
        <v>0</v>
      </c>
      <c r="AR47" s="202">
        <f t="shared" si="21"/>
        <v>0</v>
      </c>
      <c r="AS47" s="221">
        <v>0</v>
      </c>
      <c r="AT47" s="202" t="e">
        <f>'POA CONSOLIDADO'!#REF!</f>
        <v>#REF!</v>
      </c>
      <c r="AU47" s="227" t="e">
        <f t="shared" si="11"/>
        <v>#REF!</v>
      </c>
      <c r="AV47" s="209">
        <f t="shared" si="15"/>
        <v>0</v>
      </c>
      <c r="AW47" s="209" t="e">
        <f t="shared" si="20"/>
        <v>#REF!</v>
      </c>
      <c r="AX47" s="209" t="e">
        <f t="shared" si="19"/>
        <v>#REF!</v>
      </c>
    </row>
    <row r="48" spans="1:50" s="56" customFormat="1" ht="27.75" customHeight="1" x14ac:dyDescent="0.25">
      <c r="A48" s="133" t="s">
        <v>162</v>
      </c>
      <c r="B48" s="122"/>
      <c r="C48" s="84" t="s">
        <v>186</v>
      </c>
      <c r="D48" s="81"/>
      <c r="E48" s="81"/>
      <c r="F48" s="82"/>
      <c r="G48" s="82"/>
      <c r="H48" s="83"/>
      <c r="I48" s="83"/>
      <c r="J48" s="83"/>
      <c r="K48" s="83"/>
      <c r="L48" s="83"/>
      <c r="M48" s="83"/>
      <c r="N48" s="83"/>
      <c r="O48" s="83"/>
      <c r="P48" s="83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7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202">
        <v>0</v>
      </c>
      <c r="AN48" s="202" t="e">
        <f>'POA CONSOLIDADO'!#REF!</f>
        <v>#REF!</v>
      </c>
      <c r="AO48" s="202" t="e">
        <f>AM48+AN48</f>
        <v>#REF!</v>
      </c>
      <c r="AP48" s="80">
        <v>0</v>
      </c>
      <c r="AQ48" s="202">
        <v>0</v>
      </c>
      <c r="AR48" s="202">
        <v>0</v>
      </c>
      <c r="AS48" s="202">
        <v>0</v>
      </c>
      <c r="AT48" s="202">
        <v>0</v>
      </c>
      <c r="AU48" s="227">
        <f t="shared" si="11"/>
        <v>0</v>
      </c>
      <c r="AV48" s="209">
        <f>AM48+AP48+AS48</f>
        <v>0</v>
      </c>
      <c r="AW48" s="209" t="e">
        <f>AN48+AQ48+AT48</f>
        <v>#REF!</v>
      </c>
      <c r="AX48" s="209" t="e">
        <f t="shared" si="19"/>
        <v>#REF!</v>
      </c>
    </row>
    <row r="49" spans="1:50" s="56" customFormat="1" ht="39" customHeight="1" x14ac:dyDescent="0.25">
      <c r="A49" s="133" t="s">
        <v>163</v>
      </c>
      <c r="B49" s="71"/>
      <c r="C49" s="84" t="s">
        <v>186</v>
      </c>
      <c r="D49" s="81"/>
      <c r="E49" s="81"/>
      <c r="F49" s="82"/>
      <c r="G49" s="82"/>
      <c r="H49" s="82"/>
      <c r="I49" s="83"/>
      <c r="J49" s="573" t="s">
        <v>136</v>
      </c>
      <c r="K49" s="574"/>
      <c r="L49" s="574"/>
      <c r="M49" s="574"/>
      <c r="N49" s="574"/>
      <c r="O49" s="574"/>
      <c r="P49" s="112"/>
      <c r="Q49" s="112"/>
      <c r="R49" s="112"/>
      <c r="S49" s="112"/>
      <c r="T49" s="112"/>
      <c r="U49" s="112"/>
      <c r="V49" s="112"/>
      <c r="W49" s="112"/>
      <c r="X49" s="112"/>
      <c r="Y49" s="83"/>
      <c r="Z49" s="83"/>
      <c r="AA49" s="83"/>
      <c r="AB49" s="87"/>
      <c r="AM49" s="202">
        <v>0</v>
      </c>
      <c r="AN49" s="202">
        <v>0</v>
      </c>
      <c r="AO49" s="202">
        <f t="shared" si="10"/>
        <v>0</v>
      </c>
      <c r="AP49" s="202">
        <v>0</v>
      </c>
      <c r="AQ49" s="202">
        <v>0</v>
      </c>
      <c r="AR49" s="202">
        <f t="shared" si="21"/>
        <v>0</v>
      </c>
      <c r="AS49" s="221">
        <v>0</v>
      </c>
      <c r="AT49" s="202" t="e">
        <f>'POA CONSOLIDADO'!#REF!</f>
        <v>#REF!</v>
      </c>
      <c r="AU49" s="227" t="e">
        <f t="shared" si="11"/>
        <v>#REF!</v>
      </c>
      <c r="AV49" s="209">
        <f t="shared" si="20"/>
        <v>0</v>
      </c>
      <c r="AW49" s="209" t="e">
        <f t="shared" si="20"/>
        <v>#REF!</v>
      </c>
      <c r="AX49" s="209" t="e">
        <f t="shared" si="19"/>
        <v>#REF!</v>
      </c>
    </row>
    <row r="50" spans="1:50" s="56" customFormat="1" ht="26.25" customHeight="1" x14ac:dyDescent="0.25">
      <c r="A50" s="133" t="s">
        <v>164</v>
      </c>
      <c r="B50" s="122"/>
      <c r="C50" s="84" t="s">
        <v>187</v>
      </c>
      <c r="D50" s="81"/>
      <c r="E50" s="81"/>
      <c r="F50" s="82"/>
      <c r="G50" s="82"/>
      <c r="H50" s="82"/>
      <c r="I50" s="83"/>
      <c r="J50" s="573" t="s">
        <v>136</v>
      </c>
      <c r="K50" s="574"/>
      <c r="L50" s="574"/>
      <c r="M50" s="574"/>
      <c r="N50" s="574"/>
      <c r="O50" s="574"/>
      <c r="P50" s="112"/>
      <c r="Q50" s="112"/>
      <c r="R50" s="112"/>
      <c r="S50" s="112"/>
      <c r="T50" s="112"/>
      <c r="U50" s="112"/>
      <c r="V50" s="112"/>
      <c r="W50" s="112"/>
      <c r="X50" s="112"/>
      <c r="Y50" s="83"/>
      <c r="Z50" s="83"/>
      <c r="AA50" s="83"/>
      <c r="AB50" s="87"/>
      <c r="AM50" s="200">
        <v>0</v>
      </c>
      <c r="AN50" s="202" t="e">
        <f>'POA CONSOLIDADO'!#REF!</f>
        <v>#REF!</v>
      </c>
      <c r="AO50" s="202" t="e">
        <f t="shared" si="10"/>
        <v>#REF!</v>
      </c>
      <c r="AP50" s="202">
        <v>0</v>
      </c>
      <c r="AQ50" s="202">
        <v>0</v>
      </c>
      <c r="AR50" s="202">
        <f t="shared" si="21"/>
        <v>0</v>
      </c>
      <c r="AS50" s="202">
        <v>0</v>
      </c>
      <c r="AT50" s="202">
        <v>0</v>
      </c>
      <c r="AU50" s="227">
        <f t="shared" si="11"/>
        <v>0</v>
      </c>
      <c r="AV50" s="209">
        <f t="shared" si="20"/>
        <v>0</v>
      </c>
      <c r="AW50" s="209" t="e">
        <f t="shared" si="20"/>
        <v>#REF!</v>
      </c>
      <c r="AX50" s="209" t="e">
        <f t="shared" si="19"/>
        <v>#REF!</v>
      </c>
    </row>
    <row r="51" spans="1:50" s="56" customFormat="1" ht="24.75" customHeight="1" x14ac:dyDescent="0.25">
      <c r="A51" s="133" t="s">
        <v>165</v>
      </c>
      <c r="B51" s="122"/>
      <c r="C51" s="84" t="s">
        <v>187</v>
      </c>
      <c r="D51" s="85"/>
      <c r="E51" s="85"/>
      <c r="F51" s="83"/>
      <c r="G51" s="83"/>
      <c r="H51" s="83"/>
      <c r="I51" s="83"/>
      <c r="J51" s="83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7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202">
        <v>0</v>
      </c>
      <c r="AN51" s="202">
        <v>0</v>
      </c>
      <c r="AO51" s="202">
        <f t="shared" si="10"/>
        <v>0</v>
      </c>
      <c r="AP51" s="202">
        <v>0</v>
      </c>
      <c r="AQ51" s="202" t="e">
        <f>'POA CONSOLIDADO'!#REF!</f>
        <v>#REF!</v>
      </c>
      <c r="AR51" s="202" t="e">
        <f t="shared" si="21"/>
        <v>#REF!</v>
      </c>
      <c r="AS51" s="202">
        <v>0</v>
      </c>
      <c r="AT51" s="202">
        <v>0</v>
      </c>
      <c r="AU51" s="227">
        <f t="shared" si="11"/>
        <v>0</v>
      </c>
      <c r="AV51" s="209">
        <f t="shared" si="20"/>
        <v>0</v>
      </c>
      <c r="AW51" s="209" t="e">
        <f t="shared" si="20"/>
        <v>#REF!</v>
      </c>
      <c r="AX51" s="209" t="e">
        <f t="shared" si="19"/>
        <v>#REF!</v>
      </c>
    </row>
    <row r="52" spans="1:50" s="56" customFormat="1" ht="33" customHeight="1" x14ac:dyDescent="0.25">
      <c r="A52" s="133" t="s">
        <v>166</v>
      </c>
      <c r="B52" s="122"/>
      <c r="C52" s="84" t="s">
        <v>188</v>
      </c>
      <c r="D52" s="85"/>
      <c r="E52" s="85"/>
      <c r="F52" s="83"/>
      <c r="G52" s="83"/>
      <c r="H52" s="83"/>
      <c r="I52" s="83"/>
      <c r="J52" s="83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7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200">
        <v>0</v>
      </c>
      <c r="AN52" s="202" t="e">
        <f>'POA CONSOLIDADO'!#REF!</f>
        <v>#REF!</v>
      </c>
      <c r="AO52" s="202" t="e">
        <f t="shared" si="10"/>
        <v>#REF!</v>
      </c>
      <c r="AP52" s="202">
        <v>0</v>
      </c>
      <c r="AQ52" s="202">
        <v>0</v>
      </c>
      <c r="AR52" s="202">
        <f t="shared" si="21"/>
        <v>0</v>
      </c>
      <c r="AS52" s="202">
        <v>0</v>
      </c>
      <c r="AT52" s="202">
        <v>0</v>
      </c>
      <c r="AU52" s="227">
        <f t="shared" si="11"/>
        <v>0</v>
      </c>
      <c r="AV52" s="209">
        <f t="shared" si="20"/>
        <v>0</v>
      </c>
      <c r="AW52" s="209" t="e">
        <f t="shared" si="20"/>
        <v>#REF!</v>
      </c>
      <c r="AX52" s="209" t="e">
        <f t="shared" si="19"/>
        <v>#REF!</v>
      </c>
    </row>
    <row r="53" spans="1:50" s="56" customFormat="1" ht="36" customHeight="1" x14ac:dyDescent="0.25">
      <c r="A53" s="133" t="s">
        <v>167</v>
      </c>
      <c r="B53" s="122"/>
      <c r="C53" s="84" t="s">
        <v>188</v>
      </c>
      <c r="D53" s="85"/>
      <c r="E53" s="85"/>
      <c r="F53" s="74"/>
      <c r="G53" s="74"/>
      <c r="H53" s="74"/>
      <c r="I53" s="74"/>
      <c r="J53" s="74"/>
      <c r="AB53" s="87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202">
        <v>0</v>
      </c>
      <c r="AN53" s="202">
        <v>0</v>
      </c>
      <c r="AO53" s="202">
        <f t="shared" si="10"/>
        <v>0</v>
      </c>
      <c r="AP53" s="202">
        <v>0</v>
      </c>
      <c r="AQ53" s="202" t="e">
        <f>'POA CONSOLIDADO'!#REF!</f>
        <v>#REF!</v>
      </c>
      <c r="AR53" s="202" t="e">
        <f t="shared" si="21"/>
        <v>#REF!</v>
      </c>
      <c r="AS53" s="202">
        <v>0</v>
      </c>
      <c r="AT53" s="202">
        <v>0</v>
      </c>
      <c r="AU53" s="227">
        <f t="shared" si="11"/>
        <v>0</v>
      </c>
      <c r="AV53" s="209">
        <f t="shared" si="20"/>
        <v>0</v>
      </c>
      <c r="AW53" s="209" t="e">
        <f t="shared" si="20"/>
        <v>#REF!</v>
      </c>
      <c r="AX53" s="209" t="e">
        <f t="shared" si="19"/>
        <v>#REF!</v>
      </c>
    </row>
    <row r="54" spans="1:50" s="56" customFormat="1" ht="18.600000000000001" customHeight="1" x14ac:dyDescent="0.25">
      <c r="A54" s="174" t="s">
        <v>173</v>
      </c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222">
        <f>AM55+AM56</f>
        <v>0</v>
      </c>
      <c r="AN54" s="222">
        <f t="shared" ref="AN54:AS54" si="22">AN55+AN56</f>
        <v>627000</v>
      </c>
      <c r="AO54" s="222">
        <f t="shared" si="22"/>
        <v>627000</v>
      </c>
      <c r="AP54" s="222">
        <f t="shared" si="22"/>
        <v>370000</v>
      </c>
      <c r="AQ54" s="222">
        <f t="shared" si="22"/>
        <v>255000</v>
      </c>
      <c r="AR54" s="222">
        <f t="shared" si="22"/>
        <v>625000</v>
      </c>
      <c r="AS54" s="222">
        <f t="shared" si="22"/>
        <v>550000</v>
      </c>
      <c r="AT54" s="222">
        <f>AT55+AT56</f>
        <v>75000</v>
      </c>
      <c r="AU54" s="222">
        <f>AU55+AU56</f>
        <v>625000</v>
      </c>
      <c r="AV54" s="222">
        <f>AV55+AV56</f>
        <v>920000</v>
      </c>
      <c r="AW54" s="222">
        <f>AW55+AW56</f>
        <v>957000</v>
      </c>
      <c r="AX54" s="222">
        <f>AX55+AX56</f>
        <v>1877000</v>
      </c>
    </row>
    <row r="55" spans="1:50" s="56" customFormat="1" ht="13.5" customHeight="1" x14ac:dyDescent="0.25">
      <c r="A55" s="135" t="s">
        <v>203</v>
      </c>
      <c r="B55" s="100"/>
      <c r="C55" s="97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201">
        <v>0</v>
      </c>
      <c r="AN55" s="202">
        <v>550000</v>
      </c>
      <c r="AO55" s="202">
        <f t="shared" si="10"/>
        <v>550000</v>
      </c>
      <c r="AP55" s="201">
        <f>550000-AQ55</f>
        <v>370000</v>
      </c>
      <c r="AQ55" s="202">
        <v>180000</v>
      </c>
      <c r="AR55" s="202">
        <f t="shared" si="21"/>
        <v>550000</v>
      </c>
      <c r="AS55" s="188">
        <v>550000</v>
      </c>
      <c r="AT55" s="202">
        <v>0</v>
      </c>
      <c r="AU55" s="227">
        <f t="shared" si="11"/>
        <v>550000</v>
      </c>
      <c r="AV55" s="209">
        <f>AM55+AP55+AS55</f>
        <v>920000</v>
      </c>
      <c r="AW55" s="209">
        <f>AN55+AQ55+AT55</f>
        <v>730000</v>
      </c>
      <c r="AX55" s="209">
        <f>AV55+AW55</f>
        <v>1650000</v>
      </c>
    </row>
    <row r="56" spans="1:50" s="56" customFormat="1" ht="17.25" customHeight="1" x14ac:dyDescent="0.25">
      <c r="A56" s="136" t="s">
        <v>90</v>
      </c>
      <c r="B56" s="101"/>
      <c r="C56" s="137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202">
        <v>0</v>
      </c>
      <c r="AN56" s="202">
        <v>77000</v>
      </c>
      <c r="AO56" s="202">
        <f t="shared" si="10"/>
        <v>77000</v>
      </c>
      <c r="AP56" s="202">
        <v>0</v>
      </c>
      <c r="AQ56" s="202">
        <v>75000</v>
      </c>
      <c r="AR56" s="202">
        <f t="shared" si="21"/>
        <v>75000</v>
      </c>
      <c r="AS56" s="202">
        <v>0</v>
      </c>
      <c r="AT56" s="202">
        <v>75000</v>
      </c>
      <c r="AU56" s="227">
        <f t="shared" si="11"/>
        <v>75000</v>
      </c>
      <c r="AV56" s="209">
        <f>AM56+AP56+AS56</f>
        <v>0</v>
      </c>
      <c r="AW56" s="209">
        <f>AN56+AQ56+AT56</f>
        <v>227000</v>
      </c>
      <c r="AX56" s="209">
        <f>AV56+AW56</f>
        <v>227000</v>
      </c>
    </row>
    <row r="57" spans="1:50" s="56" customFormat="1" ht="14.25" customHeight="1" x14ac:dyDescent="0.25">
      <c r="A57" s="178" t="s">
        <v>172</v>
      </c>
      <c r="B57" s="179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203"/>
      <c r="AN57" s="173"/>
      <c r="AO57" s="173"/>
      <c r="AP57" s="180"/>
      <c r="AQ57" s="203"/>
      <c r="AR57" s="181"/>
      <c r="AS57" s="169"/>
      <c r="AT57" s="180"/>
      <c r="AU57" s="180"/>
      <c r="AV57" s="172"/>
      <c r="AW57" s="172"/>
      <c r="AX57" s="172"/>
    </row>
    <row r="58" spans="1:50" s="56" customFormat="1" ht="28.5" customHeight="1" x14ac:dyDescent="0.25">
      <c r="A58" s="223" t="s">
        <v>189</v>
      </c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5" t="e">
        <f t="shared" ref="AM58:AX58" si="23">AM9+AM25+AM54</f>
        <v>#REF!</v>
      </c>
      <c r="AN58" s="225" t="e">
        <f t="shared" si="23"/>
        <v>#REF!</v>
      </c>
      <c r="AO58" s="225" t="e">
        <f t="shared" si="23"/>
        <v>#REF!</v>
      </c>
      <c r="AP58" s="225" t="e">
        <f t="shared" si="23"/>
        <v>#REF!</v>
      </c>
      <c r="AQ58" s="225" t="e">
        <f t="shared" si="23"/>
        <v>#REF!</v>
      </c>
      <c r="AR58" s="225" t="e">
        <f t="shared" si="23"/>
        <v>#REF!</v>
      </c>
      <c r="AS58" s="225" t="e">
        <f t="shared" si="23"/>
        <v>#REF!</v>
      </c>
      <c r="AT58" s="225" t="e">
        <f t="shared" si="23"/>
        <v>#REF!</v>
      </c>
      <c r="AU58" s="225" t="e">
        <f t="shared" si="23"/>
        <v>#REF!</v>
      </c>
      <c r="AV58" s="225" t="e">
        <f t="shared" si="23"/>
        <v>#REF!</v>
      </c>
      <c r="AW58" s="225" t="e">
        <f t="shared" si="23"/>
        <v>#REF!</v>
      </c>
      <c r="AX58" s="225" t="e">
        <f t="shared" si="23"/>
        <v>#REF!</v>
      </c>
    </row>
    <row r="59" spans="1:50" s="63" customFormat="1" ht="18" customHeight="1" x14ac:dyDescent="0.25">
      <c r="A59" s="62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125"/>
      <c r="AC59" s="125"/>
      <c r="AD59" s="125"/>
      <c r="AE59" s="59"/>
      <c r="AF59" s="59"/>
      <c r="AG59" s="59"/>
      <c r="AH59" s="59"/>
      <c r="AI59" s="59"/>
      <c r="AJ59" s="59"/>
      <c r="AK59" s="59"/>
      <c r="AL59" s="59"/>
      <c r="AM59" s="125"/>
      <c r="AN59" s="125"/>
      <c r="AO59" s="59"/>
      <c r="AP59" s="125"/>
      <c r="AQ59" s="125"/>
      <c r="AR59" s="59"/>
      <c r="AS59" s="125"/>
      <c r="AT59" s="125"/>
      <c r="AV59" s="228" t="e">
        <f>AV58+AW58-AX58</f>
        <v>#REF!</v>
      </c>
      <c r="AW59" s="228" t="e">
        <f>20000000-AW58</f>
        <v>#REF!</v>
      </c>
      <c r="AX59" s="228" t="e">
        <f>29768000-AX41</f>
        <v>#REF!</v>
      </c>
    </row>
    <row r="60" spans="1:50" s="63" customFormat="1" ht="11.25" customHeight="1" x14ac:dyDescent="0.25">
      <c r="A60" s="62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229" t="e">
        <f>AM58+AN58-AO58</f>
        <v>#REF!</v>
      </c>
      <c r="AN60" s="59"/>
      <c r="AO60" s="59"/>
      <c r="AP60" s="59"/>
      <c r="AQ60" s="59"/>
      <c r="AR60" s="59"/>
      <c r="AU60" s="228" t="e">
        <f>AU58+AR58+AO58</f>
        <v>#REF!</v>
      </c>
    </row>
    <row r="61" spans="1:50" s="63" customFormat="1" ht="17.25" customHeight="1" x14ac:dyDescent="0.25">
      <c r="A61" s="62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</row>
    <row r="62" spans="1:50" s="63" customFormat="1" ht="15" customHeight="1" x14ac:dyDescent="0.25">
      <c r="A62" s="62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125"/>
      <c r="AO62" s="59"/>
      <c r="AP62" s="59"/>
      <c r="AQ62" s="59"/>
      <c r="AR62" s="59"/>
    </row>
    <row r="63" spans="1:50" s="63" customFormat="1" ht="16.5" customHeight="1" x14ac:dyDescent="0.25">
      <c r="A63" s="62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</row>
    <row r="64" spans="1:50" s="63" customFormat="1" ht="18.75" customHeight="1" x14ac:dyDescent="0.25">
      <c r="A64" s="62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</row>
    <row r="65" spans="1:44" s="63" customFormat="1" ht="9" customHeight="1" x14ac:dyDescent="0.25">
      <c r="A65" s="62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</row>
    <row r="66" spans="1:44" s="63" customFormat="1" ht="17.25" customHeight="1" x14ac:dyDescent="0.25">
      <c r="A66" s="62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</row>
    <row r="67" spans="1:44" s="63" customFormat="1" ht="18" customHeight="1" x14ac:dyDescent="0.25">
      <c r="A67" s="62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</row>
    <row r="68" spans="1:44" ht="13.5" x14ac:dyDescent="0.25"/>
    <row r="69" spans="1:44" ht="13.5" x14ac:dyDescent="0.25"/>
    <row r="70" spans="1:44" ht="13.5" x14ac:dyDescent="0.25"/>
    <row r="71" spans="1:44" ht="13.5" x14ac:dyDescent="0.25"/>
    <row r="72" spans="1:44" ht="13.5" x14ac:dyDescent="0.25"/>
    <row r="73" spans="1:44" ht="13.5" x14ac:dyDescent="0.25"/>
    <row r="74" spans="1:44" ht="13.5" x14ac:dyDescent="0.25"/>
    <row r="75" spans="1:44" ht="13.5" x14ac:dyDescent="0.25"/>
    <row r="76" spans="1:44" ht="13.5" x14ac:dyDescent="0.25"/>
    <row r="77" spans="1:44" ht="13.5" x14ac:dyDescent="0.25"/>
    <row r="78" spans="1:44" ht="13.5" x14ac:dyDescent="0.25"/>
    <row r="79" spans="1:44" ht="13.5" x14ac:dyDescent="0.25"/>
    <row r="80" spans="1:44" ht="13.5" x14ac:dyDescent="0.25"/>
    <row r="81" ht="13.5" x14ac:dyDescent="0.25"/>
    <row r="82" ht="13.5" x14ac:dyDescent="0.25"/>
    <row r="83" ht="13.5" x14ac:dyDescent="0.25"/>
    <row r="84" ht="13.5" x14ac:dyDescent="0.25"/>
    <row r="85" ht="13.5" hidden="1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0" hidden="1" customHeight="1" x14ac:dyDescent="0.25"/>
  </sheetData>
  <mergeCells count="20">
    <mergeCell ref="AV6:AX6"/>
    <mergeCell ref="AV8:AX8"/>
    <mergeCell ref="L44:Q44"/>
    <mergeCell ref="J49:O49"/>
    <mergeCell ref="J50:O50"/>
    <mergeCell ref="L30:V30"/>
    <mergeCell ref="AS8:AU8"/>
    <mergeCell ref="AP6:AR6"/>
    <mergeCell ref="AS6:AU6"/>
    <mergeCell ref="L29:V29"/>
    <mergeCell ref="A4:AQ4"/>
    <mergeCell ref="A10:B10"/>
    <mergeCell ref="L42:P42"/>
    <mergeCell ref="L43:O43"/>
    <mergeCell ref="D6:N6"/>
    <mergeCell ref="O6:Z6"/>
    <mergeCell ref="AB6:AL6"/>
    <mergeCell ref="AP8:AR8"/>
    <mergeCell ref="AM8:AO8"/>
    <mergeCell ref="AM6:AO6"/>
  </mergeCells>
  <phoneticPr fontId="18" type="noConversion"/>
  <printOptions horizontalCentered="1"/>
  <pageMargins left="0.15748031496062992" right="0.15748031496062992" top="0.74803149606299213" bottom="0.74803149606299213" header="0.31496062992125984" footer="0.31496062992125984"/>
  <pageSetup paperSize="5" orientation="landscape" horizontalDpi="300" verticalDpi="300" r:id="rId1"/>
  <headerFooter alignWithMargins="0">
    <oddHeader xml:space="preserve">&amp;C&amp;9MINISTERIO DE EDUCACIÓN 
OFICINA DE PROYECTOS
PLAN OPERATIVO ANUAL 
</oddHeader>
    <oddFooter>&amp;LPRODE&amp;CPage 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F109"/>
  <sheetViews>
    <sheetView topLeftCell="O78" zoomScale="82" zoomScaleNormal="82" workbookViewId="0">
      <selection activeCell="T109" sqref="T109"/>
    </sheetView>
  </sheetViews>
  <sheetFormatPr defaultColWidth="11.42578125" defaultRowHeight="15" x14ac:dyDescent="0.25"/>
  <cols>
    <col min="1" max="1" width="4" bestFit="1" customWidth="1"/>
    <col min="2" max="2" width="10.28515625" style="473" bestFit="1" customWidth="1"/>
    <col min="3" max="3" width="34.42578125" style="474" bestFit="1" customWidth="1"/>
    <col min="4" max="4" width="13" customWidth="1"/>
    <col min="5" max="5" width="15.85546875" customWidth="1"/>
    <col min="6" max="6" width="21" customWidth="1"/>
    <col min="7" max="7" width="20" customWidth="1"/>
    <col min="8" max="8" width="8" customWidth="1"/>
    <col min="9" max="9" width="11.42578125" customWidth="1"/>
    <col min="10" max="10" width="15" customWidth="1"/>
    <col min="11" max="11" width="21.7109375" customWidth="1"/>
    <col min="12" max="12" width="21.140625" customWidth="1"/>
    <col min="13" max="13" width="9" customWidth="1"/>
    <col min="14" max="14" width="21.140625" customWidth="1"/>
    <col min="15" max="15" width="20" customWidth="1"/>
    <col min="16" max="17" width="22.5703125" customWidth="1"/>
    <col min="18" max="19" width="20" customWidth="1"/>
    <col min="20" max="20" width="19.140625" customWidth="1"/>
    <col min="21" max="21" width="25.42578125" customWidth="1"/>
    <col min="22" max="22" width="19.5703125" customWidth="1"/>
    <col min="23" max="23" width="10.5703125" style="64" hidden="1" customWidth="1"/>
    <col min="24" max="24" width="14.85546875" style="64" hidden="1" customWidth="1"/>
    <col min="25" max="25" width="16.5703125" hidden="1" customWidth="1"/>
    <col min="26" max="26" width="21.28515625" style="476" customWidth="1"/>
    <col min="27" max="27" width="16.85546875" customWidth="1"/>
    <col min="28" max="28" width="20.140625" customWidth="1"/>
    <col min="29" max="29" width="36.5703125" customWidth="1"/>
    <col min="30" max="31" width="20.140625" customWidth="1"/>
  </cols>
  <sheetData>
    <row r="1" spans="1:32" s="5" customFormat="1" ht="75.75" customHeight="1" x14ac:dyDescent="0.25">
      <c r="A1" s="358" t="s">
        <v>465</v>
      </c>
      <c r="B1" s="359" t="s">
        <v>466</v>
      </c>
      <c r="C1" s="359" t="s">
        <v>467</v>
      </c>
      <c r="D1" s="359" t="s">
        <v>229</v>
      </c>
      <c r="E1" s="359" t="s">
        <v>468</v>
      </c>
      <c r="F1" s="359" t="s">
        <v>469</v>
      </c>
      <c r="G1" s="359" t="s">
        <v>470</v>
      </c>
      <c r="H1" s="360" t="s">
        <v>471</v>
      </c>
      <c r="I1" s="361" t="s">
        <v>472</v>
      </c>
      <c r="J1" s="362" t="s">
        <v>473</v>
      </c>
      <c r="K1" s="362" t="s">
        <v>258</v>
      </c>
      <c r="L1" s="363" t="s">
        <v>474</v>
      </c>
      <c r="M1" s="364" t="s">
        <v>475</v>
      </c>
      <c r="N1" s="364" t="s">
        <v>476</v>
      </c>
      <c r="O1" s="363" t="s">
        <v>477</v>
      </c>
      <c r="P1" s="364" t="s">
        <v>478</v>
      </c>
      <c r="Q1" s="364" t="s">
        <v>479</v>
      </c>
      <c r="R1" s="363" t="s">
        <v>480</v>
      </c>
      <c r="S1" s="365" t="s">
        <v>481</v>
      </c>
      <c r="T1" s="365" t="s">
        <v>34</v>
      </c>
      <c r="U1" s="366" t="s">
        <v>482</v>
      </c>
      <c r="V1" s="367" t="s">
        <v>483</v>
      </c>
      <c r="W1" s="368" t="s">
        <v>484</v>
      </c>
      <c r="X1" s="368" t="s">
        <v>485</v>
      </c>
      <c r="Y1" s="369" t="s">
        <v>486</v>
      </c>
      <c r="Z1" s="370" t="s">
        <v>487</v>
      </c>
      <c r="AA1" s="371" t="s">
        <v>488</v>
      </c>
      <c r="AB1" s="372" t="s">
        <v>489</v>
      </c>
      <c r="AC1" s="372" t="s">
        <v>490</v>
      </c>
      <c r="AD1" s="373" t="s">
        <v>258</v>
      </c>
    </row>
    <row r="2" spans="1:32" s="5" customFormat="1" ht="31.5" hidden="1" customHeight="1" x14ac:dyDescent="0.25">
      <c r="A2" s="374">
        <v>91</v>
      </c>
      <c r="B2" s="375" t="s">
        <v>491</v>
      </c>
      <c r="C2" s="376" t="s">
        <v>492</v>
      </c>
      <c r="D2" s="377" t="s">
        <v>493</v>
      </c>
      <c r="E2" s="377" t="s">
        <v>494</v>
      </c>
      <c r="F2" s="377" t="s">
        <v>495</v>
      </c>
      <c r="G2" s="377" t="s">
        <v>496</v>
      </c>
      <c r="H2" s="378">
        <v>2</v>
      </c>
      <c r="I2" s="377" t="s">
        <v>494</v>
      </c>
      <c r="J2" s="377">
        <v>413</v>
      </c>
      <c r="K2" s="346">
        <v>0</v>
      </c>
      <c r="L2" s="346">
        <v>145985400</v>
      </c>
      <c r="M2" s="379">
        <v>0.09</v>
      </c>
      <c r="N2" s="346">
        <f>+L2*(1+'[1]cuadro resumen'!$B$9)*(1+'[1]cuadro resumen'!$C$9)</f>
        <v>159416056.80000001</v>
      </c>
      <c r="O2" s="346">
        <f t="shared" ref="O2:O43" si="0">+N2*0.18</f>
        <v>28694890.223999999</v>
      </c>
      <c r="P2" s="346">
        <f>+K2*(1+'[1]cuadro resumen'!$B$9)*(1+'[1]cuadro resumen'!$C$9)</f>
        <v>0</v>
      </c>
      <c r="Q2" s="346">
        <f>+S2*(1+'[1]cuadro resumen'!$B$9)*(1+'[1]cuadro resumen'!$C$9)</f>
        <v>0</v>
      </c>
      <c r="R2" s="346">
        <f t="shared" ref="R2:R33" si="1">N2*0.08</f>
        <v>12753284.544000002</v>
      </c>
      <c r="S2" s="346">
        <v>0</v>
      </c>
      <c r="T2" s="346">
        <f t="shared" ref="T2:T33" si="2">SUM(N2:R2)</f>
        <v>200864231.56800002</v>
      </c>
      <c r="U2" s="380" t="s">
        <v>497</v>
      </c>
      <c r="V2" s="381">
        <v>413</v>
      </c>
      <c r="W2" s="382">
        <f t="shared" ref="W2:W33" si="3">P2/504.424188278682</f>
        <v>0</v>
      </c>
      <c r="X2" s="382">
        <f t="shared" ref="X2:X33" si="4">Q2/504.424188278682</f>
        <v>0</v>
      </c>
      <c r="Y2" s="382">
        <f t="shared" ref="Y2:Y33" si="5">T2/504.424188278682</f>
        <v>398204.99538976798</v>
      </c>
      <c r="Z2" s="383" t="s">
        <v>498</v>
      </c>
      <c r="AA2" s="383" t="s">
        <v>499</v>
      </c>
      <c r="AB2" s="347">
        <v>1</v>
      </c>
      <c r="AC2" s="384">
        <v>5</v>
      </c>
      <c r="AD2" s="385">
        <v>0</v>
      </c>
      <c r="AF2" s="386"/>
    </row>
    <row r="3" spans="1:32" s="5" customFormat="1" ht="27.75" hidden="1" customHeight="1" x14ac:dyDescent="0.25">
      <c r="A3" s="387">
        <v>36</v>
      </c>
      <c r="B3" s="388" t="s">
        <v>500</v>
      </c>
      <c r="C3" s="389" t="s">
        <v>501</v>
      </c>
      <c r="D3" s="390" t="s">
        <v>502</v>
      </c>
      <c r="E3" s="390" t="s">
        <v>502</v>
      </c>
      <c r="F3" s="390" t="s">
        <v>503</v>
      </c>
      <c r="G3" s="390" t="s">
        <v>504</v>
      </c>
      <c r="H3" s="391">
        <v>2</v>
      </c>
      <c r="I3" s="390" t="s">
        <v>502</v>
      </c>
      <c r="J3" s="390">
        <v>0</v>
      </c>
      <c r="K3" s="392">
        <v>0</v>
      </c>
      <c r="L3" s="392">
        <v>928503102.79999995</v>
      </c>
      <c r="M3" s="393">
        <v>0.09</v>
      </c>
      <c r="N3" s="392">
        <f>+L3*(1+'[1]cuadro resumen'!$B$9)*(1+'[1]cuadro resumen'!$C$9)</f>
        <v>1013925388.2575999</v>
      </c>
      <c r="O3" s="392">
        <f t="shared" si="0"/>
        <v>182506569.88636798</v>
      </c>
      <c r="P3" s="392">
        <f>+K3*(1+'[1]cuadro resumen'!$B$9)*(1+'[1]cuadro resumen'!$C$9)</f>
        <v>0</v>
      </c>
      <c r="Q3" s="392">
        <f>+S3*(1+'[1]cuadro resumen'!$B$9)*(1+'[1]cuadro resumen'!$C$9)</f>
        <v>73265332.140000001</v>
      </c>
      <c r="R3" s="392">
        <f t="shared" si="1"/>
        <v>81114031.060608</v>
      </c>
      <c r="S3" s="392">
        <v>67092795</v>
      </c>
      <c r="T3" s="392">
        <f t="shared" si="2"/>
        <v>1350811321.3445759</v>
      </c>
      <c r="U3" s="394" t="s">
        <v>505</v>
      </c>
      <c r="V3" s="395">
        <v>1000</v>
      </c>
      <c r="W3" s="396">
        <f t="shared" si="3"/>
        <v>0</v>
      </c>
      <c r="X3" s="396">
        <f t="shared" si="4"/>
        <v>145245.47760093276</v>
      </c>
      <c r="Y3" s="396">
        <f t="shared" si="5"/>
        <v>2677927.3332512868</v>
      </c>
      <c r="Z3" s="397" t="s">
        <v>498</v>
      </c>
      <c r="AA3" s="398" t="s">
        <v>506</v>
      </c>
      <c r="AB3" s="347">
        <v>1</v>
      </c>
      <c r="AC3" s="384">
        <v>3</v>
      </c>
      <c r="AD3" s="385">
        <v>0</v>
      </c>
      <c r="AF3" s="386"/>
    </row>
    <row r="4" spans="1:32" s="5" customFormat="1" ht="30" hidden="1" customHeight="1" x14ac:dyDescent="0.25">
      <c r="A4" s="399">
        <v>57</v>
      </c>
      <c r="B4" s="388">
        <v>6269</v>
      </c>
      <c r="C4" s="389" t="s">
        <v>507</v>
      </c>
      <c r="D4" s="400" t="s">
        <v>508</v>
      </c>
      <c r="E4" s="400" t="s">
        <v>509</v>
      </c>
      <c r="F4" s="400" t="s">
        <v>510</v>
      </c>
      <c r="G4" s="400" t="s">
        <v>511</v>
      </c>
      <c r="H4" s="401">
        <v>7</v>
      </c>
      <c r="I4" s="400" t="s">
        <v>512</v>
      </c>
      <c r="J4" s="400">
        <v>336</v>
      </c>
      <c r="K4" s="402">
        <v>0</v>
      </c>
      <c r="L4" s="402">
        <v>735058861.60000002</v>
      </c>
      <c r="M4" s="403">
        <v>0.09</v>
      </c>
      <c r="N4" s="402">
        <f>+L4*(1+'[1]cuadro resumen'!$B$9)*(1+'[1]cuadro resumen'!$C$9)</f>
        <v>802684276.86720014</v>
      </c>
      <c r="O4" s="402">
        <f t="shared" si="0"/>
        <v>144483169.83609602</v>
      </c>
      <c r="P4" s="402">
        <f>+K4*(1+'[1]cuadro resumen'!$B$9)*(1+'[1]cuadro resumen'!$C$9)</f>
        <v>0</v>
      </c>
      <c r="Q4" s="402">
        <f>+S4*(1+'[1]cuadro resumen'!$B$9)*(1+'[1]cuadro resumen'!$C$9)</f>
        <v>60215932.140000001</v>
      </c>
      <c r="R4" s="402">
        <f t="shared" si="1"/>
        <v>64214742.149376012</v>
      </c>
      <c r="S4" s="402">
        <v>55142795</v>
      </c>
      <c r="T4" s="402">
        <f t="shared" si="2"/>
        <v>1071598120.9926722</v>
      </c>
      <c r="U4" s="404" t="s">
        <v>505</v>
      </c>
      <c r="V4" s="405">
        <v>700</v>
      </c>
      <c r="W4" s="382">
        <f t="shared" si="3"/>
        <v>0</v>
      </c>
      <c r="X4" s="382">
        <f t="shared" si="4"/>
        <v>119375.58415960056</v>
      </c>
      <c r="Y4" s="382">
        <f t="shared" si="5"/>
        <v>2124398.76178309</v>
      </c>
      <c r="Z4" s="406" t="s">
        <v>498</v>
      </c>
      <c r="AA4" s="407" t="s">
        <v>513</v>
      </c>
      <c r="AB4" s="347">
        <v>1</v>
      </c>
      <c r="AC4" s="384">
        <v>3</v>
      </c>
      <c r="AD4" s="385">
        <v>0</v>
      </c>
      <c r="AF4" s="386"/>
    </row>
    <row r="5" spans="1:32" s="5" customFormat="1" ht="33" hidden="1" customHeight="1" x14ac:dyDescent="0.25">
      <c r="A5" s="374">
        <v>80</v>
      </c>
      <c r="B5" s="375">
        <v>6105</v>
      </c>
      <c r="C5" s="376" t="s">
        <v>514</v>
      </c>
      <c r="D5" s="408" t="s">
        <v>515</v>
      </c>
      <c r="E5" s="408" t="s">
        <v>515</v>
      </c>
      <c r="F5" s="408" t="s">
        <v>516</v>
      </c>
      <c r="G5" s="408" t="s">
        <v>517</v>
      </c>
      <c r="H5" s="409">
        <v>1</v>
      </c>
      <c r="I5" s="408" t="s">
        <v>515</v>
      </c>
      <c r="J5" s="408">
        <v>207</v>
      </c>
      <c r="K5" s="345">
        <v>0</v>
      </c>
      <c r="L5" s="345">
        <v>145985400</v>
      </c>
      <c r="M5" s="410">
        <v>0.09</v>
      </c>
      <c r="N5" s="345">
        <f>+L5*(1+'[1]cuadro resumen'!$B$9)*(1+'[1]cuadro resumen'!$C$9)</f>
        <v>159416056.80000001</v>
      </c>
      <c r="O5" s="345">
        <f t="shared" si="0"/>
        <v>28694890.223999999</v>
      </c>
      <c r="P5" s="345">
        <f>+K5*(1+'[1]cuadro resumen'!$B$9)*(1+'[1]cuadro resumen'!$C$9)</f>
        <v>0</v>
      </c>
      <c r="Q5" s="345">
        <f>+S5*(1+'[1]cuadro resumen'!$B$9)*(1+'[1]cuadro resumen'!$C$9)</f>
        <v>0</v>
      </c>
      <c r="R5" s="345">
        <f t="shared" si="1"/>
        <v>12753284.544000002</v>
      </c>
      <c r="S5" s="345">
        <v>0</v>
      </c>
      <c r="T5" s="345">
        <f t="shared" si="2"/>
        <v>200864231.56800002</v>
      </c>
      <c r="U5" s="411" t="s">
        <v>497</v>
      </c>
      <c r="V5" s="412">
        <v>207</v>
      </c>
      <c r="W5" s="396">
        <f t="shared" si="3"/>
        <v>0</v>
      </c>
      <c r="X5" s="396">
        <f t="shared" si="4"/>
        <v>0</v>
      </c>
      <c r="Y5" s="396">
        <f t="shared" si="5"/>
        <v>398204.99538976798</v>
      </c>
      <c r="Z5" s="413" t="s">
        <v>498</v>
      </c>
      <c r="AA5" s="414" t="s">
        <v>518</v>
      </c>
      <c r="AB5" s="347">
        <v>1</v>
      </c>
      <c r="AC5" s="384">
        <v>5</v>
      </c>
      <c r="AD5" s="385">
        <v>0</v>
      </c>
    </row>
    <row r="6" spans="1:32" s="64" customFormat="1" hidden="1" x14ac:dyDescent="0.25">
      <c r="A6" s="374">
        <v>95</v>
      </c>
      <c r="B6" s="375">
        <v>4222</v>
      </c>
      <c r="C6" s="376" t="s">
        <v>519</v>
      </c>
      <c r="D6" s="377" t="s">
        <v>520</v>
      </c>
      <c r="E6" s="377" t="s">
        <v>521</v>
      </c>
      <c r="F6" s="377" t="s">
        <v>522</v>
      </c>
      <c r="G6" s="377" t="s">
        <v>523</v>
      </c>
      <c r="H6" s="378">
        <v>9</v>
      </c>
      <c r="I6" s="377" t="s">
        <v>524</v>
      </c>
      <c r="J6" s="377">
        <v>1159</v>
      </c>
      <c r="K6" s="346">
        <v>0</v>
      </c>
      <c r="L6" s="346">
        <v>145985400</v>
      </c>
      <c r="M6" s="379">
        <v>0.09</v>
      </c>
      <c r="N6" s="346">
        <f>+L6*(1+'[1]cuadro resumen'!$B$9)*(1+'[1]cuadro resumen'!$C$9)</f>
        <v>159416056.80000001</v>
      </c>
      <c r="O6" s="346">
        <f t="shared" si="0"/>
        <v>28694890.223999999</v>
      </c>
      <c r="P6" s="346">
        <f>+K6*(1+'[1]cuadro resumen'!$B$9)*(1+'[1]cuadro resumen'!$C$9)</f>
        <v>0</v>
      </c>
      <c r="Q6" s="346">
        <f>+S6*(1+'[1]cuadro resumen'!$B$9)*(1+'[1]cuadro resumen'!$C$9)</f>
        <v>0</v>
      </c>
      <c r="R6" s="346">
        <f t="shared" si="1"/>
        <v>12753284.544000002</v>
      </c>
      <c r="S6" s="346">
        <v>0</v>
      </c>
      <c r="T6" s="346">
        <f t="shared" si="2"/>
        <v>200864231.56800002</v>
      </c>
      <c r="U6" s="415" t="s">
        <v>497</v>
      </c>
      <c r="V6" s="381">
        <v>1159</v>
      </c>
      <c r="W6" s="382">
        <f t="shared" si="3"/>
        <v>0</v>
      </c>
      <c r="X6" s="382">
        <f t="shared" si="4"/>
        <v>0</v>
      </c>
      <c r="Y6" s="382">
        <f t="shared" si="5"/>
        <v>398204.99538976798</v>
      </c>
      <c r="Z6" s="383" t="s">
        <v>498</v>
      </c>
      <c r="AA6" s="383" t="s">
        <v>499</v>
      </c>
      <c r="AB6" s="347">
        <v>1</v>
      </c>
      <c r="AC6" s="384">
        <v>5</v>
      </c>
      <c r="AD6" s="385">
        <v>0</v>
      </c>
    </row>
    <row r="7" spans="1:32" s="64" customFormat="1" hidden="1" x14ac:dyDescent="0.25">
      <c r="A7" s="374">
        <v>99</v>
      </c>
      <c r="B7" s="375" t="s">
        <v>525</v>
      </c>
      <c r="C7" s="376" t="s">
        <v>526</v>
      </c>
      <c r="D7" s="377" t="s">
        <v>527</v>
      </c>
      <c r="E7" s="377" t="s">
        <v>528</v>
      </c>
      <c r="F7" s="377" t="s">
        <v>529</v>
      </c>
      <c r="G7" s="377" t="s">
        <v>529</v>
      </c>
      <c r="H7" s="378">
        <v>4</v>
      </c>
      <c r="I7" s="377" t="s">
        <v>530</v>
      </c>
      <c r="J7" s="377">
        <v>405</v>
      </c>
      <c r="K7" s="346">
        <v>0</v>
      </c>
      <c r="L7" s="346">
        <v>145985400</v>
      </c>
      <c r="M7" s="379">
        <v>0.09</v>
      </c>
      <c r="N7" s="346">
        <f>+L7*(1+'[1]cuadro resumen'!$B$9)*(1+'[1]cuadro resumen'!$C$9)</f>
        <v>159416056.80000001</v>
      </c>
      <c r="O7" s="346">
        <f t="shared" si="0"/>
        <v>28694890.223999999</v>
      </c>
      <c r="P7" s="346">
        <f>+K7*(1+'[1]cuadro resumen'!$B$9)*(1+'[1]cuadro resumen'!$C$9)</f>
        <v>0</v>
      </c>
      <c r="Q7" s="346">
        <f>+S7*(1+'[1]cuadro resumen'!$B$9)*(1+'[1]cuadro resumen'!$C$9)</f>
        <v>0</v>
      </c>
      <c r="R7" s="346">
        <f t="shared" si="1"/>
        <v>12753284.544000002</v>
      </c>
      <c r="S7" s="346">
        <v>0</v>
      </c>
      <c r="T7" s="346">
        <f t="shared" si="2"/>
        <v>200864231.56800002</v>
      </c>
      <c r="U7" s="380" t="s">
        <v>497</v>
      </c>
      <c r="V7" s="381">
        <v>405</v>
      </c>
      <c r="W7" s="382">
        <f t="shared" si="3"/>
        <v>0</v>
      </c>
      <c r="X7" s="382">
        <f t="shared" si="4"/>
        <v>0</v>
      </c>
      <c r="Y7" s="382">
        <f t="shared" si="5"/>
        <v>398204.99538976798</v>
      </c>
      <c r="Z7" s="383" t="s">
        <v>498</v>
      </c>
      <c r="AA7" s="383" t="s">
        <v>499</v>
      </c>
      <c r="AB7" s="347">
        <v>1</v>
      </c>
      <c r="AC7" s="384">
        <v>5</v>
      </c>
      <c r="AD7" s="385">
        <v>0</v>
      </c>
      <c r="AF7" s="386"/>
    </row>
    <row r="8" spans="1:32" s="64" customFormat="1" ht="30" hidden="1" customHeight="1" x14ac:dyDescent="0.25">
      <c r="A8" s="374">
        <v>101</v>
      </c>
      <c r="B8" s="375" t="s">
        <v>531</v>
      </c>
      <c r="C8" s="376" t="s">
        <v>532</v>
      </c>
      <c r="D8" s="377" t="s">
        <v>508</v>
      </c>
      <c r="E8" s="377" t="s">
        <v>533</v>
      </c>
      <c r="F8" s="377" t="s">
        <v>534</v>
      </c>
      <c r="G8" s="377" t="s">
        <v>534</v>
      </c>
      <c r="H8" s="378">
        <v>2</v>
      </c>
      <c r="I8" s="377" t="s">
        <v>535</v>
      </c>
      <c r="J8" s="377">
        <v>611</v>
      </c>
      <c r="K8" s="346">
        <v>0</v>
      </c>
      <c r="L8" s="346">
        <v>145985400</v>
      </c>
      <c r="M8" s="379">
        <v>0.09</v>
      </c>
      <c r="N8" s="346">
        <f>+L8*(1+'[1]cuadro resumen'!$B$9)*(1+'[1]cuadro resumen'!$C$9)</f>
        <v>159416056.80000001</v>
      </c>
      <c r="O8" s="346">
        <f t="shared" si="0"/>
        <v>28694890.223999999</v>
      </c>
      <c r="P8" s="346">
        <f>+K8*(1+'[1]cuadro resumen'!$B$9)*(1+'[1]cuadro resumen'!$C$9)</f>
        <v>0</v>
      </c>
      <c r="Q8" s="346">
        <f>+S8*(1+'[1]cuadro resumen'!$B$9)*(1+'[1]cuadro resumen'!$C$9)</f>
        <v>0</v>
      </c>
      <c r="R8" s="346">
        <f t="shared" si="1"/>
        <v>12753284.544000002</v>
      </c>
      <c r="S8" s="346">
        <v>0</v>
      </c>
      <c r="T8" s="346">
        <f t="shared" si="2"/>
        <v>200864231.56800002</v>
      </c>
      <c r="U8" s="380" t="s">
        <v>497</v>
      </c>
      <c r="V8" s="381">
        <v>611</v>
      </c>
      <c r="W8" s="382">
        <f t="shared" si="3"/>
        <v>0</v>
      </c>
      <c r="X8" s="382">
        <f t="shared" si="4"/>
        <v>0</v>
      </c>
      <c r="Y8" s="382">
        <f t="shared" si="5"/>
        <v>398204.99538976798</v>
      </c>
      <c r="Z8" s="383" t="s">
        <v>498</v>
      </c>
      <c r="AA8" s="383" t="s">
        <v>499</v>
      </c>
      <c r="AB8" s="347">
        <v>1</v>
      </c>
      <c r="AC8" s="384">
        <v>5</v>
      </c>
      <c r="AD8" s="385">
        <v>0</v>
      </c>
      <c r="AF8" s="386"/>
    </row>
    <row r="9" spans="1:32" s="64" customFormat="1" ht="60" hidden="1" customHeight="1" x14ac:dyDescent="0.25">
      <c r="A9" s="399">
        <v>16</v>
      </c>
      <c r="B9" s="388" t="s">
        <v>536</v>
      </c>
      <c r="C9" s="389" t="s">
        <v>537</v>
      </c>
      <c r="D9" s="400" t="s">
        <v>538</v>
      </c>
      <c r="E9" s="400" t="s">
        <v>538</v>
      </c>
      <c r="F9" s="400" t="s">
        <v>539</v>
      </c>
      <c r="G9" s="400" t="s">
        <v>540</v>
      </c>
      <c r="H9" s="401">
        <v>4</v>
      </c>
      <c r="I9" s="400" t="s">
        <v>538</v>
      </c>
      <c r="J9" s="400">
        <v>436</v>
      </c>
      <c r="K9" s="402"/>
      <c r="L9" s="416">
        <v>1366295910.0899999</v>
      </c>
      <c r="M9" s="403">
        <v>0.09</v>
      </c>
      <c r="N9" s="402">
        <f>+L9*(1+'[1]cuadro resumen'!$B$9)*(1+'[1]cuadro resumen'!$C$9)</f>
        <v>1491995133.8182802</v>
      </c>
      <c r="O9" s="402">
        <f t="shared" si="0"/>
        <v>268559124.08729041</v>
      </c>
      <c r="P9" s="402">
        <f>+K9*(1+'[1]cuadro resumen'!$B$9)*(1+'[1]cuadro resumen'!$C$9)</f>
        <v>0</v>
      </c>
      <c r="Q9" s="402">
        <f>+S9*(1+'[1]cuadro resumen'!$B$9)*(1+'[1]cuadro resumen'!$C$9)</f>
        <v>73265332.140000001</v>
      </c>
      <c r="R9" s="402">
        <f t="shared" si="1"/>
        <v>119359610.70546243</v>
      </c>
      <c r="S9" s="402">
        <v>67092795</v>
      </c>
      <c r="T9" s="402">
        <f t="shared" si="2"/>
        <v>1953179200.7510331</v>
      </c>
      <c r="U9" s="417" t="s">
        <v>505</v>
      </c>
      <c r="V9" s="405">
        <v>1000</v>
      </c>
      <c r="W9" s="382">
        <f t="shared" si="3"/>
        <v>0</v>
      </c>
      <c r="X9" s="382">
        <f t="shared" si="4"/>
        <v>145245.47760093276</v>
      </c>
      <c r="Y9" s="382">
        <f t="shared" si="5"/>
        <v>3872096.6324318084</v>
      </c>
      <c r="Z9" s="406" t="s">
        <v>498</v>
      </c>
      <c r="AA9" s="418" t="s">
        <v>541</v>
      </c>
      <c r="AB9" s="347">
        <v>1</v>
      </c>
      <c r="AC9" s="384">
        <v>3</v>
      </c>
      <c r="AD9" s="419">
        <v>0</v>
      </c>
    </row>
    <row r="10" spans="1:32" s="64" customFormat="1" ht="30" hidden="1" customHeight="1" x14ac:dyDescent="0.25">
      <c r="A10" s="374">
        <v>90</v>
      </c>
      <c r="B10" s="375">
        <v>4198</v>
      </c>
      <c r="C10" s="376" t="s">
        <v>542</v>
      </c>
      <c r="D10" s="377" t="s">
        <v>493</v>
      </c>
      <c r="E10" s="377" t="s">
        <v>543</v>
      </c>
      <c r="F10" s="377" t="s">
        <v>543</v>
      </c>
      <c r="G10" s="377" t="s">
        <v>544</v>
      </c>
      <c r="H10" s="375">
        <v>1</v>
      </c>
      <c r="I10" s="377" t="s">
        <v>543</v>
      </c>
      <c r="J10" s="377">
        <v>752</v>
      </c>
      <c r="K10" s="346">
        <v>0</v>
      </c>
      <c r="L10" s="346">
        <v>145985400</v>
      </c>
      <c r="M10" s="379">
        <v>0.09</v>
      </c>
      <c r="N10" s="346">
        <f>+L10*(1+'[1]cuadro resumen'!$B$9)*(1+'[1]cuadro resumen'!$C$9)</f>
        <v>159416056.80000001</v>
      </c>
      <c r="O10" s="346">
        <f t="shared" si="0"/>
        <v>28694890.223999999</v>
      </c>
      <c r="P10" s="346">
        <f>+K10*(1+'[1]cuadro resumen'!$B$9)*(1+'[1]cuadro resumen'!$C$9)</f>
        <v>0</v>
      </c>
      <c r="Q10" s="346">
        <f>+S10*(1+'[1]cuadro resumen'!$B$9)*(1+'[1]cuadro resumen'!$C$9)</f>
        <v>0</v>
      </c>
      <c r="R10" s="346">
        <f t="shared" si="1"/>
        <v>12753284.544000002</v>
      </c>
      <c r="S10" s="346">
        <v>0</v>
      </c>
      <c r="T10" s="346">
        <f t="shared" si="2"/>
        <v>200864231.56800002</v>
      </c>
      <c r="U10" s="415" t="s">
        <v>497</v>
      </c>
      <c r="V10" s="381">
        <v>752</v>
      </c>
      <c r="W10" s="382">
        <f t="shared" si="3"/>
        <v>0</v>
      </c>
      <c r="X10" s="382">
        <f t="shared" si="4"/>
        <v>0</v>
      </c>
      <c r="Y10" s="382">
        <f t="shared" si="5"/>
        <v>398204.99538976798</v>
      </c>
      <c r="Z10" s="383" t="s">
        <v>498</v>
      </c>
      <c r="AA10" s="383" t="s">
        <v>499</v>
      </c>
      <c r="AB10" s="347">
        <v>1</v>
      </c>
      <c r="AC10" s="384">
        <v>5</v>
      </c>
      <c r="AD10" s="385">
        <v>1</v>
      </c>
    </row>
    <row r="11" spans="1:32" s="64" customFormat="1" ht="30" hidden="1" customHeight="1" x14ac:dyDescent="0.25">
      <c r="A11" s="399">
        <v>3</v>
      </c>
      <c r="B11" s="388" t="s">
        <v>545</v>
      </c>
      <c r="C11" s="389" t="s">
        <v>546</v>
      </c>
      <c r="D11" s="400" t="s">
        <v>515</v>
      </c>
      <c r="E11" s="400" t="s">
        <v>547</v>
      </c>
      <c r="F11" s="400" t="s">
        <v>548</v>
      </c>
      <c r="G11" s="400" t="s">
        <v>549</v>
      </c>
      <c r="H11" s="401">
        <v>10</v>
      </c>
      <c r="I11" s="400" t="s">
        <v>515</v>
      </c>
      <c r="J11" s="400">
        <v>501</v>
      </c>
      <c r="K11" s="402">
        <v>0</v>
      </c>
      <c r="L11" s="402">
        <v>735058861.60000002</v>
      </c>
      <c r="M11" s="403">
        <v>0.09</v>
      </c>
      <c r="N11" s="402">
        <f>+L11*(1+'[1]cuadro resumen'!$B$9)*(1+'[1]cuadro resumen'!$C$9)</f>
        <v>802684276.86720014</v>
      </c>
      <c r="O11" s="402">
        <f t="shared" si="0"/>
        <v>144483169.83609602</v>
      </c>
      <c r="P11" s="402">
        <f>+K11*(1+'[1]cuadro resumen'!$B$9)*(1+'[1]cuadro resumen'!$C$9)</f>
        <v>0</v>
      </c>
      <c r="Q11" s="402">
        <f>+S11*(1+'[1]cuadro resumen'!$B$9)*(1+'[1]cuadro resumen'!$C$9)</f>
        <v>60215932.140000001</v>
      </c>
      <c r="R11" s="402">
        <f t="shared" si="1"/>
        <v>64214742.149376012</v>
      </c>
      <c r="S11" s="402">
        <v>55142795</v>
      </c>
      <c r="T11" s="402">
        <f t="shared" si="2"/>
        <v>1071598120.9926722</v>
      </c>
      <c r="U11" s="404" t="s">
        <v>505</v>
      </c>
      <c r="V11" s="405">
        <v>700</v>
      </c>
      <c r="W11" s="382">
        <f t="shared" si="3"/>
        <v>0</v>
      </c>
      <c r="X11" s="382">
        <f t="shared" si="4"/>
        <v>119375.58415960056</v>
      </c>
      <c r="Y11" s="382">
        <f t="shared" si="5"/>
        <v>2124398.76178309</v>
      </c>
      <c r="Z11" s="406" t="s">
        <v>498</v>
      </c>
      <c r="AA11" s="420" t="s">
        <v>550</v>
      </c>
      <c r="AB11" s="347">
        <v>1</v>
      </c>
      <c r="AC11" s="384">
        <v>3</v>
      </c>
      <c r="AD11" s="385">
        <v>0</v>
      </c>
      <c r="AF11" s="386"/>
    </row>
    <row r="12" spans="1:32" s="64" customFormat="1" ht="30" hidden="1" x14ac:dyDescent="0.25">
      <c r="A12" s="374">
        <v>93</v>
      </c>
      <c r="B12" s="375">
        <v>6504</v>
      </c>
      <c r="C12" s="421" t="s">
        <v>551</v>
      </c>
      <c r="D12" s="408" t="s">
        <v>502</v>
      </c>
      <c r="E12" s="408" t="s">
        <v>552</v>
      </c>
      <c r="F12" s="408" t="s">
        <v>553</v>
      </c>
      <c r="G12" s="408" t="s">
        <v>553</v>
      </c>
      <c r="H12" s="408">
        <v>4</v>
      </c>
      <c r="I12" s="408" t="s">
        <v>502</v>
      </c>
      <c r="J12" s="408">
        <v>80</v>
      </c>
      <c r="K12" s="345">
        <v>0</v>
      </c>
      <c r="L12" s="345">
        <v>145985400</v>
      </c>
      <c r="M12" s="410">
        <v>0.09</v>
      </c>
      <c r="N12" s="345">
        <f>+L12*(1+'[1]cuadro resumen'!$B$9)*(1+'[1]cuadro resumen'!$C$9)</f>
        <v>159416056.80000001</v>
      </c>
      <c r="O12" s="345">
        <f t="shared" si="0"/>
        <v>28694890.223999999</v>
      </c>
      <c r="P12" s="345">
        <f>+K12*(1+'[1]cuadro resumen'!$B$9)*(1+'[1]cuadro resumen'!$C$9)</f>
        <v>0</v>
      </c>
      <c r="Q12" s="345">
        <f>+S12*(1+'[1]cuadro resumen'!$B$9)*(1+'[1]cuadro resumen'!$C$9)</f>
        <v>0</v>
      </c>
      <c r="R12" s="345">
        <f t="shared" si="1"/>
        <v>12753284.544000002</v>
      </c>
      <c r="S12" s="345">
        <v>0</v>
      </c>
      <c r="T12" s="345">
        <f t="shared" si="2"/>
        <v>200864231.56800002</v>
      </c>
      <c r="U12" s="411" t="s">
        <v>497</v>
      </c>
      <c r="V12" s="412">
        <v>80</v>
      </c>
      <c r="W12" s="396">
        <f t="shared" si="3"/>
        <v>0</v>
      </c>
      <c r="X12" s="396">
        <f t="shared" si="4"/>
        <v>0</v>
      </c>
      <c r="Y12" s="396">
        <f t="shared" si="5"/>
        <v>398204.99538976798</v>
      </c>
      <c r="Z12" s="422" t="s">
        <v>554</v>
      </c>
      <c r="AA12" s="413" t="s">
        <v>499</v>
      </c>
      <c r="AB12" s="347">
        <v>1</v>
      </c>
      <c r="AC12" s="384">
        <v>5</v>
      </c>
      <c r="AD12" s="385">
        <v>0</v>
      </c>
    </row>
    <row r="13" spans="1:32" s="64" customFormat="1" ht="30" hidden="1" customHeight="1" x14ac:dyDescent="0.25">
      <c r="A13" s="374">
        <v>92</v>
      </c>
      <c r="B13" s="375" t="s">
        <v>555</v>
      </c>
      <c r="C13" s="376" t="s">
        <v>556</v>
      </c>
      <c r="D13" s="408" t="s">
        <v>493</v>
      </c>
      <c r="E13" s="408" t="s">
        <v>557</v>
      </c>
      <c r="F13" s="408" t="s">
        <v>558</v>
      </c>
      <c r="G13" s="408" t="s">
        <v>558</v>
      </c>
      <c r="H13" s="409">
        <v>3</v>
      </c>
      <c r="I13" s="408" t="s">
        <v>559</v>
      </c>
      <c r="J13" s="408">
        <v>220</v>
      </c>
      <c r="K13" s="345">
        <v>0</v>
      </c>
      <c r="L13" s="345">
        <v>145985400</v>
      </c>
      <c r="M13" s="410">
        <v>0.09</v>
      </c>
      <c r="N13" s="345">
        <f>+L13*(1+'[1]cuadro resumen'!$B$9)*(1+'[1]cuadro resumen'!$C$9)</f>
        <v>159416056.80000001</v>
      </c>
      <c r="O13" s="345">
        <f t="shared" si="0"/>
        <v>28694890.223999999</v>
      </c>
      <c r="P13" s="345">
        <f>+K13*(1+'[1]cuadro resumen'!$B$9)*(1+'[1]cuadro resumen'!$C$9)</f>
        <v>0</v>
      </c>
      <c r="Q13" s="345">
        <f>+S13*(1+'[1]cuadro resumen'!$B$9)*(1+'[1]cuadro resumen'!$C$9)</f>
        <v>0</v>
      </c>
      <c r="R13" s="345">
        <f t="shared" si="1"/>
        <v>12753284.544000002</v>
      </c>
      <c r="S13" s="345">
        <v>0</v>
      </c>
      <c r="T13" s="345">
        <f t="shared" si="2"/>
        <v>200864231.56800002</v>
      </c>
      <c r="U13" s="411" t="s">
        <v>497</v>
      </c>
      <c r="V13" s="412">
        <v>220</v>
      </c>
      <c r="W13" s="396">
        <f t="shared" si="3"/>
        <v>0</v>
      </c>
      <c r="X13" s="396">
        <f t="shared" si="4"/>
        <v>0</v>
      </c>
      <c r="Y13" s="396">
        <f t="shared" si="5"/>
        <v>398204.99538976798</v>
      </c>
      <c r="Z13" s="422" t="s">
        <v>560</v>
      </c>
      <c r="AA13" s="413" t="s">
        <v>499</v>
      </c>
      <c r="AB13" s="347">
        <v>1</v>
      </c>
      <c r="AC13" s="384">
        <v>5</v>
      </c>
      <c r="AD13" s="385">
        <v>1</v>
      </c>
    </row>
    <row r="14" spans="1:32" s="64" customFormat="1" ht="30" hidden="1" customHeight="1" x14ac:dyDescent="0.25">
      <c r="A14" s="374">
        <v>98</v>
      </c>
      <c r="B14" s="375">
        <v>4144</v>
      </c>
      <c r="C14" s="376" t="s">
        <v>561</v>
      </c>
      <c r="D14" s="377" t="s">
        <v>524</v>
      </c>
      <c r="E14" s="377" t="s">
        <v>562</v>
      </c>
      <c r="F14" s="377" t="s">
        <v>563</v>
      </c>
      <c r="G14" s="377" t="s">
        <v>563</v>
      </c>
      <c r="H14" s="377">
        <v>1</v>
      </c>
      <c r="I14" s="377" t="s">
        <v>564</v>
      </c>
      <c r="J14" s="377">
        <v>611</v>
      </c>
      <c r="K14" s="346">
        <v>0</v>
      </c>
      <c r="L14" s="346">
        <v>145985400</v>
      </c>
      <c r="M14" s="379">
        <v>0.09</v>
      </c>
      <c r="N14" s="346">
        <f>+L14*(1+'[1]cuadro resumen'!$B$9)*(1+'[1]cuadro resumen'!$C$9)</f>
        <v>159416056.80000001</v>
      </c>
      <c r="O14" s="346">
        <f t="shared" si="0"/>
        <v>28694890.223999999</v>
      </c>
      <c r="P14" s="346">
        <f>+K14*(1+'[1]cuadro resumen'!$B$9)*(1+'[1]cuadro resumen'!$C$9)</f>
        <v>0</v>
      </c>
      <c r="Q14" s="346">
        <f>+S14*(1+'[1]cuadro resumen'!$B$9)*(1+'[1]cuadro resumen'!$C$9)</f>
        <v>0</v>
      </c>
      <c r="R14" s="346">
        <f t="shared" si="1"/>
        <v>12753284.544000002</v>
      </c>
      <c r="S14" s="346">
        <v>0</v>
      </c>
      <c r="T14" s="346">
        <f t="shared" si="2"/>
        <v>200864231.56800002</v>
      </c>
      <c r="U14" s="415" t="s">
        <v>497</v>
      </c>
      <c r="V14" s="381">
        <v>611</v>
      </c>
      <c r="W14" s="382">
        <f t="shared" si="3"/>
        <v>0</v>
      </c>
      <c r="X14" s="382">
        <f t="shared" si="4"/>
        <v>0</v>
      </c>
      <c r="Y14" s="382">
        <f t="shared" si="5"/>
        <v>398204.99538976798</v>
      </c>
      <c r="Z14" s="383" t="s">
        <v>498</v>
      </c>
      <c r="AA14" s="383" t="s">
        <v>499</v>
      </c>
      <c r="AB14" s="347">
        <v>1</v>
      </c>
      <c r="AC14" s="384">
        <v>3</v>
      </c>
      <c r="AD14" s="385">
        <v>0</v>
      </c>
      <c r="AE14" s="1"/>
    </row>
    <row r="15" spans="1:32" s="64" customFormat="1" ht="15" hidden="1" customHeight="1" x14ac:dyDescent="0.25">
      <c r="A15" s="374">
        <v>81</v>
      </c>
      <c r="B15" s="375" t="s">
        <v>565</v>
      </c>
      <c r="C15" s="421" t="s">
        <v>566</v>
      </c>
      <c r="D15" s="377" t="s">
        <v>515</v>
      </c>
      <c r="E15" s="377" t="s">
        <v>567</v>
      </c>
      <c r="F15" s="377" t="s">
        <v>568</v>
      </c>
      <c r="G15" s="377" t="s">
        <v>569</v>
      </c>
      <c r="H15" s="378">
        <v>6</v>
      </c>
      <c r="I15" s="377" t="s">
        <v>570</v>
      </c>
      <c r="J15" s="377">
        <v>349</v>
      </c>
      <c r="K15" s="346">
        <v>0</v>
      </c>
      <c r="L15" s="346">
        <v>145985400</v>
      </c>
      <c r="M15" s="379">
        <v>0.09</v>
      </c>
      <c r="N15" s="346">
        <f>+L15*(1+'[1]cuadro resumen'!$B$9)*(1+'[1]cuadro resumen'!$C$9)</f>
        <v>159416056.80000001</v>
      </c>
      <c r="O15" s="346">
        <f t="shared" si="0"/>
        <v>28694890.223999999</v>
      </c>
      <c r="P15" s="346">
        <f>+K15*(1+'[1]cuadro resumen'!$B$9)*(1+'[1]cuadro resumen'!$C$9)</f>
        <v>0</v>
      </c>
      <c r="Q15" s="346">
        <f>+S15*(1+'[1]cuadro resumen'!$B$9)*(1+'[1]cuadro resumen'!$C$9)</f>
        <v>0</v>
      </c>
      <c r="R15" s="346">
        <f t="shared" si="1"/>
        <v>12753284.544000002</v>
      </c>
      <c r="S15" s="346">
        <v>0</v>
      </c>
      <c r="T15" s="346">
        <f t="shared" si="2"/>
        <v>200864231.56800002</v>
      </c>
      <c r="U15" s="415" t="s">
        <v>497</v>
      </c>
      <c r="V15" s="381">
        <v>349</v>
      </c>
      <c r="W15" s="382">
        <f t="shared" si="3"/>
        <v>0</v>
      </c>
      <c r="X15" s="382">
        <f t="shared" si="4"/>
        <v>0</v>
      </c>
      <c r="Y15" s="382">
        <f t="shared" si="5"/>
        <v>398204.99538976798</v>
      </c>
      <c r="Z15" s="383" t="s">
        <v>498</v>
      </c>
      <c r="AA15" s="383" t="s">
        <v>499</v>
      </c>
      <c r="AB15" s="347">
        <v>1</v>
      </c>
      <c r="AC15" s="384">
        <v>3</v>
      </c>
      <c r="AD15" s="385">
        <v>0</v>
      </c>
      <c r="AE15" s="423"/>
    </row>
    <row r="16" spans="1:32" s="64" customFormat="1" ht="15" customHeight="1" x14ac:dyDescent="0.25">
      <c r="A16" s="399">
        <v>30</v>
      </c>
      <c r="B16" s="388">
        <v>5844</v>
      </c>
      <c r="C16" s="389" t="s">
        <v>571</v>
      </c>
      <c r="D16" s="400" t="s">
        <v>493</v>
      </c>
      <c r="E16" s="400" t="s">
        <v>572</v>
      </c>
      <c r="F16" s="400" t="s">
        <v>573</v>
      </c>
      <c r="G16" s="400" t="s">
        <v>574</v>
      </c>
      <c r="H16" s="401">
        <v>1</v>
      </c>
      <c r="I16" s="400" t="s">
        <v>575</v>
      </c>
      <c r="J16" s="400">
        <v>206</v>
      </c>
      <c r="K16" s="402">
        <v>250000000</v>
      </c>
      <c r="L16" s="402">
        <v>633959048</v>
      </c>
      <c r="M16" s="403">
        <v>0.09</v>
      </c>
      <c r="N16" s="402">
        <f>+L16*(1+'[1]cuadro resumen'!$B$9)*(1+'[1]cuadro resumen'!$C$9)</f>
        <v>692283280.41600001</v>
      </c>
      <c r="O16" s="402">
        <f t="shared" si="0"/>
        <v>124610990.47487999</v>
      </c>
      <c r="P16" s="402">
        <f>+K16*(1+'[1]cuadro resumen'!$B$9)*(1+'[1]cuadro resumen'!$C$9)</f>
        <v>273000000</v>
      </c>
      <c r="Q16" s="402">
        <f>+S16*(1+'[1]cuadro resumen'!$B$9)*(1+'[1]cuadro resumen'!$C$9)</f>
        <v>53030572.140000001</v>
      </c>
      <c r="R16" s="402">
        <f t="shared" si="1"/>
        <v>55382662.433279999</v>
      </c>
      <c r="S16" s="402">
        <v>48562795</v>
      </c>
      <c r="T16" s="402">
        <f t="shared" si="2"/>
        <v>1198307505.4641602</v>
      </c>
      <c r="U16" s="417" t="s">
        <v>505</v>
      </c>
      <c r="V16" s="405">
        <v>500</v>
      </c>
      <c r="W16" s="382">
        <f t="shared" si="3"/>
        <v>541211.15986050654</v>
      </c>
      <c r="X16" s="382">
        <f t="shared" si="4"/>
        <v>105130.90643207204</v>
      </c>
      <c r="Y16" s="382">
        <f t="shared" si="5"/>
        <v>2375594.8531201775</v>
      </c>
      <c r="Z16" s="406" t="s">
        <v>576</v>
      </c>
      <c r="AA16" s="420" t="s">
        <v>577</v>
      </c>
      <c r="AB16" s="347">
        <v>1</v>
      </c>
      <c r="AC16" s="384">
        <v>3</v>
      </c>
      <c r="AD16" s="385">
        <v>1</v>
      </c>
      <c r="AE16" s="1"/>
    </row>
    <row r="17" spans="1:32" s="5" customFormat="1" hidden="1" x14ac:dyDescent="0.25">
      <c r="A17" s="374">
        <v>97</v>
      </c>
      <c r="B17" s="375">
        <v>4136</v>
      </c>
      <c r="C17" s="421" t="s">
        <v>578</v>
      </c>
      <c r="D17" s="377" t="s">
        <v>524</v>
      </c>
      <c r="E17" s="377" t="s">
        <v>524</v>
      </c>
      <c r="F17" s="377" t="s">
        <v>579</v>
      </c>
      <c r="G17" s="377" t="s">
        <v>580</v>
      </c>
      <c r="H17" s="377">
        <v>1</v>
      </c>
      <c r="I17" s="377" t="s">
        <v>524</v>
      </c>
      <c r="J17" s="377">
        <v>290</v>
      </c>
      <c r="K17" s="346">
        <v>0</v>
      </c>
      <c r="L17" s="424">
        <v>145985400</v>
      </c>
      <c r="M17" s="379">
        <v>0.09</v>
      </c>
      <c r="N17" s="346">
        <f>+L17*(1+'[1]cuadro resumen'!$B$9)*(1+'[1]cuadro resumen'!$C$9)</f>
        <v>159416056.80000001</v>
      </c>
      <c r="O17" s="346">
        <f t="shared" si="0"/>
        <v>28694890.223999999</v>
      </c>
      <c r="P17" s="346">
        <f>+K17*(1+'[1]cuadro resumen'!$B$9)*(1+'[1]cuadro resumen'!$C$9)</f>
        <v>0</v>
      </c>
      <c r="Q17" s="346">
        <f>+S17*(1+'[1]cuadro resumen'!$B$9)*(1+'[1]cuadro resumen'!$C$9)</f>
        <v>0</v>
      </c>
      <c r="R17" s="346">
        <f t="shared" si="1"/>
        <v>12753284.544000002</v>
      </c>
      <c r="S17" s="346">
        <v>0</v>
      </c>
      <c r="T17" s="346">
        <f t="shared" si="2"/>
        <v>200864231.56800002</v>
      </c>
      <c r="U17" s="380" t="s">
        <v>497</v>
      </c>
      <c r="V17" s="381">
        <v>290</v>
      </c>
      <c r="W17" s="382">
        <f t="shared" si="3"/>
        <v>0</v>
      </c>
      <c r="X17" s="382">
        <f t="shared" si="4"/>
        <v>0</v>
      </c>
      <c r="Y17" s="382">
        <f t="shared" si="5"/>
        <v>398204.99538976798</v>
      </c>
      <c r="Z17" s="383" t="s">
        <v>498</v>
      </c>
      <c r="AA17" s="383" t="s">
        <v>499</v>
      </c>
      <c r="AB17" s="347">
        <v>1</v>
      </c>
      <c r="AC17" s="384">
        <v>3</v>
      </c>
      <c r="AD17" s="385">
        <v>0</v>
      </c>
      <c r="AF17" s="386"/>
    </row>
    <row r="18" spans="1:32" s="5" customFormat="1" ht="30" hidden="1" customHeight="1" x14ac:dyDescent="0.25">
      <c r="A18" s="374">
        <v>85</v>
      </c>
      <c r="B18" s="375">
        <v>4112</v>
      </c>
      <c r="C18" s="421" t="s">
        <v>581</v>
      </c>
      <c r="D18" s="377" t="s">
        <v>493</v>
      </c>
      <c r="E18" s="377" t="s">
        <v>582</v>
      </c>
      <c r="F18" s="377" t="s">
        <v>583</v>
      </c>
      <c r="G18" s="377" t="s">
        <v>584</v>
      </c>
      <c r="H18" s="377">
        <v>2</v>
      </c>
      <c r="I18" s="377" t="s">
        <v>559</v>
      </c>
      <c r="J18" s="377">
        <v>211</v>
      </c>
      <c r="K18" s="346">
        <v>0</v>
      </c>
      <c r="L18" s="346">
        <v>145985400</v>
      </c>
      <c r="M18" s="379">
        <v>0.09</v>
      </c>
      <c r="N18" s="346">
        <f>+L18*(1+'[1]cuadro resumen'!$B$9)*(1+'[1]cuadro resumen'!$C$9)</f>
        <v>159416056.80000001</v>
      </c>
      <c r="O18" s="346">
        <f t="shared" si="0"/>
        <v>28694890.223999999</v>
      </c>
      <c r="P18" s="346">
        <f>+K18*(1+'[1]cuadro resumen'!$B$9)*(1+'[1]cuadro resumen'!$C$9)</f>
        <v>0</v>
      </c>
      <c r="Q18" s="346">
        <f>+S18*(1+'[1]cuadro resumen'!$B$9)*(1+'[1]cuadro resumen'!$C$9)</f>
        <v>0</v>
      </c>
      <c r="R18" s="346">
        <f t="shared" si="1"/>
        <v>12753284.544000002</v>
      </c>
      <c r="S18" s="346">
        <v>0</v>
      </c>
      <c r="T18" s="346">
        <f t="shared" si="2"/>
        <v>200864231.56800002</v>
      </c>
      <c r="U18" s="415" t="s">
        <v>497</v>
      </c>
      <c r="V18" s="381">
        <v>211</v>
      </c>
      <c r="W18" s="382">
        <f t="shared" si="3"/>
        <v>0</v>
      </c>
      <c r="X18" s="382">
        <f t="shared" si="4"/>
        <v>0</v>
      </c>
      <c r="Y18" s="382">
        <f t="shared" si="5"/>
        <v>398204.99538976798</v>
      </c>
      <c r="Z18" s="383" t="s">
        <v>498</v>
      </c>
      <c r="AA18" s="383" t="s">
        <v>499</v>
      </c>
      <c r="AB18" s="347">
        <v>1</v>
      </c>
      <c r="AC18" s="384">
        <v>3</v>
      </c>
      <c r="AD18" s="385">
        <v>1</v>
      </c>
    </row>
    <row r="19" spans="1:32" s="5" customFormat="1" ht="30" hidden="1" customHeight="1" x14ac:dyDescent="0.25">
      <c r="A19" s="374">
        <v>94</v>
      </c>
      <c r="B19" s="375" t="s">
        <v>585</v>
      </c>
      <c r="C19" s="376" t="s">
        <v>586</v>
      </c>
      <c r="D19" s="377" t="s">
        <v>520</v>
      </c>
      <c r="E19" s="377" t="s">
        <v>521</v>
      </c>
      <c r="F19" s="377" t="s">
        <v>587</v>
      </c>
      <c r="G19" s="377" t="s">
        <v>588</v>
      </c>
      <c r="H19" s="378">
        <v>9</v>
      </c>
      <c r="I19" s="377" t="s">
        <v>520</v>
      </c>
      <c r="J19" s="377">
        <v>435</v>
      </c>
      <c r="K19" s="346">
        <v>0</v>
      </c>
      <c r="L19" s="346">
        <v>145985400</v>
      </c>
      <c r="M19" s="379">
        <v>0.09</v>
      </c>
      <c r="N19" s="346">
        <f>+L19*(1+'[1]cuadro resumen'!$B$9)*(1+'[1]cuadro resumen'!$C$9)</f>
        <v>159416056.80000001</v>
      </c>
      <c r="O19" s="346">
        <f t="shared" si="0"/>
        <v>28694890.223999999</v>
      </c>
      <c r="P19" s="346">
        <f>+K19*(1+'[1]cuadro resumen'!$B$9)*(1+'[1]cuadro resumen'!$C$9)</f>
        <v>0</v>
      </c>
      <c r="Q19" s="346">
        <f>+S19*(1+'[1]cuadro resumen'!$B$9)*(1+'[1]cuadro resumen'!$C$9)</f>
        <v>0</v>
      </c>
      <c r="R19" s="346">
        <f t="shared" si="1"/>
        <v>12753284.544000002</v>
      </c>
      <c r="S19" s="346">
        <v>0</v>
      </c>
      <c r="T19" s="346">
        <f t="shared" si="2"/>
        <v>200864231.56800002</v>
      </c>
      <c r="U19" s="415" t="s">
        <v>497</v>
      </c>
      <c r="V19" s="381">
        <v>435</v>
      </c>
      <c r="W19" s="382">
        <f t="shared" si="3"/>
        <v>0</v>
      </c>
      <c r="X19" s="382">
        <f t="shared" si="4"/>
        <v>0</v>
      </c>
      <c r="Y19" s="382">
        <f t="shared" si="5"/>
        <v>398204.99538976798</v>
      </c>
      <c r="Z19" s="383" t="s">
        <v>498</v>
      </c>
      <c r="AA19" s="383" t="s">
        <v>499</v>
      </c>
      <c r="AB19" s="347">
        <v>1</v>
      </c>
      <c r="AC19" s="384">
        <v>3</v>
      </c>
      <c r="AD19" s="385">
        <v>0</v>
      </c>
    </row>
    <row r="20" spans="1:32" s="5" customFormat="1" ht="30" hidden="1" customHeight="1" x14ac:dyDescent="0.25">
      <c r="A20" s="399">
        <v>69</v>
      </c>
      <c r="B20" s="388">
        <v>5985</v>
      </c>
      <c r="C20" s="389" t="s">
        <v>589</v>
      </c>
      <c r="D20" s="400" t="s">
        <v>512</v>
      </c>
      <c r="E20" s="400" t="s">
        <v>590</v>
      </c>
      <c r="F20" s="400" t="s">
        <v>591</v>
      </c>
      <c r="G20" s="400" t="s">
        <v>592</v>
      </c>
      <c r="H20" s="401">
        <v>8</v>
      </c>
      <c r="I20" s="400" t="s">
        <v>512</v>
      </c>
      <c r="J20" s="400">
        <v>509</v>
      </c>
      <c r="K20" s="425">
        <v>0</v>
      </c>
      <c r="L20" s="402">
        <v>735058861.60699999</v>
      </c>
      <c r="M20" s="403">
        <v>0.09</v>
      </c>
      <c r="N20" s="402">
        <f>+L20*(1+'[1]cuadro resumen'!$B$9)*(1+'[1]cuadro resumen'!$C$9)</f>
        <v>802684276.87484407</v>
      </c>
      <c r="O20" s="402">
        <f t="shared" si="0"/>
        <v>144483169.83747193</v>
      </c>
      <c r="P20" s="402">
        <f>+K20*(1+'[1]cuadro resumen'!$B$9)*(1+'[1]cuadro resumen'!$C$9)</f>
        <v>0</v>
      </c>
      <c r="Q20" s="402">
        <f>+S20*(1+'[1]cuadro resumen'!$B$9)*(1+'[1]cuadro resumen'!$C$9)</f>
        <v>60215932.140000001</v>
      </c>
      <c r="R20" s="402">
        <f t="shared" si="1"/>
        <v>64214742.149987526</v>
      </c>
      <c r="S20" s="402">
        <v>55142795</v>
      </c>
      <c r="T20" s="402">
        <f t="shared" si="2"/>
        <v>1071598121.0023036</v>
      </c>
      <c r="U20" s="417" t="s">
        <v>505</v>
      </c>
      <c r="V20" s="405">
        <v>700</v>
      </c>
      <c r="W20" s="382">
        <f t="shared" si="3"/>
        <v>0</v>
      </c>
      <c r="X20" s="382">
        <f t="shared" si="4"/>
        <v>119375.58415960056</v>
      </c>
      <c r="Y20" s="382">
        <f t="shared" si="5"/>
        <v>2124398.7618021839</v>
      </c>
      <c r="Z20" s="406" t="s">
        <v>498</v>
      </c>
      <c r="AA20" s="398" t="s">
        <v>593</v>
      </c>
      <c r="AB20" s="348">
        <v>1</v>
      </c>
      <c r="AC20" s="426">
        <v>1</v>
      </c>
      <c r="AD20" s="419">
        <v>0</v>
      </c>
    </row>
    <row r="21" spans="1:32" s="5" customFormat="1" ht="165" hidden="1" x14ac:dyDescent="0.25">
      <c r="A21" s="399">
        <v>71</v>
      </c>
      <c r="B21" s="388">
        <v>1875</v>
      </c>
      <c r="C21" s="427" t="s">
        <v>594</v>
      </c>
      <c r="D21" s="390" t="s">
        <v>512</v>
      </c>
      <c r="E21" s="390" t="s">
        <v>595</v>
      </c>
      <c r="F21" s="390" t="s">
        <v>596</v>
      </c>
      <c r="G21" s="390" t="s">
        <v>596</v>
      </c>
      <c r="H21" s="390">
        <v>3</v>
      </c>
      <c r="I21" s="390" t="s">
        <v>597</v>
      </c>
      <c r="J21" s="390">
        <v>154</v>
      </c>
      <c r="K21" s="392">
        <v>0</v>
      </c>
      <c r="L21" s="392">
        <v>405397888</v>
      </c>
      <c r="M21" s="393">
        <v>0.09</v>
      </c>
      <c r="N21" s="392">
        <f>+L21*(1+'[1]cuadro resumen'!$B$9)*(1+'[1]cuadro resumen'!$C$9)</f>
        <v>442694493.69600004</v>
      </c>
      <c r="O21" s="392">
        <f t="shared" si="0"/>
        <v>79685008.865280002</v>
      </c>
      <c r="P21" s="392">
        <f>+K21*(1+'[1]cuadro resumen'!$B$9)*(1+'[1]cuadro resumen'!$C$9)</f>
        <v>0</v>
      </c>
      <c r="Q21" s="392">
        <f>+S21*(1+'[1]cuadro resumen'!$B$9)*(1+'[1]cuadro resumen'!$C$9)</f>
        <v>36987454.140000001</v>
      </c>
      <c r="R21" s="392">
        <f t="shared" si="1"/>
        <v>35415559.495680004</v>
      </c>
      <c r="S21" s="392">
        <v>33871295</v>
      </c>
      <c r="T21" s="392">
        <f t="shared" si="2"/>
        <v>594782516.19695997</v>
      </c>
      <c r="U21" s="428" t="s">
        <v>505</v>
      </c>
      <c r="V21" s="395">
        <v>250</v>
      </c>
      <c r="W21" s="396">
        <f t="shared" si="3"/>
        <v>0</v>
      </c>
      <c r="X21" s="396">
        <f t="shared" si="4"/>
        <v>73326.091411709509</v>
      </c>
      <c r="Y21" s="396">
        <f t="shared" si="5"/>
        <v>1179131.6317058872</v>
      </c>
      <c r="Z21" s="397" t="s">
        <v>498</v>
      </c>
      <c r="AA21" s="398" t="s">
        <v>598</v>
      </c>
      <c r="AB21" s="348">
        <v>1</v>
      </c>
      <c r="AC21" s="426">
        <v>2</v>
      </c>
      <c r="AD21" s="419">
        <v>0</v>
      </c>
    </row>
    <row r="22" spans="1:32" s="64" customFormat="1" hidden="1" x14ac:dyDescent="0.25">
      <c r="A22" s="374">
        <v>82</v>
      </c>
      <c r="B22" s="375">
        <v>4043</v>
      </c>
      <c r="C22" s="376" t="s">
        <v>599</v>
      </c>
      <c r="D22" s="377" t="s">
        <v>515</v>
      </c>
      <c r="E22" s="377" t="s">
        <v>600</v>
      </c>
      <c r="F22" s="377" t="s">
        <v>601</v>
      </c>
      <c r="G22" s="377" t="s">
        <v>602</v>
      </c>
      <c r="H22" s="377">
        <v>10</v>
      </c>
      <c r="I22" s="377" t="s">
        <v>603</v>
      </c>
      <c r="J22" s="377">
        <v>552</v>
      </c>
      <c r="K22" s="346">
        <v>0</v>
      </c>
      <c r="L22" s="346">
        <v>145985400</v>
      </c>
      <c r="M22" s="379">
        <v>0.09</v>
      </c>
      <c r="N22" s="346">
        <f>+L22*(1+'[1]cuadro resumen'!$B$9)*(1+'[1]cuadro resumen'!$C$9)</f>
        <v>159416056.80000001</v>
      </c>
      <c r="O22" s="346">
        <f t="shared" si="0"/>
        <v>28694890.223999999</v>
      </c>
      <c r="P22" s="346">
        <f>+K22*(1+'[1]cuadro resumen'!$B$9)*(1+'[1]cuadro resumen'!$C$9)</f>
        <v>0</v>
      </c>
      <c r="Q22" s="346">
        <f>+S22*(1+'[1]cuadro resumen'!$B$9)*(1+'[1]cuadro resumen'!$C$9)</f>
        <v>0</v>
      </c>
      <c r="R22" s="346">
        <f t="shared" si="1"/>
        <v>12753284.544000002</v>
      </c>
      <c r="S22" s="346">
        <v>0</v>
      </c>
      <c r="T22" s="346">
        <f t="shared" si="2"/>
        <v>200864231.56800002</v>
      </c>
      <c r="U22" s="415" t="s">
        <v>497</v>
      </c>
      <c r="V22" s="381">
        <v>552</v>
      </c>
      <c r="W22" s="382">
        <f t="shared" si="3"/>
        <v>0</v>
      </c>
      <c r="X22" s="382">
        <f t="shared" si="4"/>
        <v>0</v>
      </c>
      <c r="Y22" s="382">
        <f t="shared" si="5"/>
        <v>398204.99538976798</v>
      </c>
      <c r="Z22" s="429" t="s">
        <v>498</v>
      </c>
      <c r="AA22" s="383" t="s">
        <v>499</v>
      </c>
      <c r="AB22" s="347">
        <v>1</v>
      </c>
      <c r="AC22" s="384">
        <v>3</v>
      </c>
      <c r="AD22" s="419">
        <v>0</v>
      </c>
    </row>
    <row r="23" spans="1:32" s="5" customFormat="1" ht="120" hidden="1" x14ac:dyDescent="0.25">
      <c r="A23" s="399">
        <v>2</v>
      </c>
      <c r="B23" s="388" t="s">
        <v>604</v>
      </c>
      <c r="C23" s="389" t="s">
        <v>605</v>
      </c>
      <c r="D23" s="400" t="s">
        <v>515</v>
      </c>
      <c r="E23" s="400" t="s">
        <v>515</v>
      </c>
      <c r="F23" s="400" t="s">
        <v>508</v>
      </c>
      <c r="G23" s="400" t="s">
        <v>606</v>
      </c>
      <c r="H23" s="401">
        <v>5</v>
      </c>
      <c r="I23" s="400" t="s">
        <v>515</v>
      </c>
      <c r="J23" s="400">
        <v>285</v>
      </c>
      <c r="K23" s="402">
        <v>0</v>
      </c>
      <c r="L23" s="402">
        <v>735058861.60000002</v>
      </c>
      <c r="M23" s="403">
        <v>0.09</v>
      </c>
      <c r="N23" s="402">
        <f>+L23*(1+'[1]cuadro resumen'!$B$9)*(1+'[1]cuadro resumen'!$C$9)</f>
        <v>802684276.86720014</v>
      </c>
      <c r="O23" s="402">
        <f t="shared" si="0"/>
        <v>144483169.83609602</v>
      </c>
      <c r="P23" s="402">
        <f>+K23*(1+'[1]cuadro resumen'!$B$9)*(1+'[1]cuadro resumen'!$C$9)</f>
        <v>0</v>
      </c>
      <c r="Q23" s="402">
        <f>+S23*(1+'[1]cuadro resumen'!$B$9)*(1+'[1]cuadro resumen'!$C$9)</f>
        <v>60215932.140000001</v>
      </c>
      <c r="R23" s="402">
        <f t="shared" si="1"/>
        <v>64214742.149376012</v>
      </c>
      <c r="S23" s="402">
        <v>55142795</v>
      </c>
      <c r="T23" s="402">
        <f t="shared" si="2"/>
        <v>1071598120.9926722</v>
      </c>
      <c r="U23" s="417" t="s">
        <v>505</v>
      </c>
      <c r="V23" s="405">
        <v>700</v>
      </c>
      <c r="W23" s="382">
        <f t="shared" si="3"/>
        <v>0</v>
      </c>
      <c r="X23" s="382">
        <f t="shared" si="4"/>
        <v>119375.58415960056</v>
      </c>
      <c r="Y23" s="382">
        <f t="shared" si="5"/>
        <v>2124398.76178309</v>
      </c>
      <c r="Z23" s="406" t="s">
        <v>498</v>
      </c>
      <c r="AA23" s="420" t="s">
        <v>577</v>
      </c>
      <c r="AB23" s="347">
        <v>1</v>
      </c>
      <c r="AC23" s="384">
        <v>3</v>
      </c>
      <c r="AD23" s="419">
        <v>0</v>
      </c>
    </row>
    <row r="24" spans="1:32" s="64" customFormat="1" ht="30" hidden="1" x14ac:dyDescent="0.25">
      <c r="A24" s="399">
        <v>6</v>
      </c>
      <c r="B24" s="388" t="s">
        <v>607</v>
      </c>
      <c r="C24" s="389" t="s">
        <v>608</v>
      </c>
      <c r="D24" s="400" t="s">
        <v>515</v>
      </c>
      <c r="E24" s="400" t="s">
        <v>603</v>
      </c>
      <c r="F24" s="400" t="s">
        <v>609</v>
      </c>
      <c r="G24" s="400" t="s">
        <v>610</v>
      </c>
      <c r="H24" s="401">
        <v>8</v>
      </c>
      <c r="I24" s="400" t="s">
        <v>603</v>
      </c>
      <c r="J24" s="400">
        <v>65</v>
      </c>
      <c r="K24" s="425">
        <v>0</v>
      </c>
      <c r="L24" s="402">
        <v>293238467.19999999</v>
      </c>
      <c r="M24" s="403">
        <v>0.09</v>
      </c>
      <c r="N24" s="402">
        <f>+L24*(1+'[1]cuadro resumen'!$B$9)*(1+'[1]cuadro resumen'!$C$9)</f>
        <v>320216406.18239999</v>
      </c>
      <c r="O24" s="402">
        <f t="shared" si="0"/>
        <v>57638953.112831995</v>
      </c>
      <c r="P24" s="402">
        <f>+K24*(1+'[1]cuadro resumen'!$B$9)*(1+'[1]cuadro resumen'!$C$9)</f>
        <v>0</v>
      </c>
      <c r="Q24" s="402">
        <f>+S24*(1+'[1]cuadro resumen'!$B$9)*(1+'[1]cuadro resumen'!$C$9)</f>
        <v>33897094.653240003</v>
      </c>
      <c r="R24" s="402">
        <f t="shared" si="1"/>
        <v>25617312.494592</v>
      </c>
      <c r="S24" s="402">
        <v>31041295.469999999</v>
      </c>
      <c r="T24" s="402">
        <f t="shared" si="2"/>
        <v>437369766.44306403</v>
      </c>
      <c r="U24" s="417" t="s">
        <v>505</v>
      </c>
      <c r="V24" s="405">
        <v>175</v>
      </c>
      <c r="W24" s="382">
        <f t="shared" si="3"/>
        <v>0</v>
      </c>
      <c r="X24" s="382">
        <f t="shared" si="4"/>
        <v>67199.582099565552</v>
      </c>
      <c r="Y24" s="382">
        <f t="shared" si="5"/>
        <v>867067.39408267231</v>
      </c>
      <c r="Z24" s="430" t="s">
        <v>498</v>
      </c>
      <c r="AA24" s="398" t="s">
        <v>611</v>
      </c>
      <c r="AB24" s="347">
        <v>1</v>
      </c>
      <c r="AC24" s="384">
        <v>4</v>
      </c>
      <c r="AD24" s="419">
        <v>0</v>
      </c>
    </row>
    <row r="25" spans="1:32" s="5" customFormat="1" ht="30" hidden="1" customHeight="1" x14ac:dyDescent="0.25">
      <c r="A25" s="374">
        <v>103</v>
      </c>
      <c r="B25" s="375">
        <v>5069</v>
      </c>
      <c r="C25" s="376" t="s">
        <v>612</v>
      </c>
      <c r="D25" s="377" t="s">
        <v>512</v>
      </c>
      <c r="E25" s="377" t="s">
        <v>509</v>
      </c>
      <c r="F25" s="377" t="s">
        <v>613</v>
      </c>
      <c r="G25" s="377" t="s">
        <v>614</v>
      </c>
      <c r="H25" s="377">
        <v>7</v>
      </c>
      <c r="I25" s="431" t="s">
        <v>615</v>
      </c>
      <c r="J25" s="377">
        <v>445</v>
      </c>
      <c r="K25" s="346">
        <v>0</v>
      </c>
      <c r="L25" s="346">
        <v>145985400</v>
      </c>
      <c r="M25" s="379">
        <v>0.09</v>
      </c>
      <c r="N25" s="346">
        <f>+L25*(1+'[1]cuadro resumen'!$B$9)*(1+'[1]cuadro resumen'!$C$9)</f>
        <v>159416056.80000001</v>
      </c>
      <c r="O25" s="346">
        <f t="shared" si="0"/>
        <v>28694890.223999999</v>
      </c>
      <c r="P25" s="346">
        <f>+K25*(1+'[1]cuadro resumen'!$B$9)*(1+'[1]cuadro resumen'!$C$9)</f>
        <v>0</v>
      </c>
      <c r="Q25" s="346">
        <f>+S25*(1+'[1]cuadro resumen'!$B$9)*(1+'[1]cuadro resumen'!$C$9)</f>
        <v>0</v>
      </c>
      <c r="R25" s="346">
        <f t="shared" si="1"/>
        <v>12753284.544000002</v>
      </c>
      <c r="S25" s="346">
        <v>0</v>
      </c>
      <c r="T25" s="346">
        <f t="shared" si="2"/>
        <v>200864231.56800002</v>
      </c>
      <c r="U25" s="415" t="s">
        <v>497</v>
      </c>
      <c r="V25" s="381">
        <v>445</v>
      </c>
      <c r="W25" s="382">
        <f t="shared" si="3"/>
        <v>0</v>
      </c>
      <c r="X25" s="382">
        <f t="shared" si="4"/>
        <v>0</v>
      </c>
      <c r="Y25" s="382">
        <f t="shared" si="5"/>
        <v>398204.99538976798</v>
      </c>
      <c r="Z25" s="383" t="s">
        <v>498</v>
      </c>
      <c r="AA25" s="383" t="s">
        <v>499</v>
      </c>
      <c r="AB25" s="347">
        <v>1</v>
      </c>
      <c r="AC25" s="384">
        <v>3</v>
      </c>
      <c r="AD25" s="385">
        <v>0</v>
      </c>
    </row>
    <row r="26" spans="1:32" s="5" customFormat="1" hidden="1" x14ac:dyDescent="0.25">
      <c r="A26" s="374">
        <v>96</v>
      </c>
      <c r="B26" s="375">
        <v>4134</v>
      </c>
      <c r="C26" s="421" t="s">
        <v>616</v>
      </c>
      <c r="D26" s="377" t="s">
        <v>524</v>
      </c>
      <c r="E26" s="377" t="s">
        <v>524</v>
      </c>
      <c r="F26" s="377" t="s">
        <v>524</v>
      </c>
      <c r="G26" s="377" t="s">
        <v>617</v>
      </c>
      <c r="H26" s="377">
        <v>2</v>
      </c>
      <c r="I26" s="377" t="s">
        <v>524</v>
      </c>
      <c r="J26" s="377">
        <v>1083</v>
      </c>
      <c r="K26" s="346">
        <v>0</v>
      </c>
      <c r="L26" s="346">
        <v>145985400</v>
      </c>
      <c r="M26" s="379">
        <v>0.09</v>
      </c>
      <c r="N26" s="346">
        <f>+L26*(1+'[1]cuadro resumen'!$B$9)*(1+'[1]cuadro resumen'!$C$9)</f>
        <v>159416056.80000001</v>
      </c>
      <c r="O26" s="346">
        <f t="shared" si="0"/>
        <v>28694890.223999999</v>
      </c>
      <c r="P26" s="346">
        <f>+K26*(1+'[1]cuadro resumen'!$B$9)*(1+'[1]cuadro resumen'!$C$9)</f>
        <v>0</v>
      </c>
      <c r="Q26" s="346">
        <f>+S26*(1+'[1]cuadro resumen'!$B$9)*(1+'[1]cuadro resumen'!$C$9)</f>
        <v>0</v>
      </c>
      <c r="R26" s="346">
        <f t="shared" si="1"/>
        <v>12753284.544000002</v>
      </c>
      <c r="S26" s="346">
        <v>0</v>
      </c>
      <c r="T26" s="346">
        <f t="shared" si="2"/>
        <v>200864231.56800002</v>
      </c>
      <c r="U26" s="380" t="s">
        <v>497</v>
      </c>
      <c r="V26" s="381">
        <v>1083</v>
      </c>
      <c r="W26" s="382">
        <f t="shared" si="3"/>
        <v>0</v>
      </c>
      <c r="X26" s="382">
        <f t="shared" si="4"/>
        <v>0</v>
      </c>
      <c r="Y26" s="382">
        <f t="shared" si="5"/>
        <v>398204.99538976798</v>
      </c>
      <c r="Z26" s="383" t="s">
        <v>498</v>
      </c>
      <c r="AA26" s="383" t="s">
        <v>499</v>
      </c>
      <c r="AB26" s="347">
        <v>1</v>
      </c>
      <c r="AC26" s="384">
        <v>3</v>
      </c>
      <c r="AD26" s="385">
        <v>0</v>
      </c>
      <c r="AF26" s="386"/>
    </row>
    <row r="27" spans="1:32" s="5" customFormat="1" ht="120" hidden="1" x14ac:dyDescent="0.25">
      <c r="A27" s="399">
        <v>39</v>
      </c>
      <c r="B27" s="388" t="s">
        <v>618</v>
      </c>
      <c r="C27" s="389" t="s">
        <v>619</v>
      </c>
      <c r="D27" s="400" t="s">
        <v>502</v>
      </c>
      <c r="E27" s="400" t="s">
        <v>620</v>
      </c>
      <c r="F27" s="400" t="s">
        <v>621</v>
      </c>
      <c r="G27" s="400" t="s">
        <v>622</v>
      </c>
      <c r="H27" s="401">
        <v>3</v>
      </c>
      <c r="I27" s="400" t="s">
        <v>620</v>
      </c>
      <c r="J27" s="400">
        <v>71</v>
      </c>
      <c r="K27" s="402">
        <v>0</v>
      </c>
      <c r="L27" s="402">
        <v>293238467.19999999</v>
      </c>
      <c r="M27" s="403">
        <v>0.09</v>
      </c>
      <c r="N27" s="402">
        <f>+L27*(1+'[1]cuadro resumen'!$B$9)*(1+'[1]cuadro resumen'!$C$9)</f>
        <v>320216406.18239999</v>
      </c>
      <c r="O27" s="402">
        <f t="shared" si="0"/>
        <v>57638953.112831995</v>
      </c>
      <c r="P27" s="402">
        <f>+K27*(1+'[1]cuadro resumen'!$B$9)*(1+'[1]cuadro resumen'!$C$9)</f>
        <v>0</v>
      </c>
      <c r="Q27" s="402">
        <f>+S27*(1+'[1]cuadro resumen'!$B$9)*(1+'[1]cuadro resumen'!$C$9)</f>
        <v>33897094.653240003</v>
      </c>
      <c r="R27" s="402">
        <f t="shared" si="1"/>
        <v>25617312.494592</v>
      </c>
      <c r="S27" s="402">
        <v>31041295.469999999</v>
      </c>
      <c r="T27" s="402">
        <f t="shared" si="2"/>
        <v>437369766.44306403</v>
      </c>
      <c r="U27" s="417" t="s">
        <v>505</v>
      </c>
      <c r="V27" s="405">
        <v>175</v>
      </c>
      <c r="W27" s="382">
        <f t="shared" si="3"/>
        <v>0</v>
      </c>
      <c r="X27" s="382">
        <f t="shared" si="4"/>
        <v>67199.582099565552</v>
      </c>
      <c r="Y27" s="382">
        <f t="shared" si="5"/>
        <v>867067.39408267231</v>
      </c>
      <c r="Z27" s="406" t="s">
        <v>498</v>
      </c>
      <c r="AA27" s="420" t="s">
        <v>577</v>
      </c>
      <c r="AB27" s="347">
        <v>1</v>
      </c>
      <c r="AC27" s="384">
        <v>4</v>
      </c>
      <c r="AD27" s="385">
        <v>0</v>
      </c>
    </row>
    <row r="28" spans="1:32" s="5" customFormat="1" ht="30" hidden="1" customHeight="1" x14ac:dyDescent="0.25">
      <c r="A28" s="399">
        <v>10</v>
      </c>
      <c r="B28" s="388" t="s">
        <v>623</v>
      </c>
      <c r="C28" s="389" t="s">
        <v>624</v>
      </c>
      <c r="D28" s="400" t="s">
        <v>515</v>
      </c>
      <c r="E28" s="400" t="s">
        <v>625</v>
      </c>
      <c r="F28" s="400" t="s">
        <v>626</v>
      </c>
      <c r="G28" s="400" t="s">
        <v>627</v>
      </c>
      <c r="H28" s="401">
        <v>9</v>
      </c>
      <c r="I28" s="400" t="s">
        <v>515</v>
      </c>
      <c r="J28" s="400">
        <v>148</v>
      </c>
      <c r="K28" s="425">
        <v>150000000</v>
      </c>
      <c r="L28" s="402">
        <v>375362859.19999999</v>
      </c>
      <c r="M28" s="403">
        <v>0.09</v>
      </c>
      <c r="N28" s="402">
        <f>+L28*(1+'[1]cuadro resumen'!$B$9)*(1+'[1]cuadro resumen'!$C$9)</f>
        <v>409896242.24640006</v>
      </c>
      <c r="O28" s="402">
        <f t="shared" si="0"/>
        <v>73781323.604352012</v>
      </c>
      <c r="P28" s="402">
        <f>+K28*(1+'[1]cuadro resumen'!$B$9)*(1+'[1]cuadro resumen'!$C$9)</f>
        <v>163800000</v>
      </c>
      <c r="Q28" s="402">
        <f>+S28*(1+'[1]cuadro resumen'!$B$9)*(1+'[1]cuadro resumen'!$C$9)</f>
        <v>33897094.653240003</v>
      </c>
      <c r="R28" s="402">
        <f t="shared" si="1"/>
        <v>32791699.379712004</v>
      </c>
      <c r="S28" s="402">
        <v>31041295.469999999</v>
      </c>
      <c r="T28" s="402">
        <f t="shared" si="2"/>
        <v>714166359.88370407</v>
      </c>
      <c r="U28" s="417" t="s">
        <v>505</v>
      </c>
      <c r="V28" s="405">
        <v>280</v>
      </c>
      <c r="W28" s="382">
        <f t="shared" si="3"/>
        <v>324726.6959163039</v>
      </c>
      <c r="X28" s="382">
        <f t="shared" si="4"/>
        <v>67199.582099565552</v>
      </c>
      <c r="Y28" s="382">
        <f t="shared" si="5"/>
        <v>1415805.1427326573</v>
      </c>
      <c r="Z28" s="406" t="s">
        <v>576</v>
      </c>
      <c r="AA28" s="420" t="s">
        <v>628</v>
      </c>
      <c r="AB28" s="347">
        <v>1</v>
      </c>
      <c r="AC28" s="384">
        <v>4</v>
      </c>
      <c r="AD28" s="385">
        <v>1</v>
      </c>
      <c r="AE28" s="386"/>
    </row>
    <row r="29" spans="1:32" s="64" customFormat="1" ht="135" hidden="1" x14ac:dyDescent="0.25">
      <c r="A29" s="399">
        <v>50</v>
      </c>
      <c r="B29" s="388" t="s">
        <v>629</v>
      </c>
      <c r="C29" s="389" t="s">
        <v>630</v>
      </c>
      <c r="D29" s="400" t="s">
        <v>527</v>
      </c>
      <c r="E29" s="400" t="s">
        <v>631</v>
      </c>
      <c r="F29" s="400" t="s">
        <v>632</v>
      </c>
      <c r="G29" s="400" t="s">
        <v>633</v>
      </c>
      <c r="H29" s="401">
        <v>1</v>
      </c>
      <c r="I29" s="400" t="s">
        <v>631</v>
      </c>
      <c r="J29" s="400">
        <v>88</v>
      </c>
      <c r="K29" s="425">
        <v>150000000</v>
      </c>
      <c r="L29" s="402">
        <v>312833707.19999999</v>
      </c>
      <c r="M29" s="403">
        <v>0.09</v>
      </c>
      <c r="N29" s="402">
        <f>+L29*(1+'[1]cuadro resumen'!$B$9)*(1+'[1]cuadro resumen'!$C$9)</f>
        <v>341614408.26240003</v>
      </c>
      <c r="O29" s="402">
        <f t="shared" si="0"/>
        <v>61490593.487232</v>
      </c>
      <c r="P29" s="402">
        <f>+K29*(1+'[1]cuadro resumen'!$B$9)*(1+'[1]cuadro resumen'!$C$9)</f>
        <v>163800000</v>
      </c>
      <c r="Q29" s="402">
        <f>+S29*(1+'[1]cuadro resumen'!$B$9)*(1+'[1]cuadro resumen'!$C$9)</f>
        <v>33897094.653240003</v>
      </c>
      <c r="R29" s="402">
        <f t="shared" si="1"/>
        <v>27329152.660992004</v>
      </c>
      <c r="S29" s="402">
        <v>31041295.469999999</v>
      </c>
      <c r="T29" s="402">
        <f t="shared" si="2"/>
        <v>628131249.06386399</v>
      </c>
      <c r="U29" s="417" t="s">
        <v>505</v>
      </c>
      <c r="V29" s="405">
        <v>210</v>
      </c>
      <c r="W29" s="382">
        <f t="shared" si="3"/>
        <v>324726.6959163039</v>
      </c>
      <c r="X29" s="382">
        <f t="shared" si="4"/>
        <v>67199.582099565552</v>
      </c>
      <c r="Y29" s="382">
        <f t="shared" si="5"/>
        <v>1245244.109342427</v>
      </c>
      <c r="Z29" s="406" t="s">
        <v>576</v>
      </c>
      <c r="AA29" s="407" t="s">
        <v>634</v>
      </c>
      <c r="AB29" s="347">
        <v>1</v>
      </c>
      <c r="AC29" s="384">
        <v>4</v>
      </c>
      <c r="AD29" s="385">
        <v>1</v>
      </c>
    </row>
    <row r="30" spans="1:32" s="64" customFormat="1" ht="135" hidden="1" x14ac:dyDescent="0.25">
      <c r="A30" s="399">
        <v>62</v>
      </c>
      <c r="B30" s="388">
        <v>5985</v>
      </c>
      <c r="C30" s="389" t="s">
        <v>635</v>
      </c>
      <c r="D30" s="400" t="s">
        <v>508</v>
      </c>
      <c r="E30" s="400" t="s">
        <v>636</v>
      </c>
      <c r="F30" s="400" t="s">
        <v>637</v>
      </c>
      <c r="G30" s="400" t="s">
        <v>638</v>
      </c>
      <c r="H30" s="401">
        <v>3</v>
      </c>
      <c r="I30" s="400" t="s">
        <v>636</v>
      </c>
      <c r="J30" s="400">
        <v>65</v>
      </c>
      <c r="K30" s="425">
        <v>150000000</v>
      </c>
      <c r="L30" s="402">
        <v>272311821.60000002</v>
      </c>
      <c r="M30" s="403">
        <v>0.09</v>
      </c>
      <c r="N30" s="402">
        <f>+L30*(1+'[1]cuadro resumen'!$B$9)*(1+'[1]cuadro resumen'!$C$9)</f>
        <v>297364509.18720007</v>
      </c>
      <c r="O30" s="402">
        <f t="shared" si="0"/>
        <v>53525611.653696008</v>
      </c>
      <c r="P30" s="402">
        <f>+K30*(1+'[1]cuadro resumen'!$B$9)*(1+'[1]cuadro resumen'!$C$9)</f>
        <v>163800000</v>
      </c>
      <c r="Q30" s="402">
        <f>+S30*(1+'[1]cuadro resumen'!$B$9)*(1+'[1]cuadro resumen'!$C$9)</f>
        <v>33897094.653240003</v>
      </c>
      <c r="R30" s="402">
        <f t="shared" si="1"/>
        <v>23789160.734976005</v>
      </c>
      <c r="S30" s="402">
        <v>31041295.469999999</v>
      </c>
      <c r="T30" s="402">
        <f t="shared" si="2"/>
        <v>572376376.22911215</v>
      </c>
      <c r="U30" s="417" t="s">
        <v>505</v>
      </c>
      <c r="V30" s="405">
        <v>75</v>
      </c>
      <c r="W30" s="382">
        <f t="shared" si="3"/>
        <v>324726.6959163039</v>
      </c>
      <c r="X30" s="382">
        <f t="shared" si="4"/>
        <v>67199.582099565552</v>
      </c>
      <c r="Y30" s="382">
        <f t="shared" si="5"/>
        <v>1134712.389947661</v>
      </c>
      <c r="Z30" s="432" t="s">
        <v>576</v>
      </c>
      <c r="AA30" s="407" t="s">
        <v>513</v>
      </c>
      <c r="AB30" s="347">
        <v>1</v>
      </c>
      <c r="AC30" s="384">
        <v>4</v>
      </c>
      <c r="AD30" s="419">
        <v>1</v>
      </c>
    </row>
    <row r="31" spans="1:32" s="5" customFormat="1" ht="30" hidden="1" customHeight="1" x14ac:dyDescent="0.25">
      <c r="A31" s="374">
        <v>100</v>
      </c>
      <c r="B31" s="375">
        <v>5728</v>
      </c>
      <c r="C31" s="376" t="s">
        <v>639</v>
      </c>
      <c r="D31" s="377" t="s">
        <v>527</v>
      </c>
      <c r="E31" s="377" t="s">
        <v>640</v>
      </c>
      <c r="F31" s="377" t="s">
        <v>641</v>
      </c>
      <c r="G31" s="377" t="s">
        <v>642</v>
      </c>
      <c r="H31" s="377">
        <v>2</v>
      </c>
      <c r="I31" s="431" t="s">
        <v>643</v>
      </c>
      <c r="J31" s="377">
        <v>305</v>
      </c>
      <c r="K31" s="346">
        <v>0</v>
      </c>
      <c r="L31" s="346">
        <v>145985400</v>
      </c>
      <c r="M31" s="379">
        <v>0.09</v>
      </c>
      <c r="N31" s="346">
        <f>+L31*(1+'[1]cuadro resumen'!$B$9)*(1+'[1]cuadro resumen'!$C$9)</f>
        <v>159416056.80000001</v>
      </c>
      <c r="O31" s="346">
        <f t="shared" si="0"/>
        <v>28694890.223999999</v>
      </c>
      <c r="P31" s="346">
        <f>+K31*(1+'[1]cuadro resumen'!$B$9)*(1+'[1]cuadro resumen'!$C$9)</f>
        <v>0</v>
      </c>
      <c r="Q31" s="346">
        <f>+S31*(1+'[1]cuadro resumen'!$B$9)*(1+'[1]cuadro resumen'!$C$9)</f>
        <v>0</v>
      </c>
      <c r="R31" s="346">
        <f t="shared" si="1"/>
        <v>12753284.544000002</v>
      </c>
      <c r="S31" s="346">
        <v>0</v>
      </c>
      <c r="T31" s="346">
        <f t="shared" si="2"/>
        <v>200864231.56800002</v>
      </c>
      <c r="U31" s="380" t="s">
        <v>497</v>
      </c>
      <c r="V31" s="381">
        <v>305</v>
      </c>
      <c r="W31" s="382">
        <f t="shared" si="3"/>
        <v>0</v>
      </c>
      <c r="X31" s="382">
        <f t="shared" si="4"/>
        <v>0</v>
      </c>
      <c r="Y31" s="382">
        <f t="shared" si="5"/>
        <v>398204.99538976798</v>
      </c>
      <c r="Z31" s="383" t="s">
        <v>498</v>
      </c>
      <c r="AA31" s="383" t="s">
        <v>499</v>
      </c>
      <c r="AB31" s="347">
        <v>1</v>
      </c>
      <c r="AC31" s="384">
        <v>3</v>
      </c>
      <c r="AD31" s="419">
        <v>1</v>
      </c>
      <c r="AF31" s="386"/>
    </row>
    <row r="32" spans="1:32" s="5" customFormat="1" ht="30" hidden="1" customHeight="1" x14ac:dyDescent="0.25">
      <c r="A32" s="374">
        <v>102</v>
      </c>
      <c r="B32" s="375">
        <v>406</v>
      </c>
      <c r="C32" s="376" t="s">
        <v>644</v>
      </c>
      <c r="D32" s="377" t="s">
        <v>508</v>
      </c>
      <c r="E32" s="377" t="s">
        <v>645</v>
      </c>
      <c r="F32" s="377" t="s">
        <v>584</v>
      </c>
      <c r="G32" s="377" t="s">
        <v>584</v>
      </c>
      <c r="H32" s="433">
        <v>8</v>
      </c>
      <c r="I32" s="377" t="s">
        <v>508</v>
      </c>
      <c r="J32" s="377">
        <v>583</v>
      </c>
      <c r="K32" s="346">
        <v>0</v>
      </c>
      <c r="L32" s="346">
        <v>145985400</v>
      </c>
      <c r="M32" s="379">
        <v>0.09</v>
      </c>
      <c r="N32" s="346">
        <f>+L32*(1+'[1]cuadro resumen'!$B$9)*(1+'[1]cuadro resumen'!$C$9)</f>
        <v>159416056.80000001</v>
      </c>
      <c r="O32" s="346">
        <f t="shared" si="0"/>
        <v>28694890.223999999</v>
      </c>
      <c r="P32" s="346">
        <f>+K32*(1+'[1]cuadro resumen'!$B$9)*(1+'[1]cuadro resumen'!$C$9)</f>
        <v>0</v>
      </c>
      <c r="Q32" s="346">
        <f>+S32*(1+'[1]cuadro resumen'!$B$9)*(1+'[1]cuadro resumen'!$C$9)</f>
        <v>0</v>
      </c>
      <c r="R32" s="346">
        <f t="shared" si="1"/>
        <v>12753284.544000002</v>
      </c>
      <c r="S32" s="346">
        <v>0</v>
      </c>
      <c r="T32" s="346">
        <f t="shared" si="2"/>
        <v>200864231.56800002</v>
      </c>
      <c r="U32" s="415" t="s">
        <v>497</v>
      </c>
      <c r="V32" s="381">
        <v>583</v>
      </c>
      <c r="W32" s="382">
        <f t="shared" si="3"/>
        <v>0</v>
      </c>
      <c r="X32" s="382">
        <f t="shared" si="4"/>
        <v>0</v>
      </c>
      <c r="Y32" s="382">
        <f t="shared" si="5"/>
        <v>398204.99538976798</v>
      </c>
      <c r="Z32" s="383" t="s">
        <v>498</v>
      </c>
      <c r="AA32" s="383" t="s">
        <v>499</v>
      </c>
      <c r="AB32" s="348">
        <v>1</v>
      </c>
      <c r="AC32" s="426">
        <v>2</v>
      </c>
      <c r="AD32" s="385">
        <v>0</v>
      </c>
      <c r="AE32" s="386"/>
    </row>
    <row r="33" spans="1:32" s="5" customFormat="1" ht="30" hidden="1" customHeight="1" x14ac:dyDescent="0.25">
      <c r="A33" s="374">
        <v>87</v>
      </c>
      <c r="B33" s="375">
        <v>4197</v>
      </c>
      <c r="C33" s="376" t="s">
        <v>646</v>
      </c>
      <c r="D33" s="377" t="s">
        <v>493</v>
      </c>
      <c r="E33" s="377" t="s">
        <v>647</v>
      </c>
      <c r="F33" s="377" t="s">
        <v>647</v>
      </c>
      <c r="G33" s="377" t="s">
        <v>648</v>
      </c>
      <c r="H33" s="378">
        <v>5</v>
      </c>
      <c r="I33" s="377" t="s">
        <v>543</v>
      </c>
      <c r="J33" s="377">
        <v>633</v>
      </c>
      <c r="K33" s="346">
        <v>0</v>
      </c>
      <c r="L33" s="346">
        <v>145985400</v>
      </c>
      <c r="M33" s="434">
        <v>0.14000000000000001</v>
      </c>
      <c r="N33" s="346">
        <f>+L33*(1+'[1]cuadro resumen'!$B$9)*(1+'[1]cuadro resumen'!$C$9)*(1+'[1]cuadro resumen'!$D$9)</f>
        <v>167386859.64000002</v>
      </c>
      <c r="O33" s="346">
        <f t="shared" si="0"/>
        <v>30129634.735200003</v>
      </c>
      <c r="P33" s="346">
        <f>K33*(1+'[1]cuadro resumen'!$B$9)*(1+'[1]cuadro resumen'!$C$9)*(1+'[1]cuadro resumen'!$D$9)</f>
        <v>0</v>
      </c>
      <c r="Q33" s="346">
        <f>S33*(1+'[1]cuadro resumen'!$B$9)*(1+'[1]cuadro resumen'!$C$9)*(1+'[1]cuadro resumen'!$D$9)</f>
        <v>0</v>
      </c>
      <c r="R33" s="346">
        <f t="shared" si="1"/>
        <v>13390948.771200001</v>
      </c>
      <c r="S33" s="346">
        <v>0</v>
      </c>
      <c r="T33" s="346">
        <f t="shared" si="2"/>
        <v>210907443.14640003</v>
      </c>
      <c r="U33" s="415" t="s">
        <v>497</v>
      </c>
      <c r="V33" s="381">
        <v>633</v>
      </c>
      <c r="W33" s="382">
        <f t="shared" si="3"/>
        <v>0</v>
      </c>
      <c r="X33" s="382">
        <f t="shared" si="4"/>
        <v>0</v>
      </c>
      <c r="Y33" s="382">
        <f t="shared" si="5"/>
        <v>418115.24515925645</v>
      </c>
      <c r="Z33" s="383" t="s">
        <v>498</v>
      </c>
      <c r="AA33" s="383" t="s">
        <v>499</v>
      </c>
      <c r="AB33" s="347">
        <v>2</v>
      </c>
      <c r="AC33" s="384">
        <v>5</v>
      </c>
      <c r="AD33" s="419">
        <v>0</v>
      </c>
    </row>
    <row r="34" spans="1:32" s="5" customFormat="1" ht="120" hidden="1" x14ac:dyDescent="0.25">
      <c r="A34" s="387">
        <v>35</v>
      </c>
      <c r="B34" s="388" t="s">
        <v>649</v>
      </c>
      <c r="C34" s="389" t="s">
        <v>650</v>
      </c>
      <c r="D34" s="390" t="s">
        <v>502</v>
      </c>
      <c r="E34" s="390" t="s">
        <v>502</v>
      </c>
      <c r="F34" s="390" t="s">
        <v>503</v>
      </c>
      <c r="G34" s="390" t="s">
        <v>651</v>
      </c>
      <c r="H34" s="391">
        <v>2</v>
      </c>
      <c r="I34" s="390" t="s">
        <v>502</v>
      </c>
      <c r="J34" s="390">
        <v>265</v>
      </c>
      <c r="K34" s="392">
        <v>0</v>
      </c>
      <c r="L34" s="392">
        <v>563552684.79999995</v>
      </c>
      <c r="M34" s="393">
        <v>0.09</v>
      </c>
      <c r="N34" s="392">
        <f>+L34*(1+'[1]cuadro resumen'!$B$9)*(1+'[1]cuadro resumen'!$C$9)</f>
        <v>615399531.80159998</v>
      </c>
      <c r="O34" s="392">
        <f t="shared" si="0"/>
        <v>110771915.72428799</v>
      </c>
      <c r="P34" s="392">
        <f>+K34*(1+'[1]cuadro resumen'!$B$9)*(1+'[1]cuadro resumen'!$C$9)</f>
        <v>0</v>
      </c>
      <c r="Q34" s="392">
        <f>+S34*(1+'[1]cuadro resumen'!$B$9)*(1+'[1]cuadro resumen'!$C$9)</f>
        <v>46033582.140000001</v>
      </c>
      <c r="R34" s="392">
        <f t="shared" ref="R34:R65" si="6">N34*0.08</f>
        <v>49231962.544128001</v>
      </c>
      <c r="S34" s="392">
        <v>42155295</v>
      </c>
      <c r="T34" s="392">
        <f t="shared" ref="T34:T65" si="7">SUM(N34:R34)</f>
        <v>821436992.21001601</v>
      </c>
      <c r="U34" s="428" t="s">
        <v>505</v>
      </c>
      <c r="V34" s="395">
        <v>500</v>
      </c>
      <c r="W34" s="396">
        <f t="shared" ref="W34:W65" si="8">P34/504.424188278682</f>
        <v>0</v>
      </c>
      <c r="X34" s="396">
        <f t="shared" ref="X34:X65" si="9">Q34/504.424188278682</f>
        <v>91259.664404847252</v>
      </c>
      <c r="Y34" s="396">
        <f t="shared" ref="Y34:Y65" si="10">T34/504.424188278682</f>
        <v>1628464.715407724</v>
      </c>
      <c r="Z34" s="397" t="s">
        <v>498</v>
      </c>
      <c r="AA34" s="398" t="s">
        <v>652</v>
      </c>
      <c r="AB34" s="348">
        <v>1</v>
      </c>
      <c r="AC34" s="426">
        <v>2</v>
      </c>
      <c r="AD34" s="419">
        <v>0</v>
      </c>
    </row>
    <row r="35" spans="1:32" s="64" customFormat="1" ht="15" hidden="1" customHeight="1" x14ac:dyDescent="0.25">
      <c r="A35" s="399">
        <v>25</v>
      </c>
      <c r="B35" s="388">
        <v>5053</v>
      </c>
      <c r="C35" s="389" t="s">
        <v>653</v>
      </c>
      <c r="D35" s="400" t="s">
        <v>538</v>
      </c>
      <c r="E35" s="400" t="s">
        <v>654</v>
      </c>
      <c r="F35" s="400" t="s">
        <v>654</v>
      </c>
      <c r="G35" s="400" t="s">
        <v>655</v>
      </c>
      <c r="H35" s="401">
        <v>2</v>
      </c>
      <c r="I35" s="400" t="s">
        <v>654</v>
      </c>
      <c r="J35" s="400">
        <v>178</v>
      </c>
      <c r="K35" s="402">
        <v>0</v>
      </c>
      <c r="L35" s="402">
        <v>405397888</v>
      </c>
      <c r="M35" s="403">
        <v>0.09</v>
      </c>
      <c r="N35" s="402">
        <f>+L35*(1+'[1]cuadro resumen'!$B$9)*(1+'[1]cuadro resumen'!$C$9)</f>
        <v>442694493.69600004</v>
      </c>
      <c r="O35" s="402">
        <f t="shared" si="0"/>
        <v>79685008.865280002</v>
      </c>
      <c r="P35" s="402">
        <f>+K35*(1+'[1]cuadro resumen'!$B$9)*(1+'[1]cuadro resumen'!$C$9)</f>
        <v>0</v>
      </c>
      <c r="Q35" s="402">
        <f>+S35*(1+'[1]cuadro resumen'!$B$9)*(1+'[1]cuadro resumen'!$C$9)</f>
        <v>36987454.140000001</v>
      </c>
      <c r="R35" s="402">
        <f t="shared" si="6"/>
        <v>35415559.495680004</v>
      </c>
      <c r="S35" s="402">
        <v>33871295</v>
      </c>
      <c r="T35" s="402">
        <f t="shared" si="7"/>
        <v>594782516.19695997</v>
      </c>
      <c r="U35" s="417" t="s">
        <v>505</v>
      </c>
      <c r="V35" s="405">
        <v>250</v>
      </c>
      <c r="W35" s="382">
        <f t="shared" si="8"/>
        <v>0</v>
      </c>
      <c r="X35" s="382">
        <f t="shared" si="9"/>
        <v>73326.091411709509</v>
      </c>
      <c r="Y35" s="382">
        <f t="shared" si="10"/>
        <v>1179131.6317058872</v>
      </c>
      <c r="Z35" s="406" t="s">
        <v>498</v>
      </c>
      <c r="AA35" s="435" t="s">
        <v>656</v>
      </c>
      <c r="AB35" s="348">
        <v>1</v>
      </c>
      <c r="AC35" s="426">
        <v>2</v>
      </c>
      <c r="AD35" s="419">
        <v>0</v>
      </c>
    </row>
    <row r="36" spans="1:32" s="64" customFormat="1" ht="180" hidden="1" x14ac:dyDescent="0.25">
      <c r="A36" s="399">
        <v>72</v>
      </c>
      <c r="B36" s="388">
        <v>381</v>
      </c>
      <c r="C36" s="427" t="s">
        <v>657</v>
      </c>
      <c r="D36" s="400" t="s">
        <v>512</v>
      </c>
      <c r="E36" s="400" t="s">
        <v>658</v>
      </c>
      <c r="F36" s="400" t="s">
        <v>584</v>
      </c>
      <c r="G36" s="400" t="s">
        <v>659</v>
      </c>
      <c r="H36" s="400">
        <v>11</v>
      </c>
      <c r="I36" s="400" t="s">
        <v>615</v>
      </c>
      <c r="J36" s="400">
        <v>128</v>
      </c>
      <c r="K36" s="402">
        <v>0</v>
      </c>
      <c r="L36" s="402">
        <v>405397888</v>
      </c>
      <c r="M36" s="403">
        <v>0.09</v>
      </c>
      <c r="N36" s="402">
        <f>+L36*(1+'[1]cuadro resumen'!$B$9)*(1+'[1]cuadro resumen'!$C$9)</f>
        <v>442694493.69600004</v>
      </c>
      <c r="O36" s="402">
        <f t="shared" si="0"/>
        <v>79685008.865280002</v>
      </c>
      <c r="P36" s="402">
        <f>+K36*(1+'[1]cuadro resumen'!$B$9)*(1+'[1]cuadro resumen'!$C$9)</f>
        <v>0</v>
      </c>
      <c r="Q36" s="402">
        <f>+S36*(1+'[1]cuadro resumen'!$B$9)*(1+'[1]cuadro resumen'!$C$9)</f>
        <v>36987454.140000001</v>
      </c>
      <c r="R36" s="402">
        <f t="shared" si="6"/>
        <v>35415559.495680004</v>
      </c>
      <c r="S36" s="402">
        <v>33871295</v>
      </c>
      <c r="T36" s="402">
        <f t="shared" si="7"/>
        <v>594782516.19695997</v>
      </c>
      <c r="U36" s="404" t="s">
        <v>505</v>
      </c>
      <c r="V36" s="405">
        <v>250</v>
      </c>
      <c r="W36" s="382">
        <f t="shared" si="8"/>
        <v>0</v>
      </c>
      <c r="X36" s="382">
        <f t="shared" si="9"/>
        <v>73326.091411709509</v>
      </c>
      <c r="Y36" s="382">
        <f t="shared" si="10"/>
        <v>1179131.6317058872</v>
      </c>
      <c r="Z36" s="406" t="s">
        <v>498</v>
      </c>
      <c r="AA36" s="435" t="s">
        <v>660</v>
      </c>
      <c r="AB36" s="348">
        <v>1</v>
      </c>
      <c r="AC36" s="426">
        <v>2</v>
      </c>
      <c r="AD36" s="385">
        <v>0</v>
      </c>
      <c r="AF36" s="386"/>
    </row>
    <row r="37" spans="1:32" s="64" customFormat="1" ht="210" hidden="1" x14ac:dyDescent="0.25">
      <c r="A37" s="399">
        <v>70</v>
      </c>
      <c r="B37" s="388">
        <v>3538</v>
      </c>
      <c r="C37" s="427" t="s">
        <v>661</v>
      </c>
      <c r="D37" s="400" t="s">
        <v>524</v>
      </c>
      <c r="E37" s="400" t="s">
        <v>662</v>
      </c>
      <c r="F37" s="400" t="s">
        <v>663</v>
      </c>
      <c r="G37" s="400" t="s">
        <v>664</v>
      </c>
      <c r="H37" s="400">
        <v>4</v>
      </c>
      <c r="I37" s="400" t="s">
        <v>665</v>
      </c>
      <c r="J37" s="400">
        <v>399</v>
      </c>
      <c r="K37" s="402">
        <v>0</v>
      </c>
      <c r="L37" s="402">
        <v>563552684.79999995</v>
      </c>
      <c r="M37" s="403">
        <v>0.09</v>
      </c>
      <c r="N37" s="402">
        <f>+L37*(1+'[1]cuadro resumen'!$B$9)*(1+'[1]cuadro resumen'!$C$9)</f>
        <v>615399531.80159998</v>
      </c>
      <c r="O37" s="402">
        <f t="shared" si="0"/>
        <v>110771915.72428799</v>
      </c>
      <c r="P37" s="402">
        <f>+K37*(1+'[1]cuadro resumen'!$B$9)*(1+'[1]cuadro resumen'!$C$9)</f>
        <v>0</v>
      </c>
      <c r="Q37" s="402">
        <f>+S37*(1+'[1]cuadro resumen'!$B$9)*(1+'[1]cuadro resumen'!$C$9)</f>
        <v>46033582.140000001</v>
      </c>
      <c r="R37" s="402">
        <f t="shared" si="6"/>
        <v>49231962.544128001</v>
      </c>
      <c r="S37" s="402">
        <v>42155295</v>
      </c>
      <c r="T37" s="402">
        <f t="shared" si="7"/>
        <v>821436992.21001601</v>
      </c>
      <c r="U37" s="404" t="s">
        <v>505</v>
      </c>
      <c r="V37" s="405">
        <v>500</v>
      </c>
      <c r="W37" s="382">
        <f t="shared" si="8"/>
        <v>0</v>
      </c>
      <c r="X37" s="382">
        <f t="shared" si="9"/>
        <v>91259.664404847252</v>
      </c>
      <c r="Y37" s="382">
        <f t="shared" si="10"/>
        <v>1628464.715407724</v>
      </c>
      <c r="Z37" s="406" t="s">
        <v>498</v>
      </c>
      <c r="AA37" s="398" t="s">
        <v>666</v>
      </c>
      <c r="AB37" s="348">
        <v>1</v>
      </c>
      <c r="AC37" s="426">
        <v>2</v>
      </c>
      <c r="AD37" s="385">
        <v>0</v>
      </c>
      <c r="AF37" s="386"/>
    </row>
    <row r="38" spans="1:32" s="64" customFormat="1" ht="90.75" hidden="1" customHeight="1" x14ac:dyDescent="0.25">
      <c r="A38" s="399">
        <v>44</v>
      </c>
      <c r="B38" s="388">
        <v>6411</v>
      </c>
      <c r="C38" s="436" t="s">
        <v>667</v>
      </c>
      <c r="D38" s="400" t="s">
        <v>520</v>
      </c>
      <c r="E38" s="400" t="s">
        <v>662</v>
      </c>
      <c r="F38" s="400" t="s">
        <v>662</v>
      </c>
      <c r="G38" s="400" t="s">
        <v>668</v>
      </c>
      <c r="H38" s="401">
        <v>4</v>
      </c>
      <c r="I38" s="400" t="s">
        <v>665</v>
      </c>
      <c r="J38" s="400">
        <v>260</v>
      </c>
      <c r="K38" s="402">
        <v>0</v>
      </c>
      <c r="L38" s="402">
        <v>633959048.79999995</v>
      </c>
      <c r="M38" s="437">
        <v>0.14000000000000001</v>
      </c>
      <c r="N38" s="402">
        <f>+L38*(1+'[1]cuadro resumen'!$B$9)*(1+'[1]cuadro resumen'!$C$9)*(1+'[1]cuadro resumen'!$D$9)</f>
        <v>726897445.35408008</v>
      </c>
      <c r="O38" s="402">
        <f t="shared" si="0"/>
        <v>130841540.16373441</v>
      </c>
      <c r="P38" s="402">
        <f>K38*(1+'[1]cuadro resumen'!$B$9)*(1+'[1]cuadro resumen'!$C$9)*(1+'[1]cuadro resumen'!$D$9)</f>
        <v>0</v>
      </c>
      <c r="Q38" s="402">
        <f>S38*(1+'[1]cuadro resumen'!$B$9)*(1+'[1]cuadro resumen'!$C$9)*(1+'[1]cuadro resumen'!$D$9)</f>
        <v>48335261.247000001</v>
      </c>
      <c r="R38" s="402">
        <f t="shared" si="6"/>
        <v>58151795.628326409</v>
      </c>
      <c r="S38" s="402">
        <v>42155295</v>
      </c>
      <c r="T38" s="402">
        <f t="shared" si="7"/>
        <v>964226042.39314091</v>
      </c>
      <c r="U38" s="417" t="s">
        <v>505</v>
      </c>
      <c r="V38" s="405">
        <v>500</v>
      </c>
      <c r="W38" s="382">
        <f t="shared" si="8"/>
        <v>0</v>
      </c>
      <c r="X38" s="382">
        <f t="shared" si="9"/>
        <v>95822.647625089608</v>
      </c>
      <c r="Y38" s="382">
        <f t="shared" si="10"/>
        <v>1911538.0760853398</v>
      </c>
      <c r="Z38" s="438" t="s">
        <v>669</v>
      </c>
      <c r="AA38" s="439" t="s">
        <v>670</v>
      </c>
      <c r="AB38" s="348">
        <v>2</v>
      </c>
      <c r="AC38" s="426">
        <v>1</v>
      </c>
      <c r="AD38" s="385">
        <v>0</v>
      </c>
      <c r="AE38" s="440"/>
    </row>
    <row r="39" spans="1:32" s="64" customFormat="1" ht="90" hidden="1" customHeight="1" x14ac:dyDescent="0.25">
      <c r="A39" s="399">
        <v>20</v>
      </c>
      <c r="B39" s="388">
        <v>6152</v>
      </c>
      <c r="C39" s="436" t="s">
        <v>671</v>
      </c>
      <c r="D39" s="400" t="s">
        <v>538</v>
      </c>
      <c r="E39" s="400" t="s">
        <v>672</v>
      </c>
      <c r="F39" s="400" t="s">
        <v>596</v>
      </c>
      <c r="G39" s="400" t="s">
        <v>673</v>
      </c>
      <c r="H39" s="401">
        <v>6</v>
      </c>
      <c r="I39" s="400" t="s">
        <v>538</v>
      </c>
      <c r="J39" s="400">
        <v>32</v>
      </c>
      <c r="K39" s="402">
        <v>0</v>
      </c>
      <c r="L39" s="402">
        <v>330246081.19999999</v>
      </c>
      <c r="M39" s="437">
        <v>0.14000000000000001</v>
      </c>
      <c r="N39" s="402">
        <f>+L39*(1+'[1]cuadro resumen'!$B$9)*(1+'[1]cuadro resumen'!$C$9)*(1+'[1]cuadro resumen'!$D$9)</f>
        <v>378660156.70392007</v>
      </c>
      <c r="O39" s="402">
        <f t="shared" si="0"/>
        <v>68158828.206705615</v>
      </c>
      <c r="P39" s="402">
        <f>K39*(1+'[1]cuadro resumen'!$B$9)*(1+'[1]cuadro resumen'!$C$9)*(1+'[1]cuadro resumen'!$D$9)</f>
        <v>0</v>
      </c>
      <c r="Q39" s="402">
        <f>S39*(1+'[1]cuadro resumen'!$B$9)*(1+'[1]cuadro resumen'!$C$9)*(1+'[1]cuadro resumen'!$D$9)</f>
        <v>34633391.247000001</v>
      </c>
      <c r="R39" s="402">
        <f t="shared" si="6"/>
        <v>30292812.536313605</v>
      </c>
      <c r="S39" s="402">
        <v>30205295</v>
      </c>
      <c r="T39" s="402">
        <f t="shared" si="7"/>
        <v>511745188.69393927</v>
      </c>
      <c r="U39" s="417" t="s">
        <v>505</v>
      </c>
      <c r="V39" s="405">
        <v>150</v>
      </c>
      <c r="W39" s="382">
        <f t="shared" si="8"/>
        <v>0</v>
      </c>
      <c r="X39" s="382">
        <f t="shared" si="9"/>
        <v>68659.259511690791</v>
      </c>
      <c r="Y39" s="382">
        <f t="shared" si="10"/>
        <v>1014513.5792164126</v>
      </c>
      <c r="Z39" s="406" t="s">
        <v>498</v>
      </c>
      <c r="AA39" s="420" t="s">
        <v>674</v>
      </c>
      <c r="AB39" s="348">
        <v>2</v>
      </c>
      <c r="AC39" s="426">
        <v>2</v>
      </c>
      <c r="AD39" s="385">
        <v>0</v>
      </c>
    </row>
    <row r="40" spans="1:32" s="64" customFormat="1" ht="135" x14ac:dyDescent="0.25">
      <c r="A40" s="399">
        <v>63</v>
      </c>
      <c r="B40" s="388" t="s">
        <v>675</v>
      </c>
      <c r="C40" s="441" t="s">
        <v>676</v>
      </c>
      <c r="D40" s="400" t="s">
        <v>508</v>
      </c>
      <c r="E40" s="400" t="s">
        <v>508</v>
      </c>
      <c r="F40" s="400" t="s">
        <v>677</v>
      </c>
      <c r="G40" s="400" t="s">
        <v>677</v>
      </c>
      <c r="H40" s="401">
        <v>4</v>
      </c>
      <c r="I40" s="400" t="s">
        <v>508</v>
      </c>
      <c r="J40" s="400">
        <v>1852</v>
      </c>
      <c r="K40" s="402">
        <v>200000000</v>
      </c>
      <c r="L40" s="402">
        <v>1761657626.4000001</v>
      </c>
      <c r="M40" s="437">
        <v>0.14000000000000001</v>
      </c>
      <c r="N40" s="402">
        <f>+L40*(1+'[1]cuadro resumen'!$B$9)*(1+'[1]cuadro resumen'!$C$9)*(1+'[1]cuadro resumen'!$D$9)</f>
        <v>2019916634.4302404</v>
      </c>
      <c r="O40" s="402">
        <f t="shared" si="0"/>
        <v>363584994.19744325</v>
      </c>
      <c r="P40" s="402">
        <f>K40*(1+'[1]cuadro resumen'!$B$9)*(1+'[1]cuadro resumen'!$C$9)*(1+'[1]cuadro resumen'!$D$9)</f>
        <v>229320000</v>
      </c>
      <c r="Q40" s="402">
        <f>S40*(1+'[1]cuadro resumen'!$B$9)*(1+'[1]cuadro resumen'!$C$9)*(1+'[1]cuadro resumen'!$D$9)</f>
        <v>172880204.18760005</v>
      </c>
      <c r="R40" s="402">
        <f t="shared" si="6"/>
        <v>161593330.75441924</v>
      </c>
      <c r="S40" s="402">
        <v>150776386</v>
      </c>
      <c r="T40" s="402">
        <f t="shared" si="7"/>
        <v>2947295163.5697031</v>
      </c>
      <c r="U40" s="404" t="s">
        <v>505</v>
      </c>
      <c r="V40" s="405">
        <v>1900</v>
      </c>
      <c r="W40" s="382">
        <f t="shared" si="8"/>
        <v>454617.37428282551</v>
      </c>
      <c r="X40" s="382">
        <f t="shared" si="9"/>
        <v>342727.82353586896</v>
      </c>
      <c r="Y40" s="382">
        <f t="shared" si="10"/>
        <v>5842890.2341641774</v>
      </c>
      <c r="Z40" s="406" t="s">
        <v>576</v>
      </c>
      <c r="AA40" s="407" t="s">
        <v>513</v>
      </c>
      <c r="AB40" s="348">
        <v>2</v>
      </c>
      <c r="AC40" s="426">
        <v>2</v>
      </c>
      <c r="AD40" s="385">
        <v>1</v>
      </c>
      <c r="AF40" s="386"/>
    </row>
    <row r="41" spans="1:32" s="64" customFormat="1" ht="15" hidden="1" customHeight="1" x14ac:dyDescent="0.25">
      <c r="A41" s="399">
        <v>55</v>
      </c>
      <c r="B41" s="388">
        <v>438</v>
      </c>
      <c r="C41" s="441" t="s">
        <v>678</v>
      </c>
      <c r="D41" s="390" t="s">
        <v>508</v>
      </c>
      <c r="E41" s="390" t="s">
        <v>679</v>
      </c>
      <c r="F41" s="390" t="s">
        <v>680</v>
      </c>
      <c r="G41" s="390" t="s">
        <v>681</v>
      </c>
      <c r="H41" s="391">
        <v>10</v>
      </c>
      <c r="I41" s="390" t="s">
        <v>508</v>
      </c>
      <c r="J41" s="390">
        <v>741</v>
      </c>
      <c r="K41" s="392">
        <v>0</v>
      </c>
      <c r="L41" s="392">
        <v>928503102.79999995</v>
      </c>
      <c r="M41" s="442">
        <v>0.14000000000000001</v>
      </c>
      <c r="N41" s="392">
        <f>+L41*(1+'[1]cuadro resumen'!$B$9)*(1+'[1]cuadro resumen'!$C$9)*(1+'[1]cuadro resumen'!$D$9)</f>
        <v>1064621657.67048</v>
      </c>
      <c r="O41" s="392">
        <f t="shared" si="0"/>
        <v>191631898.3806864</v>
      </c>
      <c r="P41" s="392">
        <f>K41*(1+'[1]cuadro resumen'!$B$9)*(1+'[1]cuadro resumen'!$C$9)*(1+'[1]cuadro resumen'!$D$9)</f>
        <v>0</v>
      </c>
      <c r="Q41" s="392">
        <f>S41*(1+'[1]cuadro resumen'!$B$9)*(1+'[1]cuadro resumen'!$C$9)*(1+'[1]cuadro resumen'!$D$9)</f>
        <v>76928598.747000009</v>
      </c>
      <c r="R41" s="392">
        <f t="shared" si="6"/>
        <v>85169732.613638401</v>
      </c>
      <c r="S41" s="392">
        <v>67092795</v>
      </c>
      <c r="T41" s="392">
        <f t="shared" si="7"/>
        <v>1418351887.4118049</v>
      </c>
      <c r="U41" s="428" t="s">
        <v>505</v>
      </c>
      <c r="V41" s="395">
        <v>1000</v>
      </c>
      <c r="W41" s="396">
        <f t="shared" si="8"/>
        <v>0</v>
      </c>
      <c r="X41" s="396">
        <f t="shared" si="9"/>
        <v>152507.75148097944</v>
      </c>
      <c r="Y41" s="396">
        <f t="shared" si="10"/>
        <v>2811823.6999138519</v>
      </c>
      <c r="Z41" s="397" t="s">
        <v>498</v>
      </c>
      <c r="AA41" s="398" t="s">
        <v>682</v>
      </c>
      <c r="AB41" s="348">
        <v>2</v>
      </c>
      <c r="AC41" s="426">
        <v>2</v>
      </c>
      <c r="AD41" s="385">
        <v>0</v>
      </c>
      <c r="AE41" s="1"/>
    </row>
    <row r="42" spans="1:32" s="64" customFormat="1" ht="120" hidden="1" x14ac:dyDescent="0.25">
      <c r="A42" s="387">
        <v>26</v>
      </c>
      <c r="B42" s="388" t="s">
        <v>683</v>
      </c>
      <c r="C42" s="441" t="s">
        <v>684</v>
      </c>
      <c r="D42" s="390" t="s">
        <v>493</v>
      </c>
      <c r="E42" s="390" t="s">
        <v>572</v>
      </c>
      <c r="F42" s="390" t="s">
        <v>685</v>
      </c>
      <c r="G42" s="390" t="s">
        <v>685</v>
      </c>
      <c r="H42" s="391">
        <v>1</v>
      </c>
      <c r="I42" s="390" t="s">
        <v>575</v>
      </c>
      <c r="J42" s="390">
        <v>566</v>
      </c>
      <c r="K42" s="392">
        <v>0</v>
      </c>
      <c r="L42" s="392">
        <v>928503102.79999995</v>
      </c>
      <c r="M42" s="442">
        <v>0.14000000000000001</v>
      </c>
      <c r="N42" s="392">
        <f>+L42*(1+'[1]cuadro resumen'!$B$9)*(1+'[1]cuadro resumen'!$C$9)*(1+'[1]cuadro resumen'!$D$9)</f>
        <v>1064621657.67048</v>
      </c>
      <c r="O42" s="392">
        <f t="shared" si="0"/>
        <v>191631898.3806864</v>
      </c>
      <c r="P42" s="392">
        <f>K42*(1+'[1]cuadro resumen'!$B$9)*(1+'[1]cuadro resumen'!$C$9)*(1+'[1]cuadro resumen'!$D$9)</f>
        <v>0</v>
      </c>
      <c r="Q42" s="392">
        <f>S42*(1+'[1]cuadro resumen'!$B$9)*(1+'[1]cuadro resumen'!$C$9)*(1+'[1]cuadro resumen'!$D$9)</f>
        <v>76928598.747000009</v>
      </c>
      <c r="R42" s="392">
        <f t="shared" si="6"/>
        <v>85169732.613638401</v>
      </c>
      <c r="S42" s="392">
        <v>67092795</v>
      </c>
      <c r="T42" s="392">
        <f t="shared" si="7"/>
        <v>1418351887.4118049</v>
      </c>
      <c r="U42" s="428" t="s">
        <v>505</v>
      </c>
      <c r="V42" s="395">
        <v>1000</v>
      </c>
      <c r="W42" s="396">
        <f t="shared" si="8"/>
        <v>0</v>
      </c>
      <c r="X42" s="396">
        <f t="shared" si="9"/>
        <v>152507.75148097944</v>
      </c>
      <c r="Y42" s="396">
        <f t="shared" si="10"/>
        <v>2811823.6999138519</v>
      </c>
      <c r="Z42" s="397" t="s">
        <v>498</v>
      </c>
      <c r="AA42" s="435" t="s">
        <v>686</v>
      </c>
      <c r="AB42" s="348">
        <v>2</v>
      </c>
      <c r="AC42" s="426">
        <v>2</v>
      </c>
      <c r="AD42" s="385">
        <v>0</v>
      </c>
      <c r="AE42" s="1"/>
    </row>
    <row r="43" spans="1:32" s="64" customFormat="1" ht="150" x14ac:dyDescent="0.25">
      <c r="A43" s="399">
        <v>56</v>
      </c>
      <c r="B43" s="388" t="s">
        <v>687</v>
      </c>
      <c r="C43" s="389" t="s">
        <v>688</v>
      </c>
      <c r="D43" s="400" t="s">
        <v>508</v>
      </c>
      <c r="E43" s="400" t="s">
        <v>689</v>
      </c>
      <c r="F43" s="400" t="s">
        <v>690</v>
      </c>
      <c r="G43" s="400" t="s">
        <v>690</v>
      </c>
      <c r="H43" s="401">
        <v>2</v>
      </c>
      <c r="I43" s="400" t="s">
        <v>689</v>
      </c>
      <c r="J43" s="400">
        <v>250</v>
      </c>
      <c r="K43" s="402">
        <v>250000000</v>
      </c>
      <c r="L43" s="402">
        <v>633959048.79999995</v>
      </c>
      <c r="M43" s="437">
        <v>0.14000000000000001</v>
      </c>
      <c r="N43" s="402">
        <f>+L43*(1+'[1]cuadro resumen'!$B$9)*(1+'[1]cuadro resumen'!$C$9)*(1+'[1]cuadro resumen'!$D$9)</f>
        <v>726897445.35408008</v>
      </c>
      <c r="O43" s="402">
        <f t="shared" si="0"/>
        <v>130841540.16373441</v>
      </c>
      <c r="P43" s="402">
        <f>K43*(1+'[1]cuadro resumen'!$B$9)*(1+'[1]cuadro resumen'!$C$9)*(1+'[1]cuadro resumen'!$D$9)</f>
        <v>286650000</v>
      </c>
      <c r="Q43" s="402">
        <f>S43*(1+'[1]cuadro resumen'!$B$9)*(1+'[1]cuadro resumen'!$C$9)*(1+'[1]cuadro resumen'!$D$9)</f>
        <v>55682100.747000001</v>
      </c>
      <c r="R43" s="402">
        <f t="shared" si="6"/>
        <v>58151795.628326409</v>
      </c>
      <c r="S43" s="402">
        <v>48562795</v>
      </c>
      <c r="T43" s="402">
        <f t="shared" si="7"/>
        <v>1258222881.893141</v>
      </c>
      <c r="U43" s="417" t="s">
        <v>505</v>
      </c>
      <c r="V43" s="405">
        <v>500</v>
      </c>
      <c r="W43" s="382">
        <f t="shared" si="8"/>
        <v>568271.71785353182</v>
      </c>
      <c r="X43" s="382">
        <f t="shared" si="9"/>
        <v>110387.45175367563</v>
      </c>
      <c r="Y43" s="382">
        <f t="shared" si="10"/>
        <v>2494374.5980674578</v>
      </c>
      <c r="Z43" s="406" t="s">
        <v>576</v>
      </c>
      <c r="AA43" s="407" t="s">
        <v>691</v>
      </c>
      <c r="AB43" s="348">
        <v>2</v>
      </c>
      <c r="AC43" s="426">
        <v>2</v>
      </c>
      <c r="AD43" s="385">
        <v>1</v>
      </c>
      <c r="AE43" s="1"/>
    </row>
    <row r="44" spans="1:32" s="64" customFormat="1" ht="15" hidden="1" customHeight="1" x14ac:dyDescent="0.25">
      <c r="A44" s="387">
        <v>24</v>
      </c>
      <c r="B44" s="388" t="s">
        <v>692</v>
      </c>
      <c r="C44" s="389" t="s">
        <v>693</v>
      </c>
      <c r="D44" s="390" t="s">
        <v>538</v>
      </c>
      <c r="E44" s="390" t="s">
        <v>654</v>
      </c>
      <c r="F44" s="390" t="s">
        <v>694</v>
      </c>
      <c r="G44" s="390" t="s">
        <v>695</v>
      </c>
      <c r="H44" s="390">
        <v>2</v>
      </c>
      <c r="I44" s="390" t="s">
        <v>654</v>
      </c>
      <c r="J44" s="390">
        <v>221</v>
      </c>
      <c r="K44" s="392">
        <v>0</v>
      </c>
      <c r="L44" s="392">
        <v>405397888</v>
      </c>
      <c r="M44" s="393">
        <v>0.19</v>
      </c>
      <c r="N44" s="392">
        <f>+L44*(1+'[1]cuadro resumen'!$B$9)*(1+'[1]cuadro resumen'!$C$9)*(1+'[1]cuadro resumen'!$D$9)*(1+'[1]cuadro resumen'!$E$9)</f>
        <v>488070679.29984009</v>
      </c>
      <c r="O44" s="392">
        <f>N44*0.18</f>
        <v>87852722.273971215</v>
      </c>
      <c r="P44" s="392">
        <f>+K44*(1+'[1]cuadro resumen'!$B$9)*(1+'[1]cuadro resumen'!$C$9)*(1+'[1]cuadro resumen'!$D$9)*(1+'[1]cuadro resumen'!$E$9)</f>
        <v>0</v>
      </c>
      <c r="Q44" s="392">
        <f>+S44*(1+'[1]cuadro resumen'!$B$9)*(1+'[1]cuadro resumen'!$C$9)*(1+'[1]cuadro resumen'!$D$9)*(1+'[1]cuadro resumen'!$E$9)</f>
        <v>40778668.189350002</v>
      </c>
      <c r="R44" s="392">
        <f t="shared" si="6"/>
        <v>39045654.343987212</v>
      </c>
      <c r="S44" s="392">
        <v>33871295</v>
      </c>
      <c r="T44" s="392">
        <f t="shared" si="7"/>
        <v>655747724.10714853</v>
      </c>
      <c r="U44" s="394" t="s">
        <v>505</v>
      </c>
      <c r="V44" s="395">
        <v>250</v>
      </c>
      <c r="W44" s="396">
        <f t="shared" si="8"/>
        <v>0</v>
      </c>
      <c r="X44" s="396">
        <f t="shared" si="9"/>
        <v>80842.015781409733</v>
      </c>
      <c r="Y44" s="396">
        <f t="shared" si="10"/>
        <v>1299992.6239557411</v>
      </c>
      <c r="Z44" s="397" t="s">
        <v>696</v>
      </c>
      <c r="AA44" s="435" t="s">
        <v>697</v>
      </c>
      <c r="AB44" s="348">
        <v>3</v>
      </c>
      <c r="AC44" s="426">
        <v>2</v>
      </c>
      <c r="AD44" s="385">
        <v>0</v>
      </c>
      <c r="AF44" s="386"/>
    </row>
    <row r="45" spans="1:32" s="64" customFormat="1" ht="75" customHeight="1" x14ac:dyDescent="0.25">
      <c r="A45" s="387">
        <v>22</v>
      </c>
      <c r="B45" s="388" t="s">
        <v>698</v>
      </c>
      <c r="C45" s="389" t="s">
        <v>699</v>
      </c>
      <c r="D45" s="390" t="s">
        <v>538</v>
      </c>
      <c r="E45" s="390" t="s">
        <v>700</v>
      </c>
      <c r="F45" s="390" t="s">
        <v>701</v>
      </c>
      <c r="G45" s="390" t="s">
        <v>702</v>
      </c>
      <c r="H45" s="390">
        <v>7</v>
      </c>
      <c r="I45" s="390" t="s">
        <v>538</v>
      </c>
      <c r="J45" s="390">
        <v>108</v>
      </c>
      <c r="K45" s="392">
        <v>200000000</v>
      </c>
      <c r="L45" s="392">
        <v>405397888</v>
      </c>
      <c r="M45" s="393">
        <v>0.19</v>
      </c>
      <c r="N45" s="392">
        <f>+L45*(1+'[1]cuadro resumen'!$B$9)*(1+'[1]cuadro resumen'!$C$9)*(1+'[1]cuadro resumen'!$D$9)*(1+'[1]cuadro resumen'!$E$9)</f>
        <v>488070679.29984009</v>
      </c>
      <c r="O45" s="392">
        <f>N45*0.18</f>
        <v>87852722.273971215</v>
      </c>
      <c r="P45" s="392">
        <f>+K45*(1+'[1]cuadro resumen'!$B$9)*(1+'[1]cuadro resumen'!$C$9)*(1+'[1]cuadro resumen'!$D$9)*(1+'[1]cuadro resumen'!$E$9)</f>
        <v>240786000</v>
      </c>
      <c r="Q45" s="392">
        <f>+S45*(1+'[1]cuadro resumen'!$B$9)*(1+'[1]cuadro resumen'!$C$9)*(1+'[1]cuadro resumen'!$D$9)*(1+'[1]cuadro resumen'!$E$9)</f>
        <v>40778668.189350002</v>
      </c>
      <c r="R45" s="392">
        <f t="shared" si="6"/>
        <v>39045654.343987212</v>
      </c>
      <c r="S45" s="392">
        <v>33871295</v>
      </c>
      <c r="T45" s="392">
        <f t="shared" si="7"/>
        <v>896533724.10714853</v>
      </c>
      <c r="U45" s="428" t="s">
        <v>505</v>
      </c>
      <c r="V45" s="395">
        <v>250</v>
      </c>
      <c r="W45" s="396">
        <f t="shared" si="8"/>
        <v>477348.24299696676</v>
      </c>
      <c r="X45" s="396">
        <f t="shared" si="9"/>
        <v>80842.015781409733</v>
      </c>
      <c r="Y45" s="396">
        <f t="shared" si="10"/>
        <v>1777340.8669527078</v>
      </c>
      <c r="Z45" s="443" t="s">
        <v>576</v>
      </c>
      <c r="AA45" s="435" t="s">
        <v>703</v>
      </c>
      <c r="AB45" s="348">
        <v>3</v>
      </c>
      <c r="AC45" s="426">
        <v>2</v>
      </c>
      <c r="AD45" s="385">
        <v>1</v>
      </c>
    </row>
    <row r="46" spans="1:32" s="64" customFormat="1" ht="30" hidden="1" customHeight="1" x14ac:dyDescent="0.25">
      <c r="A46" s="374">
        <v>88</v>
      </c>
      <c r="B46" s="375">
        <v>4194</v>
      </c>
      <c r="C46" s="376" t="s">
        <v>704</v>
      </c>
      <c r="D46" s="377" t="s">
        <v>493</v>
      </c>
      <c r="E46" s="377" t="s">
        <v>575</v>
      </c>
      <c r="F46" s="377" t="s">
        <v>575</v>
      </c>
      <c r="G46" s="377" t="s">
        <v>705</v>
      </c>
      <c r="H46" s="375">
        <v>2</v>
      </c>
      <c r="I46" s="377" t="s">
        <v>575</v>
      </c>
      <c r="J46" s="377">
        <v>1023</v>
      </c>
      <c r="K46" s="346">
        <v>0</v>
      </c>
      <c r="L46" s="346">
        <v>145985400</v>
      </c>
      <c r="M46" s="434">
        <v>0.14000000000000001</v>
      </c>
      <c r="N46" s="346">
        <f>+L46*(1+'[1]cuadro resumen'!$B$9)*(1+'[1]cuadro resumen'!$C$9)*(1+'[1]cuadro resumen'!$D$9)</f>
        <v>167386859.64000002</v>
      </c>
      <c r="O46" s="346">
        <f>+N46*0.18</f>
        <v>30129634.735200003</v>
      </c>
      <c r="P46" s="346">
        <f>K46*(1+'[1]cuadro resumen'!$B$9)*(1+'[1]cuadro resumen'!$C$9)*(1+'[1]cuadro resumen'!$D$9)</f>
        <v>0</v>
      </c>
      <c r="Q46" s="346">
        <f>S46*(1+'[1]cuadro resumen'!$B$9)*(1+'[1]cuadro resumen'!$C$9)*(1+'[1]cuadro resumen'!$D$9)</f>
        <v>0</v>
      </c>
      <c r="R46" s="346">
        <f t="shared" si="6"/>
        <v>13390948.771200001</v>
      </c>
      <c r="S46" s="346">
        <v>0</v>
      </c>
      <c r="T46" s="346">
        <f t="shared" si="7"/>
        <v>210907443.14640003</v>
      </c>
      <c r="U46" s="415" t="s">
        <v>497</v>
      </c>
      <c r="V46" s="381">
        <v>1023</v>
      </c>
      <c r="W46" s="382">
        <f t="shared" si="8"/>
        <v>0</v>
      </c>
      <c r="X46" s="382">
        <f t="shared" si="9"/>
        <v>0</v>
      </c>
      <c r="Y46" s="382">
        <f t="shared" si="10"/>
        <v>418115.24515925645</v>
      </c>
      <c r="Z46" s="383" t="s">
        <v>498</v>
      </c>
      <c r="AA46" s="383" t="s">
        <v>499</v>
      </c>
      <c r="AB46" s="347">
        <v>2</v>
      </c>
      <c r="AC46" s="384">
        <v>5</v>
      </c>
      <c r="AD46" s="385">
        <v>0</v>
      </c>
    </row>
    <row r="47" spans="1:32" s="64" customFormat="1" ht="62.25" customHeight="1" x14ac:dyDescent="0.25">
      <c r="A47" s="387">
        <v>34</v>
      </c>
      <c r="B47" s="388">
        <v>3169</v>
      </c>
      <c r="C47" s="436" t="s">
        <v>706</v>
      </c>
      <c r="D47" s="400" t="s">
        <v>527</v>
      </c>
      <c r="E47" s="400" t="s">
        <v>707</v>
      </c>
      <c r="F47" s="400" t="s">
        <v>708</v>
      </c>
      <c r="G47" s="400" t="s">
        <v>709</v>
      </c>
      <c r="H47" s="400">
        <v>7</v>
      </c>
      <c r="I47" s="400" t="s">
        <v>643</v>
      </c>
      <c r="J47" s="400" t="s">
        <v>710</v>
      </c>
      <c r="K47" s="402">
        <v>200000000</v>
      </c>
      <c r="L47" s="402">
        <v>330246081.19999999</v>
      </c>
      <c r="M47" s="403">
        <v>0.19</v>
      </c>
      <c r="N47" s="402">
        <f>+L47*(1+'[1]cuadro resumen'!$B$9)*(1+'[1]cuadro resumen'!$C$9)*(1+'[1]cuadro resumen'!$D$9)*(1+'[1]cuadro resumen'!$E$9)</f>
        <v>397593164.53911608</v>
      </c>
      <c r="O47" s="402">
        <f>N47*0.18</f>
        <v>71566769.617040887</v>
      </c>
      <c r="P47" s="402">
        <f>+K47*(1+'[1]cuadro resumen'!$B$9)*(1+'[1]cuadro resumen'!$C$9)*(1+'[1]cuadro resumen'!$D$9)*(1+'[1]cuadro resumen'!$E$9)</f>
        <v>240786000</v>
      </c>
      <c r="Q47" s="402">
        <f>+S47*(1+'[1]cuadro resumen'!$B$9)*(1+'[1]cuadro resumen'!$C$9)*(1+'[1]cuadro resumen'!$D$9)*(1+'[1]cuadro resumen'!$E$9)</f>
        <v>36365060.809350006</v>
      </c>
      <c r="R47" s="402">
        <f t="shared" si="6"/>
        <v>31807453.163129289</v>
      </c>
      <c r="S47" s="402">
        <v>30205295</v>
      </c>
      <c r="T47" s="402">
        <f t="shared" si="7"/>
        <v>778118448.12863636</v>
      </c>
      <c r="U47" s="417" t="s">
        <v>505</v>
      </c>
      <c r="V47" s="395">
        <v>150</v>
      </c>
      <c r="W47" s="382">
        <f t="shared" si="8"/>
        <v>477348.24299696676</v>
      </c>
      <c r="X47" s="382">
        <f t="shared" si="9"/>
        <v>72092.222487275343</v>
      </c>
      <c r="Y47" s="382">
        <f t="shared" si="10"/>
        <v>1542587.5011742003</v>
      </c>
      <c r="Z47" s="444" t="s">
        <v>498</v>
      </c>
      <c r="AA47" s="420" t="s">
        <v>711</v>
      </c>
      <c r="AB47" s="348">
        <v>3</v>
      </c>
      <c r="AC47" s="426">
        <v>2</v>
      </c>
      <c r="AD47" s="385">
        <v>1</v>
      </c>
    </row>
    <row r="48" spans="1:32" s="64" customFormat="1" ht="105" x14ac:dyDescent="0.25">
      <c r="A48" s="399">
        <v>58</v>
      </c>
      <c r="B48" s="388" t="s">
        <v>712</v>
      </c>
      <c r="C48" s="389" t="s">
        <v>713</v>
      </c>
      <c r="D48" s="400" t="s">
        <v>508</v>
      </c>
      <c r="E48" s="400" t="s">
        <v>714</v>
      </c>
      <c r="F48" s="400" t="s">
        <v>715</v>
      </c>
      <c r="G48" s="400" t="s">
        <v>716</v>
      </c>
      <c r="H48" s="400">
        <v>5</v>
      </c>
      <c r="I48" s="400" t="s">
        <v>714</v>
      </c>
      <c r="J48" s="400">
        <v>115</v>
      </c>
      <c r="K48" s="402">
        <v>200000000</v>
      </c>
      <c r="L48" s="402">
        <v>330246081.19999999</v>
      </c>
      <c r="M48" s="403">
        <v>0.19</v>
      </c>
      <c r="N48" s="402">
        <f>+L48*(1+'[1]cuadro resumen'!$B$9)*(1+'[1]cuadro resumen'!$C$9)*(1+'[1]cuadro resumen'!$D$9)*(1+'[1]cuadro resumen'!$E$9)</f>
        <v>397593164.53911608</v>
      </c>
      <c r="O48" s="402">
        <f>N48*0.18</f>
        <v>71566769.617040887</v>
      </c>
      <c r="P48" s="402">
        <f>+K48*(1+'[1]cuadro resumen'!$B$9)*(1+'[1]cuadro resumen'!$C$9)*(1+'[1]cuadro resumen'!$D$9)*(1+'[1]cuadro resumen'!$E$9)</f>
        <v>240786000</v>
      </c>
      <c r="Q48" s="402">
        <f>+S48*(1+'[1]cuadro resumen'!$B$9)*(1+'[1]cuadro resumen'!$C$9)*(1+'[1]cuadro resumen'!$D$9)*(1+'[1]cuadro resumen'!$E$9)</f>
        <v>36365060.809350006</v>
      </c>
      <c r="R48" s="402">
        <f t="shared" si="6"/>
        <v>31807453.163129289</v>
      </c>
      <c r="S48" s="402">
        <v>30205295</v>
      </c>
      <c r="T48" s="402">
        <f t="shared" si="7"/>
        <v>778118448.12863636</v>
      </c>
      <c r="U48" s="417" t="s">
        <v>505</v>
      </c>
      <c r="V48" s="395">
        <v>150</v>
      </c>
      <c r="W48" s="382">
        <f t="shared" si="8"/>
        <v>477348.24299696676</v>
      </c>
      <c r="X48" s="382">
        <f t="shared" si="9"/>
        <v>72092.222487275343</v>
      </c>
      <c r="Y48" s="382">
        <f t="shared" si="10"/>
        <v>1542587.5011742003</v>
      </c>
      <c r="Z48" s="406" t="s">
        <v>576</v>
      </c>
      <c r="AA48" s="407" t="s">
        <v>717</v>
      </c>
      <c r="AB48" s="348">
        <v>3</v>
      </c>
      <c r="AC48" s="426">
        <v>2</v>
      </c>
      <c r="AD48" s="385">
        <v>1</v>
      </c>
      <c r="AE48" s="1"/>
    </row>
    <row r="49" spans="1:32" s="64" customFormat="1" ht="15" hidden="1" customHeight="1" x14ac:dyDescent="0.25">
      <c r="A49" s="399">
        <v>7</v>
      </c>
      <c r="B49" s="388" t="s">
        <v>718</v>
      </c>
      <c r="C49" s="389" t="s">
        <v>719</v>
      </c>
      <c r="D49" s="400" t="s">
        <v>515</v>
      </c>
      <c r="E49" s="400" t="s">
        <v>603</v>
      </c>
      <c r="F49" s="400" t="s">
        <v>720</v>
      </c>
      <c r="G49" s="400" t="s">
        <v>721</v>
      </c>
      <c r="H49" s="401">
        <v>5</v>
      </c>
      <c r="I49" s="400" t="s">
        <v>603</v>
      </c>
      <c r="J49" s="400">
        <v>32</v>
      </c>
      <c r="K49" s="425">
        <v>150000000</v>
      </c>
      <c r="L49" s="402">
        <v>272311821.60000002</v>
      </c>
      <c r="M49" s="403">
        <v>0.09</v>
      </c>
      <c r="N49" s="402">
        <f>+L49*(1+'[1]cuadro resumen'!$B$9)*(1+'[1]cuadro resumen'!$C$9)</f>
        <v>297364509.18720007</v>
      </c>
      <c r="O49" s="402">
        <f t="shared" ref="O49:O75" si="11">+N49*0.18</f>
        <v>53525611.653696008</v>
      </c>
      <c r="P49" s="402">
        <f>+K49*(1+'[1]cuadro resumen'!$B$9)*(1+'[1]cuadro resumen'!$C$9)</f>
        <v>163800000</v>
      </c>
      <c r="Q49" s="402">
        <f>+S49*(1+'[1]cuadro resumen'!$B$9)*(1+'[1]cuadro resumen'!$C$9)</f>
        <v>33897094.653240003</v>
      </c>
      <c r="R49" s="402">
        <f t="shared" si="6"/>
        <v>23789160.734976005</v>
      </c>
      <c r="S49" s="402">
        <v>31041295.469999999</v>
      </c>
      <c r="T49" s="402">
        <f t="shared" si="7"/>
        <v>572376376.22911215</v>
      </c>
      <c r="U49" s="417" t="s">
        <v>505</v>
      </c>
      <c r="V49" s="405">
        <v>75</v>
      </c>
      <c r="W49" s="382">
        <f t="shared" si="8"/>
        <v>324726.6959163039</v>
      </c>
      <c r="X49" s="382">
        <f t="shared" si="9"/>
        <v>67199.582099565552</v>
      </c>
      <c r="Y49" s="382">
        <f t="shared" si="10"/>
        <v>1134712.389947661</v>
      </c>
      <c r="Z49" s="406" t="s">
        <v>576</v>
      </c>
      <c r="AA49" s="420" t="s">
        <v>577</v>
      </c>
      <c r="AB49" s="347">
        <v>1</v>
      </c>
      <c r="AC49" s="384">
        <v>4</v>
      </c>
      <c r="AD49" s="385">
        <v>1</v>
      </c>
      <c r="AE49" s="1"/>
    </row>
    <row r="50" spans="1:32" s="64" customFormat="1" ht="64.5" hidden="1" customHeight="1" x14ac:dyDescent="0.25">
      <c r="A50" s="399">
        <v>59</v>
      </c>
      <c r="B50" s="388" t="s">
        <v>722</v>
      </c>
      <c r="C50" s="389" t="s">
        <v>723</v>
      </c>
      <c r="D50" s="400" t="s">
        <v>508</v>
      </c>
      <c r="E50" s="400" t="s">
        <v>714</v>
      </c>
      <c r="F50" s="400" t="s">
        <v>724</v>
      </c>
      <c r="G50" s="400" t="s">
        <v>725</v>
      </c>
      <c r="H50" s="401">
        <v>2</v>
      </c>
      <c r="I50" s="400" t="s">
        <v>726</v>
      </c>
      <c r="J50" s="400">
        <v>66</v>
      </c>
      <c r="K50" s="402">
        <v>0</v>
      </c>
      <c r="L50" s="402">
        <v>293238467.19999999</v>
      </c>
      <c r="M50" s="403">
        <v>0.09</v>
      </c>
      <c r="N50" s="402">
        <f>+L50*(1+'[1]cuadro resumen'!$B$9)*(1+'[1]cuadro resumen'!$C$9)</f>
        <v>320216406.18239999</v>
      </c>
      <c r="O50" s="402">
        <f t="shared" si="11"/>
        <v>57638953.112831995</v>
      </c>
      <c r="P50" s="402">
        <f>+K50*(1+'[1]cuadro resumen'!$B$9)*(1+'[1]cuadro resumen'!$C$9)</f>
        <v>0</v>
      </c>
      <c r="Q50" s="402">
        <f>+S50*(1+'[1]cuadro resumen'!$B$9)*(1+'[1]cuadro resumen'!$C$9)</f>
        <v>33897094.653240003</v>
      </c>
      <c r="R50" s="402">
        <f t="shared" si="6"/>
        <v>25617312.494592</v>
      </c>
      <c r="S50" s="402">
        <v>31041295.469999999</v>
      </c>
      <c r="T50" s="402">
        <f t="shared" si="7"/>
        <v>437369766.44306403</v>
      </c>
      <c r="U50" s="417" t="s">
        <v>505</v>
      </c>
      <c r="V50" s="405">
        <v>175</v>
      </c>
      <c r="W50" s="382">
        <f t="shared" si="8"/>
        <v>0</v>
      </c>
      <c r="X50" s="382">
        <f t="shared" si="9"/>
        <v>67199.582099565552</v>
      </c>
      <c r="Y50" s="382">
        <f t="shared" si="10"/>
        <v>867067.39408267231</v>
      </c>
      <c r="Z50" s="406" t="s">
        <v>498</v>
      </c>
      <c r="AA50" s="407" t="s">
        <v>513</v>
      </c>
      <c r="AB50" s="347">
        <v>1</v>
      </c>
      <c r="AC50" s="384">
        <v>4</v>
      </c>
      <c r="AD50" s="385">
        <v>0</v>
      </c>
      <c r="AE50" s="1"/>
    </row>
    <row r="51" spans="1:32" s="64" customFormat="1" hidden="1" x14ac:dyDescent="0.25">
      <c r="A51" s="399">
        <v>43</v>
      </c>
      <c r="B51" s="388">
        <v>5661</v>
      </c>
      <c r="C51" s="389" t="s">
        <v>727</v>
      </c>
      <c r="D51" s="400" t="s">
        <v>728</v>
      </c>
      <c r="E51" s="400" t="s">
        <v>729</v>
      </c>
      <c r="F51" s="400" t="s">
        <v>621</v>
      </c>
      <c r="G51" s="400" t="s">
        <v>730</v>
      </c>
      <c r="H51" s="401">
        <v>3</v>
      </c>
      <c r="I51" s="400" t="s">
        <v>620</v>
      </c>
      <c r="J51" s="400">
        <v>66</v>
      </c>
      <c r="K51" s="402">
        <v>0</v>
      </c>
      <c r="L51" s="402">
        <v>272311821.60000002</v>
      </c>
      <c r="M51" s="403">
        <v>0.09</v>
      </c>
      <c r="N51" s="402">
        <f>+L51*(1+'[1]cuadro resumen'!$B$9)*(1+'[1]cuadro resumen'!$C$9)</f>
        <v>297364509.18720007</v>
      </c>
      <c r="O51" s="402">
        <f t="shared" si="11"/>
        <v>53525611.653696008</v>
      </c>
      <c r="P51" s="402">
        <f>+K51*(1+'[1]cuadro resumen'!$B$9)*(1+'[1]cuadro resumen'!$C$9)</f>
        <v>0</v>
      </c>
      <c r="Q51" s="402">
        <f>+S51*(1+'[1]cuadro resumen'!$B$9)*(1+'[1]cuadro resumen'!$C$9)</f>
        <v>33897094.653240003</v>
      </c>
      <c r="R51" s="402">
        <f t="shared" si="6"/>
        <v>23789160.734976005</v>
      </c>
      <c r="S51" s="402">
        <v>31041295.469999999</v>
      </c>
      <c r="T51" s="402">
        <f t="shared" si="7"/>
        <v>408576376.22911209</v>
      </c>
      <c r="U51" s="404" t="s">
        <v>505</v>
      </c>
      <c r="V51" s="405">
        <v>75</v>
      </c>
      <c r="W51" s="382">
        <f t="shared" si="8"/>
        <v>0</v>
      </c>
      <c r="X51" s="382">
        <f t="shared" si="9"/>
        <v>67199.582099565552</v>
      </c>
      <c r="Y51" s="382">
        <f t="shared" si="10"/>
        <v>809985.69403135695</v>
      </c>
      <c r="Z51" s="406" t="s">
        <v>498</v>
      </c>
      <c r="AA51" s="445" t="s">
        <v>731</v>
      </c>
      <c r="AB51" s="347">
        <v>1</v>
      </c>
      <c r="AC51" s="384">
        <v>4</v>
      </c>
      <c r="AD51" s="385">
        <v>0</v>
      </c>
      <c r="AF51" s="386"/>
    </row>
    <row r="52" spans="1:32" s="64" customFormat="1" ht="90" hidden="1" customHeight="1" x14ac:dyDescent="0.25">
      <c r="A52" s="374">
        <v>89</v>
      </c>
      <c r="B52" s="375">
        <v>4196</v>
      </c>
      <c r="C52" s="376" t="s">
        <v>732</v>
      </c>
      <c r="D52" s="377" t="s">
        <v>493</v>
      </c>
      <c r="E52" s="377" t="s">
        <v>733</v>
      </c>
      <c r="F52" s="377" t="s">
        <v>734</v>
      </c>
      <c r="G52" s="377" t="s">
        <v>734</v>
      </c>
      <c r="H52" s="375">
        <v>7</v>
      </c>
      <c r="I52" s="377" t="s">
        <v>543</v>
      </c>
      <c r="J52" s="377">
        <v>546</v>
      </c>
      <c r="K52" s="346">
        <v>0</v>
      </c>
      <c r="L52" s="346">
        <v>145985400</v>
      </c>
      <c r="M52" s="434">
        <v>0.14000000000000001</v>
      </c>
      <c r="N52" s="346">
        <f>+L52*(1+'[1]cuadro resumen'!$B$9)*(1+'[1]cuadro resumen'!$C$9)*(1+'[1]cuadro resumen'!$D$9)</f>
        <v>167386859.64000002</v>
      </c>
      <c r="O52" s="346">
        <f t="shared" si="11"/>
        <v>30129634.735200003</v>
      </c>
      <c r="P52" s="346">
        <f>K52*(1+'[1]cuadro resumen'!$B$9)*(1+'[1]cuadro resumen'!$C$9)*(1+'[1]cuadro resumen'!$D$9)</f>
        <v>0</v>
      </c>
      <c r="Q52" s="346">
        <f>S52*(1+'[1]cuadro resumen'!$B$9)*(1+'[1]cuadro resumen'!$C$9)*(1+'[1]cuadro resumen'!$D$9)</f>
        <v>0</v>
      </c>
      <c r="R52" s="346">
        <f t="shared" si="6"/>
        <v>13390948.771200001</v>
      </c>
      <c r="S52" s="346">
        <v>0</v>
      </c>
      <c r="T52" s="346">
        <f t="shared" si="7"/>
        <v>210907443.14640003</v>
      </c>
      <c r="U52" s="415" t="s">
        <v>497</v>
      </c>
      <c r="V52" s="381">
        <v>546</v>
      </c>
      <c r="W52" s="382">
        <f t="shared" si="8"/>
        <v>0</v>
      </c>
      <c r="X52" s="382">
        <f t="shared" si="9"/>
        <v>0</v>
      </c>
      <c r="Y52" s="382">
        <f t="shared" si="10"/>
        <v>418115.24515925645</v>
      </c>
      <c r="Z52" s="383" t="s">
        <v>498</v>
      </c>
      <c r="AA52" s="383" t="s">
        <v>499</v>
      </c>
      <c r="AB52" s="347">
        <v>2</v>
      </c>
      <c r="AC52" s="384">
        <v>5</v>
      </c>
      <c r="AD52" s="385">
        <v>0</v>
      </c>
    </row>
    <row r="53" spans="1:32" s="64" customFormat="1" ht="135" hidden="1" x14ac:dyDescent="0.25">
      <c r="A53" s="399">
        <v>61</v>
      </c>
      <c r="B53" s="388" t="s">
        <v>735</v>
      </c>
      <c r="C53" s="389" t="s">
        <v>736</v>
      </c>
      <c r="D53" s="400" t="s">
        <v>508</v>
      </c>
      <c r="E53" s="400" t="s">
        <v>636</v>
      </c>
      <c r="F53" s="400" t="s">
        <v>637</v>
      </c>
      <c r="G53" s="400" t="s">
        <v>737</v>
      </c>
      <c r="H53" s="401">
        <v>3</v>
      </c>
      <c r="I53" s="400" t="s">
        <v>636</v>
      </c>
      <c r="J53" s="400">
        <v>28</v>
      </c>
      <c r="K53" s="425">
        <v>150000000</v>
      </c>
      <c r="L53" s="402">
        <v>272311821.60000002</v>
      </c>
      <c r="M53" s="403">
        <v>0.09</v>
      </c>
      <c r="N53" s="402">
        <f>+L53*(1+'[1]cuadro resumen'!$B$9)*(1+'[1]cuadro resumen'!$C$9)</f>
        <v>297364509.18720007</v>
      </c>
      <c r="O53" s="402">
        <f t="shared" si="11"/>
        <v>53525611.653696008</v>
      </c>
      <c r="P53" s="402">
        <f>+K53*(1+'[1]cuadro resumen'!$B$9)*(1+'[1]cuadro resumen'!$C$9)</f>
        <v>163800000</v>
      </c>
      <c r="Q53" s="402">
        <f>+S53*(1+'[1]cuadro resumen'!$B$9)*(1+'[1]cuadro resumen'!$C$9)</f>
        <v>33897094.653240003</v>
      </c>
      <c r="R53" s="402">
        <f t="shared" si="6"/>
        <v>23789160.734976005</v>
      </c>
      <c r="S53" s="402">
        <v>31041295.469999999</v>
      </c>
      <c r="T53" s="402">
        <f t="shared" si="7"/>
        <v>572376376.22911215</v>
      </c>
      <c r="U53" s="417" t="s">
        <v>505</v>
      </c>
      <c r="V53" s="405">
        <v>75</v>
      </c>
      <c r="W53" s="382">
        <f t="shared" si="8"/>
        <v>324726.6959163039</v>
      </c>
      <c r="X53" s="382">
        <f t="shared" si="9"/>
        <v>67199.582099565552</v>
      </c>
      <c r="Y53" s="382">
        <f t="shared" si="10"/>
        <v>1134712.389947661</v>
      </c>
      <c r="Z53" s="406" t="s">
        <v>576</v>
      </c>
      <c r="AA53" s="407" t="s">
        <v>513</v>
      </c>
      <c r="AB53" s="347">
        <v>1</v>
      </c>
      <c r="AC53" s="384">
        <v>4</v>
      </c>
      <c r="AD53" s="385">
        <v>1</v>
      </c>
      <c r="AE53" s="1"/>
    </row>
    <row r="54" spans="1:32" s="64" customFormat="1" ht="30" hidden="1" customHeight="1" x14ac:dyDescent="0.25">
      <c r="A54" s="374">
        <v>86</v>
      </c>
      <c r="B54" s="375" t="s">
        <v>738</v>
      </c>
      <c r="C54" s="376" t="s">
        <v>739</v>
      </c>
      <c r="D54" s="377" t="s">
        <v>493</v>
      </c>
      <c r="E54" s="377" t="s">
        <v>740</v>
      </c>
      <c r="F54" s="377" t="s">
        <v>741</v>
      </c>
      <c r="G54" s="377" t="s">
        <v>741</v>
      </c>
      <c r="H54" s="375">
        <v>5</v>
      </c>
      <c r="I54" s="377" t="s">
        <v>494</v>
      </c>
      <c r="J54" s="377">
        <v>635</v>
      </c>
      <c r="K54" s="346">
        <v>0</v>
      </c>
      <c r="L54" s="346">
        <v>145985400</v>
      </c>
      <c r="M54" s="434">
        <v>0.14000000000000001</v>
      </c>
      <c r="N54" s="346">
        <f>+L54*(1+'[1]cuadro resumen'!$B$9)*(1+'[1]cuadro resumen'!$C$9)*(1+'[1]cuadro resumen'!$D$9)</f>
        <v>167386859.64000002</v>
      </c>
      <c r="O54" s="346">
        <f t="shared" si="11"/>
        <v>30129634.735200003</v>
      </c>
      <c r="P54" s="346">
        <f>K54*(1+'[1]cuadro resumen'!$B$9)*(1+'[1]cuadro resumen'!$C$9)*(1+'[1]cuadro resumen'!$D$9)</f>
        <v>0</v>
      </c>
      <c r="Q54" s="346">
        <f>S54*(1+'[1]cuadro resumen'!$B$9)*(1+'[1]cuadro resumen'!$C$9)*(1+'[1]cuadro resumen'!$D$9)</f>
        <v>0</v>
      </c>
      <c r="R54" s="346">
        <f t="shared" si="6"/>
        <v>13390948.771200001</v>
      </c>
      <c r="S54" s="346">
        <v>0</v>
      </c>
      <c r="T54" s="346">
        <f t="shared" si="7"/>
        <v>210907443.14640003</v>
      </c>
      <c r="U54" s="415" t="s">
        <v>497</v>
      </c>
      <c r="V54" s="381">
        <v>635</v>
      </c>
      <c r="W54" s="382">
        <f t="shared" si="8"/>
        <v>0</v>
      </c>
      <c r="X54" s="382">
        <f t="shared" si="9"/>
        <v>0</v>
      </c>
      <c r="Y54" s="382">
        <f t="shared" si="10"/>
        <v>418115.24515925645</v>
      </c>
      <c r="Z54" s="383" t="s">
        <v>498</v>
      </c>
      <c r="AA54" s="383" t="s">
        <v>499</v>
      </c>
      <c r="AB54" s="347">
        <v>2</v>
      </c>
      <c r="AC54" s="384">
        <v>5</v>
      </c>
      <c r="AD54" s="385">
        <v>1</v>
      </c>
      <c r="AE54" s="440"/>
    </row>
    <row r="55" spans="1:32" s="64" customFormat="1" ht="30" hidden="1" customHeight="1" x14ac:dyDescent="0.25">
      <c r="A55" s="399">
        <v>1</v>
      </c>
      <c r="B55" s="388" t="s">
        <v>500</v>
      </c>
      <c r="C55" s="389" t="s">
        <v>742</v>
      </c>
      <c r="D55" s="390" t="s">
        <v>515</v>
      </c>
      <c r="E55" s="390" t="s">
        <v>515</v>
      </c>
      <c r="F55" s="390" t="s">
        <v>584</v>
      </c>
      <c r="G55" s="390" t="s">
        <v>584</v>
      </c>
      <c r="H55" s="391">
        <v>4</v>
      </c>
      <c r="I55" s="390" t="s">
        <v>515</v>
      </c>
      <c r="J55" s="390">
        <v>0</v>
      </c>
      <c r="K55" s="392">
        <v>0</v>
      </c>
      <c r="L55" s="392">
        <v>1169791386.4000001</v>
      </c>
      <c r="M55" s="393">
        <v>0.09</v>
      </c>
      <c r="N55" s="392">
        <f>+L55*(1+'[1]cuadro resumen'!$B$9)*(1+'[1]cuadro resumen'!$C$9)</f>
        <v>1277412193.9488003</v>
      </c>
      <c r="O55" s="392">
        <f t="shared" si="11"/>
        <v>229934194.91078404</v>
      </c>
      <c r="P55" s="392">
        <f>+K55*(1+'[1]cuadro resumen'!$B$9)*(1+'[1]cuadro resumen'!$C$9)</f>
        <v>0</v>
      </c>
      <c r="Q55" s="392">
        <f>+S55*(1+'[1]cuadro resumen'!$B$9)*(1+'[1]cuadro resumen'!$C$9)</f>
        <v>108182900.28</v>
      </c>
      <c r="R55" s="392">
        <f t="shared" si="6"/>
        <v>102192975.51590402</v>
      </c>
      <c r="S55" s="392">
        <v>99068590</v>
      </c>
      <c r="T55" s="392">
        <f t="shared" si="7"/>
        <v>1717722264.6554883</v>
      </c>
      <c r="U55" s="428" t="s">
        <v>505</v>
      </c>
      <c r="V55" s="395" t="s">
        <v>743</v>
      </c>
      <c r="W55" s="396">
        <f t="shared" si="8"/>
        <v>0</v>
      </c>
      <c r="X55" s="396">
        <f t="shared" si="9"/>
        <v>214468.10599857991</v>
      </c>
      <c r="Y55" s="396">
        <f t="shared" si="10"/>
        <v>3405313.0372615852</v>
      </c>
      <c r="Z55" s="397" t="s">
        <v>696</v>
      </c>
      <c r="AA55" s="398" t="s">
        <v>744</v>
      </c>
      <c r="AB55" s="347">
        <v>1</v>
      </c>
      <c r="AC55" s="384">
        <v>5</v>
      </c>
      <c r="AD55" s="385">
        <v>0</v>
      </c>
    </row>
    <row r="56" spans="1:32" s="64" customFormat="1" ht="150" x14ac:dyDescent="0.25">
      <c r="A56" s="399">
        <v>54</v>
      </c>
      <c r="B56" s="388">
        <v>5290</v>
      </c>
      <c r="C56" s="389" t="s">
        <v>745</v>
      </c>
      <c r="D56" s="400" t="s">
        <v>508</v>
      </c>
      <c r="E56" s="400" t="s">
        <v>658</v>
      </c>
      <c r="F56" s="400" t="s">
        <v>746</v>
      </c>
      <c r="G56" s="400" t="s">
        <v>746</v>
      </c>
      <c r="H56" s="401">
        <v>11</v>
      </c>
      <c r="I56" s="400" t="s">
        <v>508</v>
      </c>
      <c r="J56" s="400">
        <v>154</v>
      </c>
      <c r="K56" s="402">
        <v>250000000</v>
      </c>
      <c r="L56" s="402">
        <v>489123314.39999998</v>
      </c>
      <c r="M56" s="437">
        <v>0.14000000000000001</v>
      </c>
      <c r="N56" s="402">
        <f>+L56*(1+'[1]cuadro resumen'!$B$9)*(1+'[1]cuadro resumen'!$C$9)*(1+'[1]cuadro resumen'!$D$9)</f>
        <v>560828792.29104006</v>
      </c>
      <c r="O56" s="402">
        <f t="shared" si="11"/>
        <v>100949182.61238721</v>
      </c>
      <c r="P56" s="402">
        <f>K56*(1+'[1]cuadro resumen'!$B$9)*(1+'[1]cuadro resumen'!$C$9)*(1+'[1]cuadro resumen'!$D$9)</f>
        <v>286650000</v>
      </c>
      <c r="Q56" s="402">
        <f>S56*(1+'[1]cuadro resumen'!$B$9)*(1+'[1]cuadro resumen'!$C$9)*(1+'[1]cuadro resumen'!$D$9)</f>
        <v>45918801.747000001</v>
      </c>
      <c r="R56" s="402">
        <f t="shared" si="6"/>
        <v>44866303.383283205</v>
      </c>
      <c r="S56" s="402">
        <v>40047795</v>
      </c>
      <c r="T56" s="402">
        <f t="shared" si="7"/>
        <v>1039213080.0337105</v>
      </c>
      <c r="U56" s="417" t="s">
        <v>505</v>
      </c>
      <c r="V56" s="405">
        <v>250</v>
      </c>
      <c r="W56" s="382">
        <f t="shared" si="8"/>
        <v>568271.71785353182</v>
      </c>
      <c r="X56" s="382">
        <f t="shared" si="9"/>
        <v>91032.117043584338</v>
      </c>
      <c r="Y56" s="382">
        <f t="shared" si="10"/>
        <v>2060196.7633232742</v>
      </c>
      <c r="Z56" s="430" t="s">
        <v>576</v>
      </c>
      <c r="AA56" s="407" t="s">
        <v>747</v>
      </c>
      <c r="AB56" s="347">
        <v>2</v>
      </c>
      <c r="AC56" s="384">
        <v>3</v>
      </c>
      <c r="AD56" s="385">
        <v>1</v>
      </c>
    </row>
    <row r="57" spans="1:32" s="64" customFormat="1" ht="120" x14ac:dyDescent="0.25">
      <c r="A57" s="399">
        <v>18</v>
      </c>
      <c r="B57" s="388">
        <v>6372</v>
      </c>
      <c r="C57" s="436" t="s">
        <v>748</v>
      </c>
      <c r="D57" s="400" t="s">
        <v>538</v>
      </c>
      <c r="E57" s="400" t="s">
        <v>538</v>
      </c>
      <c r="F57" s="400" t="s">
        <v>749</v>
      </c>
      <c r="G57" s="400" t="s">
        <v>749</v>
      </c>
      <c r="H57" s="401">
        <v>7</v>
      </c>
      <c r="I57" s="400" t="s">
        <v>538</v>
      </c>
      <c r="J57" s="400">
        <v>191</v>
      </c>
      <c r="K57" s="402">
        <v>250000000</v>
      </c>
      <c r="L57" s="402">
        <v>633959048</v>
      </c>
      <c r="M57" s="437">
        <v>0.14000000000000001</v>
      </c>
      <c r="N57" s="402">
        <f>+L57*(1+'[1]cuadro resumen'!$B$9)*(1+'[1]cuadro resumen'!$C$9)*(1+'[1]cuadro resumen'!$D$9)</f>
        <v>726897444.4368</v>
      </c>
      <c r="O57" s="402">
        <f t="shared" si="11"/>
        <v>130841539.998624</v>
      </c>
      <c r="P57" s="402">
        <f>K57*(1+'[1]cuadro resumen'!$B$9)*(1+'[1]cuadro resumen'!$C$9)*(1+'[1]cuadro resumen'!$D$9)</f>
        <v>286650000</v>
      </c>
      <c r="Q57" s="402">
        <f>S57*(1+'[1]cuadro resumen'!$B$9)*(1+'[1]cuadro resumen'!$C$9)*(1+'[1]cuadro resumen'!$D$9)</f>
        <v>55682100.747000001</v>
      </c>
      <c r="R57" s="402">
        <f t="shared" si="6"/>
        <v>58151795.554944001</v>
      </c>
      <c r="S57" s="402">
        <v>48562795</v>
      </c>
      <c r="T57" s="402">
        <f t="shared" si="7"/>
        <v>1258222880.7373679</v>
      </c>
      <c r="U57" s="417" t="s">
        <v>505</v>
      </c>
      <c r="V57" s="405">
        <v>500</v>
      </c>
      <c r="W57" s="382">
        <f t="shared" si="8"/>
        <v>568271.71785353182</v>
      </c>
      <c r="X57" s="382">
        <f t="shared" si="9"/>
        <v>110387.45175367563</v>
      </c>
      <c r="Y57" s="382">
        <f t="shared" si="10"/>
        <v>2494374.5957761854</v>
      </c>
      <c r="Z57" s="406" t="s">
        <v>576</v>
      </c>
      <c r="AA57" s="420" t="s">
        <v>750</v>
      </c>
      <c r="AB57" s="347">
        <v>2</v>
      </c>
      <c r="AC57" s="384">
        <v>3</v>
      </c>
      <c r="AD57" s="385">
        <v>1</v>
      </c>
    </row>
    <row r="58" spans="1:32" s="64" customFormat="1" ht="135" hidden="1" x14ac:dyDescent="0.25">
      <c r="A58" s="399">
        <v>19</v>
      </c>
      <c r="B58" s="388">
        <v>6384</v>
      </c>
      <c r="C58" s="436" t="s">
        <v>751</v>
      </c>
      <c r="D58" s="400" t="s">
        <v>538</v>
      </c>
      <c r="E58" s="400" t="s">
        <v>672</v>
      </c>
      <c r="F58" s="400" t="s">
        <v>752</v>
      </c>
      <c r="G58" s="400" t="s">
        <v>752</v>
      </c>
      <c r="H58" s="401">
        <v>6</v>
      </c>
      <c r="I58" s="400" t="s">
        <v>538</v>
      </c>
      <c r="J58" s="400">
        <v>164</v>
      </c>
      <c r="K58" s="402">
        <v>0</v>
      </c>
      <c r="L58" s="402">
        <v>633959048</v>
      </c>
      <c r="M58" s="437">
        <v>0.14000000000000001</v>
      </c>
      <c r="N58" s="402">
        <f>+L58*(1+'[1]cuadro resumen'!$B$9)*(1+'[1]cuadro resumen'!$C$9)*(1+'[1]cuadro resumen'!$D$9)</f>
        <v>726897444.4368</v>
      </c>
      <c r="O58" s="402">
        <f t="shared" si="11"/>
        <v>130841539.998624</v>
      </c>
      <c r="P58" s="402">
        <f>K58*(1+'[1]cuadro resumen'!$B$9)*(1+'[1]cuadro resumen'!$C$9)*(1+'[1]cuadro resumen'!$D$9)</f>
        <v>0</v>
      </c>
      <c r="Q58" s="402">
        <f>S58*(1+'[1]cuadro resumen'!$B$9)*(1+'[1]cuadro resumen'!$C$9)*(1+'[1]cuadro resumen'!$D$9)</f>
        <v>55682100.747000001</v>
      </c>
      <c r="R58" s="402">
        <f t="shared" si="6"/>
        <v>58151795.554944001</v>
      </c>
      <c r="S58" s="402">
        <v>48562795</v>
      </c>
      <c r="T58" s="402">
        <f t="shared" si="7"/>
        <v>971572880.73736799</v>
      </c>
      <c r="U58" s="404" t="s">
        <v>505</v>
      </c>
      <c r="V58" s="405">
        <v>500</v>
      </c>
      <c r="W58" s="382">
        <f t="shared" si="8"/>
        <v>0</v>
      </c>
      <c r="X58" s="382">
        <f t="shared" si="9"/>
        <v>110387.45175367563</v>
      </c>
      <c r="Y58" s="382">
        <f t="shared" si="10"/>
        <v>1926102.8779226539</v>
      </c>
      <c r="Z58" s="406" t="s">
        <v>498</v>
      </c>
      <c r="AA58" s="420" t="s">
        <v>753</v>
      </c>
      <c r="AB58" s="347">
        <v>2</v>
      </c>
      <c r="AC58" s="384">
        <v>3</v>
      </c>
      <c r="AD58" s="385">
        <v>0</v>
      </c>
      <c r="AF58" s="386"/>
    </row>
    <row r="59" spans="1:32" s="64" customFormat="1" ht="30" customHeight="1" x14ac:dyDescent="0.25">
      <c r="A59" s="387">
        <v>4</v>
      </c>
      <c r="B59" s="388" t="s">
        <v>754</v>
      </c>
      <c r="C59" s="389" t="s">
        <v>755</v>
      </c>
      <c r="D59" s="390" t="s">
        <v>515</v>
      </c>
      <c r="E59" s="390" t="s">
        <v>547</v>
      </c>
      <c r="F59" s="390" t="s">
        <v>756</v>
      </c>
      <c r="G59" s="390" t="s">
        <v>595</v>
      </c>
      <c r="H59" s="391">
        <v>6</v>
      </c>
      <c r="I59" s="390" t="s">
        <v>515</v>
      </c>
      <c r="J59" s="390">
        <v>304</v>
      </c>
      <c r="K59" s="392">
        <v>250000000</v>
      </c>
      <c r="L59" s="392">
        <v>633959048.79999995</v>
      </c>
      <c r="M59" s="393">
        <v>0.14000000000000001</v>
      </c>
      <c r="N59" s="392">
        <f>+L59*(1+'[1]cuadro resumen'!$B$9)*(1+'[1]cuadro resumen'!$C$9)*(1+'[1]cuadro resumen'!$D$9)</f>
        <v>726897445.35408008</v>
      </c>
      <c r="O59" s="392">
        <f t="shared" si="11"/>
        <v>130841540.16373441</v>
      </c>
      <c r="P59" s="392">
        <f>K59*(1+'[1]cuadro resumen'!$B$9)*(1+'[1]cuadro resumen'!$C$9)*(1+'[1]cuadro resumen'!$D$9)</f>
        <v>286650000</v>
      </c>
      <c r="Q59" s="392">
        <f>S59*(1+'[1]cuadro resumen'!$B$9)*(1+'[1]cuadro resumen'!$C$9)*(1+'[1]cuadro resumen'!$D$9)</f>
        <v>55682100.747000001</v>
      </c>
      <c r="R59" s="392">
        <f t="shared" si="6"/>
        <v>58151795.628326409</v>
      </c>
      <c r="S59" s="392">
        <v>48562795</v>
      </c>
      <c r="T59" s="392">
        <f t="shared" si="7"/>
        <v>1258222881.893141</v>
      </c>
      <c r="U59" s="428" t="s">
        <v>505</v>
      </c>
      <c r="V59" s="395">
        <v>500</v>
      </c>
      <c r="W59" s="396">
        <f t="shared" si="8"/>
        <v>568271.71785353182</v>
      </c>
      <c r="X59" s="396">
        <f t="shared" si="9"/>
        <v>110387.45175367563</v>
      </c>
      <c r="Y59" s="396">
        <f t="shared" si="10"/>
        <v>2494374.5980674578</v>
      </c>
      <c r="Z59" s="397" t="s">
        <v>576</v>
      </c>
      <c r="AA59" s="398" t="s">
        <v>757</v>
      </c>
      <c r="AB59" s="347">
        <v>2</v>
      </c>
      <c r="AC59" s="384">
        <v>3</v>
      </c>
      <c r="AD59" s="385">
        <v>1</v>
      </c>
    </row>
    <row r="60" spans="1:32" s="64" customFormat="1" ht="150" hidden="1" x14ac:dyDescent="0.25">
      <c r="A60" s="399">
        <v>38</v>
      </c>
      <c r="B60" s="388">
        <v>5586</v>
      </c>
      <c r="C60" s="436" t="s">
        <v>758</v>
      </c>
      <c r="D60" s="400" t="s">
        <v>502</v>
      </c>
      <c r="E60" s="400" t="s">
        <v>620</v>
      </c>
      <c r="F60" s="400" t="s">
        <v>759</v>
      </c>
      <c r="G60" s="400" t="s">
        <v>760</v>
      </c>
      <c r="H60" s="401">
        <v>1</v>
      </c>
      <c r="I60" s="400" t="s">
        <v>620</v>
      </c>
      <c r="J60" s="400">
        <v>108</v>
      </c>
      <c r="K60" s="402">
        <v>0</v>
      </c>
      <c r="L60" s="402">
        <v>489123314.39999998</v>
      </c>
      <c r="M60" s="437">
        <v>0.14000000000000001</v>
      </c>
      <c r="N60" s="402">
        <f>+L60*(1+'[1]cuadro resumen'!$B$9)*(1+'[1]cuadro resumen'!$C$9)*(1+'[1]cuadro resumen'!$D$9)</f>
        <v>560828792.29104006</v>
      </c>
      <c r="O60" s="402">
        <f t="shared" si="11"/>
        <v>100949182.61238721</v>
      </c>
      <c r="P60" s="402">
        <f>K60*(1+'[1]cuadro resumen'!$B$9)*(1+'[1]cuadro resumen'!$C$9)*(1+'[1]cuadro resumen'!$D$9)</f>
        <v>0</v>
      </c>
      <c r="Q60" s="402">
        <f>S60*(1+'[1]cuadro resumen'!$B$9)*(1+'[1]cuadro resumen'!$C$9)*(1+'[1]cuadro resumen'!$D$9)</f>
        <v>45918801.747000001</v>
      </c>
      <c r="R60" s="402">
        <f t="shared" si="6"/>
        <v>44866303.383283205</v>
      </c>
      <c r="S60" s="402">
        <v>40047795</v>
      </c>
      <c r="T60" s="402">
        <f t="shared" si="7"/>
        <v>752563080.03371048</v>
      </c>
      <c r="U60" s="404" t="s">
        <v>505</v>
      </c>
      <c r="V60" s="405">
        <v>250</v>
      </c>
      <c r="W60" s="382">
        <f t="shared" si="8"/>
        <v>0</v>
      </c>
      <c r="X60" s="382">
        <f t="shared" si="9"/>
        <v>91032.117043584338</v>
      </c>
      <c r="Y60" s="382">
        <f t="shared" si="10"/>
        <v>1491925.0454697423</v>
      </c>
      <c r="Z60" s="438" t="s">
        <v>498</v>
      </c>
      <c r="AA60" s="446" t="s">
        <v>761</v>
      </c>
      <c r="AB60" s="347">
        <v>2</v>
      </c>
      <c r="AC60" s="384">
        <v>3</v>
      </c>
      <c r="AD60" s="385">
        <v>0</v>
      </c>
      <c r="AF60" s="386"/>
    </row>
    <row r="61" spans="1:32" s="64" customFormat="1" ht="120" x14ac:dyDescent="0.25">
      <c r="A61" s="399">
        <v>17</v>
      </c>
      <c r="B61" s="388">
        <v>6216</v>
      </c>
      <c r="C61" s="436" t="s">
        <v>762</v>
      </c>
      <c r="D61" s="400" t="s">
        <v>538</v>
      </c>
      <c r="E61" s="400" t="s">
        <v>538</v>
      </c>
      <c r="F61" s="400" t="s">
        <v>763</v>
      </c>
      <c r="G61" s="400" t="s">
        <v>764</v>
      </c>
      <c r="H61" s="401">
        <v>5</v>
      </c>
      <c r="I61" s="400" t="s">
        <v>538</v>
      </c>
      <c r="J61" s="400">
        <v>161</v>
      </c>
      <c r="K61" s="402">
        <v>250000000</v>
      </c>
      <c r="L61" s="402">
        <v>489123314.39999998</v>
      </c>
      <c r="M61" s="437">
        <v>0.14000000000000001</v>
      </c>
      <c r="N61" s="402">
        <f>+L61*(1+'[1]cuadro resumen'!$B$9)*(1+'[1]cuadro resumen'!$C$9)*(1+'[1]cuadro resumen'!$D$9)</f>
        <v>560828792.29104006</v>
      </c>
      <c r="O61" s="402">
        <f t="shared" si="11"/>
        <v>100949182.61238721</v>
      </c>
      <c r="P61" s="402">
        <f>K61*(1+'[1]cuadro resumen'!$B$9)*(1+'[1]cuadro resumen'!$C$9)*(1+'[1]cuadro resumen'!$D$9)</f>
        <v>286650000</v>
      </c>
      <c r="Q61" s="402">
        <f>S61*(1+'[1]cuadro resumen'!$B$9)*(1+'[1]cuadro resumen'!$C$9)*(1+'[1]cuadro resumen'!$D$9)</f>
        <v>45918801.747000001</v>
      </c>
      <c r="R61" s="402">
        <f t="shared" si="6"/>
        <v>44866303.383283205</v>
      </c>
      <c r="S61" s="402">
        <v>40047795</v>
      </c>
      <c r="T61" s="402">
        <f t="shared" si="7"/>
        <v>1039213080.0337105</v>
      </c>
      <c r="U61" s="417" t="s">
        <v>505</v>
      </c>
      <c r="V61" s="405">
        <v>250</v>
      </c>
      <c r="W61" s="382">
        <f t="shared" si="8"/>
        <v>568271.71785353182</v>
      </c>
      <c r="X61" s="382">
        <f t="shared" si="9"/>
        <v>91032.117043584338</v>
      </c>
      <c r="Y61" s="382">
        <f t="shared" si="10"/>
        <v>2060196.7633232742</v>
      </c>
      <c r="Z61" s="406" t="s">
        <v>576</v>
      </c>
      <c r="AA61" s="420" t="s">
        <v>577</v>
      </c>
      <c r="AB61" s="347">
        <v>2</v>
      </c>
      <c r="AC61" s="384">
        <v>3</v>
      </c>
      <c r="AD61" s="385">
        <v>1</v>
      </c>
      <c r="AE61" s="440"/>
    </row>
    <row r="62" spans="1:32" s="64" customFormat="1" ht="60" hidden="1" x14ac:dyDescent="0.25">
      <c r="A62" s="399">
        <v>21</v>
      </c>
      <c r="B62" s="388" t="s">
        <v>765</v>
      </c>
      <c r="C62" s="447" t="s">
        <v>766</v>
      </c>
      <c r="D62" s="400" t="s">
        <v>538</v>
      </c>
      <c r="E62" s="400" t="s">
        <v>672</v>
      </c>
      <c r="F62" s="400" t="s">
        <v>596</v>
      </c>
      <c r="G62" s="400" t="s">
        <v>767</v>
      </c>
      <c r="H62" s="401">
        <v>2</v>
      </c>
      <c r="I62" s="400" t="s">
        <v>538</v>
      </c>
      <c r="J62" s="400">
        <v>62</v>
      </c>
      <c r="K62" s="402">
        <v>150000000</v>
      </c>
      <c r="L62" s="402">
        <v>272311821.60000002</v>
      </c>
      <c r="M62" s="437">
        <v>0.14000000000000001</v>
      </c>
      <c r="N62" s="402">
        <f>+L62*(1+'[1]cuadro resumen'!$B$9)*(1+'[1]cuadro resumen'!$C$9)*(1+'[1]cuadro resumen'!$D$9)</f>
        <v>312232734.64656007</v>
      </c>
      <c r="O62" s="402">
        <f t="shared" si="11"/>
        <v>56201892.236380808</v>
      </c>
      <c r="P62" s="402">
        <f>K62*(1+'[1]cuadro resumen'!$B$9)*(1+'[1]cuadro resumen'!$C$9)*(1+'[1]cuadro resumen'!$D$9)</f>
        <v>171990000</v>
      </c>
      <c r="Q62" s="402">
        <f>S62*(1+'[1]cuadro resumen'!$B$9)*(1+'[1]cuadro resumen'!$C$9)*(1+'[1]cuadro resumen'!$D$9)</f>
        <v>35591949.385902002</v>
      </c>
      <c r="R62" s="402">
        <f t="shared" si="6"/>
        <v>24978618.771724805</v>
      </c>
      <c r="S62" s="402">
        <v>31041295.469999999</v>
      </c>
      <c r="T62" s="402">
        <f t="shared" si="7"/>
        <v>600995195.04056776</v>
      </c>
      <c r="U62" s="404" t="s">
        <v>505</v>
      </c>
      <c r="V62" s="405">
        <v>75</v>
      </c>
      <c r="W62" s="382">
        <f t="shared" si="8"/>
        <v>340963.03071211913</v>
      </c>
      <c r="X62" s="382">
        <f t="shared" si="9"/>
        <v>70559.561204543832</v>
      </c>
      <c r="Y62" s="382">
        <f t="shared" si="10"/>
        <v>1191448.009445044</v>
      </c>
      <c r="Z62" s="406" t="s">
        <v>576</v>
      </c>
      <c r="AA62" s="420" t="s">
        <v>768</v>
      </c>
      <c r="AB62" s="347">
        <v>2</v>
      </c>
      <c r="AC62" s="384">
        <v>4</v>
      </c>
      <c r="AD62" s="385">
        <v>1</v>
      </c>
      <c r="AF62" s="386"/>
    </row>
    <row r="63" spans="1:32" s="64" customFormat="1" ht="135" hidden="1" customHeight="1" x14ac:dyDescent="0.25">
      <c r="A63" s="374">
        <v>83</v>
      </c>
      <c r="B63" s="375">
        <v>4172</v>
      </c>
      <c r="C63" s="376" t="s">
        <v>769</v>
      </c>
      <c r="D63" s="377" t="s">
        <v>515</v>
      </c>
      <c r="E63" s="377" t="s">
        <v>770</v>
      </c>
      <c r="F63" s="377" t="s">
        <v>770</v>
      </c>
      <c r="G63" s="377" t="s">
        <v>771</v>
      </c>
      <c r="H63" s="378">
        <v>9</v>
      </c>
      <c r="I63" s="377" t="s">
        <v>515</v>
      </c>
      <c r="J63" s="377">
        <v>1285</v>
      </c>
      <c r="K63" s="346">
        <v>0</v>
      </c>
      <c r="L63" s="346">
        <v>145985400</v>
      </c>
      <c r="M63" s="434">
        <v>0.14000000000000001</v>
      </c>
      <c r="N63" s="346">
        <f>+L63*(1+'[1]cuadro resumen'!$B$9)*(1+'[1]cuadro resumen'!$C$9)*(1+'[1]cuadro resumen'!$D$9)</f>
        <v>167386859.64000002</v>
      </c>
      <c r="O63" s="346">
        <f t="shared" si="11"/>
        <v>30129634.735200003</v>
      </c>
      <c r="P63" s="346">
        <f>K63*(1+'[1]cuadro resumen'!$B$9)*(1+'[1]cuadro resumen'!$C$9)*(1+'[1]cuadro resumen'!$D$9)</f>
        <v>0</v>
      </c>
      <c r="Q63" s="346">
        <f>S63*(1+'[1]cuadro resumen'!$B$9)*(1+'[1]cuadro resumen'!$C$9)*(1+'[1]cuadro resumen'!$D$9)</f>
        <v>0</v>
      </c>
      <c r="R63" s="346">
        <f t="shared" si="6"/>
        <v>13390948.771200001</v>
      </c>
      <c r="S63" s="346">
        <v>0</v>
      </c>
      <c r="T63" s="346">
        <f t="shared" si="7"/>
        <v>210907443.14640003</v>
      </c>
      <c r="U63" s="380" t="s">
        <v>497</v>
      </c>
      <c r="V63" s="381">
        <v>1285</v>
      </c>
      <c r="W63" s="382">
        <f t="shared" si="8"/>
        <v>0</v>
      </c>
      <c r="X63" s="382">
        <f t="shared" si="9"/>
        <v>0</v>
      </c>
      <c r="Y63" s="382">
        <f t="shared" si="10"/>
        <v>418115.24515925645</v>
      </c>
      <c r="Z63" s="383" t="s">
        <v>498</v>
      </c>
      <c r="AA63" s="383" t="s">
        <v>499</v>
      </c>
      <c r="AB63" s="347">
        <v>2</v>
      </c>
      <c r="AC63" s="384">
        <v>5</v>
      </c>
      <c r="AD63" s="385">
        <v>0</v>
      </c>
      <c r="AF63" s="386"/>
    </row>
    <row r="64" spans="1:32" s="64" customFormat="1" ht="165" hidden="1" x14ac:dyDescent="0.25">
      <c r="A64" s="399">
        <v>45</v>
      </c>
      <c r="B64" s="388" t="s">
        <v>772</v>
      </c>
      <c r="C64" s="447" t="s">
        <v>773</v>
      </c>
      <c r="D64" s="400" t="s">
        <v>520</v>
      </c>
      <c r="E64" s="400" t="s">
        <v>662</v>
      </c>
      <c r="F64" s="400" t="s">
        <v>774</v>
      </c>
      <c r="G64" s="400" t="s">
        <v>775</v>
      </c>
      <c r="H64" s="401">
        <v>4</v>
      </c>
      <c r="I64" s="400" t="s">
        <v>665</v>
      </c>
      <c r="J64" s="400">
        <v>50</v>
      </c>
      <c r="K64" s="402">
        <v>150000000</v>
      </c>
      <c r="L64" s="402">
        <v>312833707.19999999</v>
      </c>
      <c r="M64" s="437">
        <v>0.14000000000000001</v>
      </c>
      <c r="N64" s="402">
        <f>+L64*(1+'[1]cuadro resumen'!$B$9)*(1+'[1]cuadro resumen'!$C$9)*(1+'[1]cuadro resumen'!$D$9)</f>
        <v>358695128.67552006</v>
      </c>
      <c r="O64" s="402">
        <f t="shared" si="11"/>
        <v>64565123.161593609</v>
      </c>
      <c r="P64" s="402">
        <f>K64*(1+'[1]cuadro resumen'!$B$9)*(1+'[1]cuadro resumen'!$C$9)*(1+'[1]cuadro resumen'!$D$9)</f>
        <v>171990000</v>
      </c>
      <c r="Q64" s="402">
        <f>S64*(1+'[1]cuadro resumen'!$B$9)*(1+'[1]cuadro resumen'!$C$9)*(1+'[1]cuadro resumen'!$D$9)</f>
        <v>35591949.385902002</v>
      </c>
      <c r="R64" s="402">
        <f t="shared" si="6"/>
        <v>28695610.294041604</v>
      </c>
      <c r="S64" s="402">
        <v>31041295.469999999</v>
      </c>
      <c r="T64" s="402">
        <f t="shared" si="7"/>
        <v>659537811.5170573</v>
      </c>
      <c r="U64" s="417" t="s">
        <v>505</v>
      </c>
      <c r="V64" s="405">
        <v>210</v>
      </c>
      <c r="W64" s="382">
        <f t="shared" si="8"/>
        <v>340963.03071211913</v>
      </c>
      <c r="X64" s="382">
        <f t="shared" si="9"/>
        <v>70559.561204543832</v>
      </c>
      <c r="Y64" s="382">
        <f t="shared" si="10"/>
        <v>1307506.3148095484</v>
      </c>
      <c r="Z64" s="406" t="s">
        <v>576</v>
      </c>
      <c r="AA64" s="420" t="s">
        <v>776</v>
      </c>
      <c r="AB64" s="347">
        <v>2</v>
      </c>
      <c r="AC64" s="384">
        <v>4</v>
      </c>
      <c r="AD64" s="385">
        <v>1</v>
      </c>
    </row>
    <row r="65" spans="1:32" s="64" customFormat="1" ht="15" hidden="1" customHeight="1" x14ac:dyDescent="0.25">
      <c r="A65" s="399">
        <v>8</v>
      </c>
      <c r="B65" s="388" t="s">
        <v>777</v>
      </c>
      <c r="C65" s="447" t="s">
        <v>778</v>
      </c>
      <c r="D65" s="390" t="s">
        <v>515</v>
      </c>
      <c r="E65" s="390" t="s">
        <v>603</v>
      </c>
      <c r="F65" s="390" t="s">
        <v>779</v>
      </c>
      <c r="G65" s="390" t="s">
        <v>780</v>
      </c>
      <c r="H65" s="391">
        <v>11</v>
      </c>
      <c r="I65" s="390" t="s">
        <v>603</v>
      </c>
      <c r="J65" s="390">
        <v>54</v>
      </c>
      <c r="K65" s="392">
        <v>0</v>
      </c>
      <c r="L65" s="392">
        <v>293238467.19999999</v>
      </c>
      <c r="M65" s="442">
        <v>0.14000000000000001</v>
      </c>
      <c r="N65" s="392">
        <f>+L65*(1+'[1]cuadro resumen'!$B$9)*(1+'[1]cuadro resumen'!$C$9)*(1+'[1]cuadro resumen'!$D$9)</f>
        <v>336227226.49151999</v>
      </c>
      <c r="O65" s="392">
        <f t="shared" si="11"/>
        <v>60520900.768473595</v>
      </c>
      <c r="P65" s="392">
        <f>K65*(1+'[1]cuadro resumen'!$B$9)*(1+'[1]cuadro resumen'!$C$9)*(1+'[1]cuadro resumen'!$D$9)</f>
        <v>0</v>
      </c>
      <c r="Q65" s="392">
        <f>S65*(1+'[1]cuadro resumen'!$B$9)*(1+'[1]cuadro resumen'!$C$9)*(1+'[1]cuadro resumen'!$D$9)</f>
        <v>35591949.385902002</v>
      </c>
      <c r="R65" s="392">
        <f t="shared" si="6"/>
        <v>26898178.1193216</v>
      </c>
      <c r="S65" s="392">
        <v>31041295.469999999</v>
      </c>
      <c r="T65" s="392">
        <f t="shared" si="7"/>
        <v>459238254.76521713</v>
      </c>
      <c r="U65" s="428" t="s">
        <v>505</v>
      </c>
      <c r="V65" s="395">
        <v>175</v>
      </c>
      <c r="W65" s="396">
        <f t="shared" si="8"/>
        <v>0</v>
      </c>
      <c r="X65" s="396">
        <f t="shared" si="9"/>
        <v>70559.561204543832</v>
      </c>
      <c r="Y65" s="396">
        <f t="shared" si="10"/>
        <v>910420.76378680568</v>
      </c>
      <c r="Z65" s="432" t="s">
        <v>498</v>
      </c>
      <c r="AA65" s="420" t="s">
        <v>781</v>
      </c>
      <c r="AB65" s="347">
        <v>2</v>
      </c>
      <c r="AC65" s="384">
        <v>4</v>
      </c>
      <c r="AD65" s="385">
        <v>0</v>
      </c>
      <c r="AE65" s="1"/>
    </row>
    <row r="66" spans="1:32" s="64" customFormat="1" ht="45" hidden="1" customHeight="1" x14ac:dyDescent="0.25">
      <c r="A66" s="399">
        <v>9</v>
      </c>
      <c r="B66" s="388" t="s">
        <v>782</v>
      </c>
      <c r="C66" s="448" t="s">
        <v>783</v>
      </c>
      <c r="D66" s="449" t="s">
        <v>515</v>
      </c>
      <c r="E66" s="449" t="s">
        <v>603</v>
      </c>
      <c r="F66" s="449" t="s">
        <v>784</v>
      </c>
      <c r="G66" s="449" t="s">
        <v>785</v>
      </c>
      <c r="H66" s="450">
        <v>7</v>
      </c>
      <c r="I66" s="449" t="s">
        <v>603</v>
      </c>
      <c r="J66" s="449">
        <v>37</v>
      </c>
      <c r="K66" s="402">
        <v>150000000</v>
      </c>
      <c r="L66" s="402">
        <v>272311821.60000002</v>
      </c>
      <c r="M66" s="437">
        <v>0.14000000000000001</v>
      </c>
      <c r="N66" s="402">
        <f>+L66*(1+'[1]cuadro resumen'!$B$9)*(1+'[1]cuadro resumen'!$C$9)*(1+'[1]cuadro resumen'!$D$9)</f>
        <v>312232734.64656007</v>
      </c>
      <c r="O66" s="402">
        <f t="shared" si="11"/>
        <v>56201892.236380808</v>
      </c>
      <c r="P66" s="402">
        <f>K66*(1+'[1]cuadro resumen'!$B$9)*(1+'[1]cuadro resumen'!$C$9)*(1+'[1]cuadro resumen'!$D$9)</f>
        <v>171990000</v>
      </c>
      <c r="Q66" s="402">
        <f>S66*(1+'[1]cuadro resumen'!$B$9)*(1+'[1]cuadro resumen'!$C$9)*(1+'[1]cuadro resumen'!$D$9)</f>
        <v>35591949.385902002</v>
      </c>
      <c r="R66" s="402">
        <f t="shared" ref="R66:R97" si="12">N66*0.08</f>
        <v>24978618.771724805</v>
      </c>
      <c r="S66" s="402">
        <v>31041295.469999999</v>
      </c>
      <c r="T66" s="402">
        <f t="shared" ref="T66:T97" si="13">SUM(N66:R66)</f>
        <v>600995195.04056776</v>
      </c>
      <c r="U66" s="417" t="s">
        <v>505</v>
      </c>
      <c r="V66" s="405">
        <v>75</v>
      </c>
      <c r="W66" s="382">
        <f t="shared" ref="W66:W97" si="14">P66/504.424188278682</f>
        <v>340963.03071211913</v>
      </c>
      <c r="X66" s="382">
        <f t="shared" ref="X66:X97" si="15">Q66/504.424188278682</f>
        <v>70559.561204543832</v>
      </c>
      <c r="Y66" s="382">
        <f t="shared" ref="Y66:Y100" si="16">T66/504.424188278682</f>
        <v>1191448.009445044</v>
      </c>
      <c r="Z66" s="406" t="s">
        <v>576</v>
      </c>
      <c r="AA66" s="451" t="s">
        <v>577</v>
      </c>
      <c r="AB66" s="347">
        <v>2</v>
      </c>
      <c r="AC66" s="384">
        <v>4</v>
      </c>
      <c r="AD66" s="385">
        <v>1</v>
      </c>
      <c r="AE66" s="440"/>
    </row>
    <row r="67" spans="1:32" s="64" customFormat="1" ht="45" hidden="1" customHeight="1" x14ac:dyDescent="0.25">
      <c r="A67" s="399">
        <v>51</v>
      </c>
      <c r="B67" s="388" t="s">
        <v>786</v>
      </c>
      <c r="C67" s="448" t="s">
        <v>787</v>
      </c>
      <c r="D67" s="452" t="s">
        <v>527</v>
      </c>
      <c r="E67" s="452" t="s">
        <v>640</v>
      </c>
      <c r="F67" s="452" t="s">
        <v>788</v>
      </c>
      <c r="G67" s="452" t="s">
        <v>789</v>
      </c>
      <c r="H67" s="453">
        <v>9</v>
      </c>
      <c r="I67" s="452" t="s">
        <v>530</v>
      </c>
      <c r="J67" s="452">
        <v>40</v>
      </c>
      <c r="K67" s="392">
        <v>0</v>
      </c>
      <c r="L67" s="392">
        <v>272311821.60000002</v>
      </c>
      <c r="M67" s="442">
        <v>0.14000000000000001</v>
      </c>
      <c r="N67" s="392">
        <f>+L67*(1+'[1]cuadro resumen'!$B$9)*(1+'[1]cuadro resumen'!$C$9)*(1+'[1]cuadro resumen'!$D$9)</f>
        <v>312232734.64656007</v>
      </c>
      <c r="O67" s="392">
        <f t="shared" si="11"/>
        <v>56201892.236380808</v>
      </c>
      <c r="P67" s="392">
        <f>K67*(1+'[1]cuadro resumen'!$B$9)*(1+'[1]cuadro resumen'!$C$9)*(1+'[1]cuadro resumen'!$D$9)</f>
        <v>0</v>
      </c>
      <c r="Q67" s="392">
        <f>S67*(1+'[1]cuadro resumen'!$B$9)*(1+'[1]cuadro resumen'!$C$9)*(1+'[1]cuadro resumen'!$D$9)</f>
        <v>35591949.385902002</v>
      </c>
      <c r="R67" s="392">
        <f t="shared" si="12"/>
        <v>24978618.771724805</v>
      </c>
      <c r="S67" s="392">
        <v>31041295.469999999</v>
      </c>
      <c r="T67" s="392">
        <f t="shared" si="13"/>
        <v>429005195.0405677</v>
      </c>
      <c r="U67" s="428" t="s">
        <v>505</v>
      </c>
      <c r="V67" s="395">
        <v>75</v>
      </c>
      <c r="W67" s="396">
        <f t="shared" si="14"/>
        <v>0</v>
      </c>
      <c r="X67" s="396">
        <f t="shared" si="15"/>
        <v>70559.561204543832</v>
      </c>
      <c r="Y67" s="396">
        <f t="shared" si="16"/>
        <v>850484.97873292479</v>
      </c>
      <c r="Z67" s="432" t="s">
        <v>576</v>
      </c>
      <c r="AA67" s="454" t="s">
        <v>790</v>
      </c>
      <c r="AB67" s="347">
        <v>2</v>
      </c>
      <c r="AC67" s="384">
        <v>4</v>
      </c>
      <c r="AD67" s="385">
        <v>0</v>
      </c>
      <c r="AE67" s="440"/>
    </row>
    <row r="68" spans="1:32" s="64" customFormat="1" ht="45" hidden="1" customHeight="1" x14ac:dyDescent="0.25">
      <c r="A68" s="399">
        <v>23</v>
      </c>
      <c r="B68" s="388" t="s">
        <v>791</v>
      </c>
      <c r="C68" s="448" t="s">
        <v>792</v>
      </c>
      <c r="D68" s="449" t="s">
        <v>538</v>
      </c>
      <c r="E68" s="449" t="s">
        <v>700</v>
      </c>
      <c r="F68" s="449" t="s">
        <v>793</v>
      </c>
      <c r="G68" s="449" t="s">
        <v>793</v>
      </c>
      <c r="H68" s="450">
        <v>7</v>
      </c>
      <c r="I68" s="449" t="s">
        <v>538</v>
      </c>
      <c r="J68" s="449">
        <v>75</v>
      </c>
      <c r="K68" s="402">
        <v>0</v>
      </c>
      <c r="L68" s="402">
        <v>293238467.19999999</v>
      </c>
      <c r="M68" s="437">
        <v>0.14000000000000001</v>
      </c>
      <c r="N68" s="402">
        <f>+L68*(1+'[1]cuadro resumen'!$B$9)*(1+'[1]cuadro resumen'!$C$9)*(1+'[1]cuadro resumen'!$D$9)</f>
        <v>336227226.49151999</v>
      </c>
      <c r="O68" s="402">
        <f t="shared" si="11"/>
        <v>60520900.768473595</v>
      </c>
      <c r="P68" s="402">
        <f>K68*(1+'[1]cuadro resumen'!$B$9)*(1+'[1]cuadro resumen'!$C$9)*(1+'[1]cuadro resumen'!$D$9)</f>
        <v>0</v>
      </c>
      <c r="Q68" s="402">
        <f>S68*(1+'[1]cuadro resumen'!$B$9)*(1+'[1]cuadro resumen'!$C$9)*(1+'[1]cuadro resumen'!$D$9)</f>
        <v>35591949.385902002</v>
      </c>
      <c r="R68" s="402">
        <f t="shared" si="12"/>
        <v>26898178.1193216</v>
      </c>
      <c r="S68" s="402">
        <v>31041295.469999999</v>
      </c>
      <c r="T68" s="402">
        <f t="shared" si="13"/>
        <v>459238254.76521713</v>
      </c>
      <c r="U68" s="417" t="s">
        <v>505</v>
      </c>
      <c r="V68" s="405">
        <v>175</v>
      </c>
      <c r="W68" s="382">
        <f t="shared" si="14"/>
        <v>0</v>
      </c>
      <c r="X68" s="382">
        <f t="shared" si="15"/>
        <v>70559.561204543832</v>
      </c>
      <c r="Y68" s="382">
        <f t="shared" si="16"/>
        <v>910420.76378680568</v>
      </c>
      <c r="Z68" s="406" t="s">
        <v>498</v>
      </c>
      <c r="AA68" s="420" t="s">
        <v>628</v>
      </c>
      <c r="AB68" s="347">
        <v>2</v>
      </c>
      <c r="AC68" s="384">
        <v>4</v>
      </c>
      <c r="AD68" s="385">
        <v>0</v>
      </c>
      <c r="AE68" s="440"/>
    </row>
    <row r="69" spans="1:32" s="64" customFormat="1" ht="45" hidden="1" customHeight="1" x14ac:dyDescent="0.25">
      <c r="A69" s="399">
        <v>46</v>
      </c>
      <c r="B69" s="388" t="s">
        <v>794</v>
      </c>
      <c r="C69" s="455" t="s">
        <v>795</v>
      </c>
      <c r="D69" s="449" t="s">
        <v>520</v>
      </c>
      <c r="E69" s="449" t="s">
        <v>796</v>
      </c>
      <c r="F69" s="449" t="s">
        <v>796</v>
      </c>
      <c r="G69" s="449" t="s">
        <v>797</v>
      </c>
      <c r="H69" s="450">
        <v>5</v>
      </c>
      <c r="I69" s="449" t="s">
        <v>524</v>
      </c>
      <c r="J69" s="449">
        <v>49</v>
      </c>
      <c r="K69" s="402">
        <v>0</v>
      </c>
      <c r="L69" s="402">
        <v>272311821.60000002</v>
      </c>
      <c r="M69" s="437">
        <v>0.14000000000000001</v>
      </c>
      <c r="N69" s="402">
        <f>+L69*(1+'[1]cuadro resumen'!$B$9)*(1+'[1]cuadro resumen'!$C$9)*(1+'[1]cuadro resumen'!$D$9)</f>
        <v>312232734.64656007</v>
      </c>
      <c r="O69" s="402">
        <f t="shared" si="11"/>
        <v>56201892.236380808</v>
      </c>
      <c r="P69" s="402">
        <f>K69*(1+'[1]cuadro resumen'!$B$9)*(1+'[1]cuadro resumen'!$C$9)*(1+'[1]cuadro resumen'!$D$9)</f>
        <v>0</v>
      </c>
      <c r="Q69" s="402">
        <f>S69*(1+'[1]cuadro resumen'!$B$9)*(1+'[1]cuadro resumen'!$C$9)*(1+'[1]cuadro resumen'!$D$9)</f>
        <v>35591949.385902002</v>
      </c>
      <c r="R69" s="402">
        <f t="shared" si="12"/>
        <v>24978618.771724805</v>
      </c>
      <c r="S69" s="402">
        <v>31041295.469999999</v>
      </c>
      <c r="T69" s="402">
        <f t="shared" si="13"/>
        <v>429005195.0405677</v>
      </c>
      <c r="U69" s="417" t="s">
        <v>505</v>
      </c>
      <c r="V69" s="405">
        <v>75</v>
      </c>
      <c r="W69" s="382">
        <f t="shared" si="14"/>
        <v>0</v>
      </c>
      <c r="X69" s="382">
        <f t="shared" si="15"/>
        <v>70559.561204543832</v>
      </c>
      <c r="Y69" s="382">
        <f t="shared" si="16"/>
        <v>850484.97873292479</v>
      </c>
      <c r="Z69" s="456" t="s">
        <v>498</v>
      </c>
      <c r="AA69" s="407" t="s">
        <v>577</v>
      </c>
      <c r="AB69" s="347">
        <v>2</v>
      </c>
      <c r="AC69" s="384">
        <v>4</v>
      </c>
      <c r="AD69" s="385">
        <v>0</v>
      </c>
      <c r="AE69" s="440"/>
    </row>
    <row r="70" spans="1:32" s="64" customFormat="1" ht="30" hidden="1" customHeight="1" x14ac:dyDescent="0.25">
      <c r="A70" s="387">
        <v>12</v>
      </c>
      <c r="B70" s="388" t="s">
        <v>798</v>
      </c>
      <c r="C70" s="447" t="s">
        <v>799</v>
      </c>
      <c r="D70" s="400" t="s">
        <v>515</v>
      </c>
      <c r="E70" s="400" t="s">
        <v>570</v>
      </c>
      <c r="F70" s="400" t="s">
        <v>800</v>
      </c>
      <c r="G70" s="400" t="s">
        <v>801</v>
      </c>
      <c r="H70" s="401">
        <v>1</v>
      </c>
      <c r="I70" s="400" t="s">
        <v>570</v>
      </c>
      <c r="J70" s="400">
        <v>58</v>
      </c>
      <c r="K70" s="402">
        <v>150000000</v>
      </c>
      <c r="L70" s="402">
        <v>293238467.19999999</v>
      </c>
      <c r="M70" s="437">
        <v>0.14000000000000001</v>
      </c>
      <c r="N70" s="402">
        <f>+L70*(1+'[1]cuadro resumen'!$B$9)*(1+'[1]cuadro resumen'!$C$9)*(1+'[1]cuadro resumen'!$D$9)</f>
        <v>336227226.49151999</v>
      </c>
      <c r="O70" s="402">
        <f t="shared" si="11"/>
        <v>60520900.768473595</v>
      </c>
      <c r="P70" s="402">
        <f>K70*(1+'[1]cuadro resumen'!$B$9)*(1+'[1]cuadro resumen'!$C$9)*(1+'[1]cuadro resumen'!$D$9)</f>
        <v>171990000</v>
      </c>
      <c r="Q70" s="402">
        <f>S70*(1+'[1]cuadro resumen'!$B$9)*(1+'[1]cuadro resumen'!$C$9)*(1+'[1]cuadro resumen'!$D$9)</f>
        <v>35591949.385902002</v>
      </c>
      <c r="R70" s="402">
        <f t="shared" si="12"/>
        <v>26898178.1193216</v>
      </c>
      <c r="S70" s="402">
        <v>31041295.469999999</v>
      </c>
      <c r="T70" s="402">
        <f t="shared" si="13"/>
        <v>631228254.76521719</v>
      </c>
      <c r="U70" s="404" t="s">
        <v>505</v>
      </c>
      <c r="V70" s="405">
        <v>175</v>
      </c>
      <c r="W70" s="382">
        <f t="shared" si="14"/>
        <v>340963.03071211913</v>
      </c>
      <c r="X70" s="382">
        <f t="shared" si="15"/>
        <v>70559.561204543832</v>
      </c>
      <c r="Y70" s="382">
        <f t="shared" si="16"/>
        <v>1251383.7944989249</v>
      </c>
      <c r="Z70" s="438" t="s">
        <v>576</v>
      </c>
      <c r="AA70" s="420" t="s">
        <v>577</v>
      </c>
      <c r="AB70" s="347">
        <v>2</v>
      </c>
      <c r="AC70" s="384">
        <v>4</v>
      </c>
      <c r="AD70" s="385">
        <v>1</v>
      </c>
      <c r="AF70" s="386"/>
    </row>
    <row r="71" spans="1:32" s="64" customFormat="1" ht="45" hidden="1" customHeight="1" x14ac:dyDescent="0.25">
      <c r="A71" s="399">
        <v>5</v>
      </c>
      <c r="B71" s="388" t="s">
        <v>802</v>
      </c>
      <c r="C71" s="448" t="s">
        <v>803</v>
      </c>
      <c r="D71" s="449" t="s">
        <v>515</v>
      </c>
      <c r="E71" s="449" t="s">
        <v>770</v>
      </c>
      <c r="F71" s="449" t="s">
        <v>804</v>
      </c>
      <c r="G71" s="449" t="s">
        <v>805</v>
      </c>
      <c r="H71" s="450">
        <v>9</v>
      </c>
      <c r="I71" s="449" t="s">
        <v>515</v>
      </c>
      <c r="J71" s="449">
        <v>59</v>
      </c>
      <c r="K71" s="402">
        <v>150000000</v>
      </c>
      <c r="L71" s="402">
        <v>272311821.60000002</v>
      </c>
      <c r="M71" s="437">
        <v>0.14000000000000001</v>
      </c>
      <c r="N71" s="402">
        <f>+L71*(1+'[1]cuadro resumen'!$B$9)*(1+'[1]cuadro resumen'!$C$9)*(1+'[1]cuadro resumen'!$D$9)</f>
        <v>312232734.64656007</v>
      </c>
      <c r="O71" s="402">
        <f t="shared" si="11"/>
        <v>56201892.236380808</v>
      </c>
      <c r="P71" s="402">
        <f>K71*(1+'[1]cuadro resumen'!$B$9)*(1+'[1]cuadro resumen'!$C$9)*(1+'[1]cuadro resumen'!$D$9)</f>
        <v>171990000</v>
      </c>
      <c r="Q71" s="402">
        <f>S71*(1+'[1]cuadro resumen'!$B$9)*(1+'[1]cuadro resumen'!$C$9)*(1+'[1]cuadro resumen'!$D$9)</f>
        <v>35591949.385902002</v>
      </c>
      <c r="R71" s="402">
        <f t="shared" si="12"/>
        <v>24978618.771724805</v>
      </c>
      <c r="S71" s="402">
        <v>31041295.469999999</v>
      </c>
      <c r="T71" s="402">
        <f t="shared" si="13"/>
        <v>600995195.04056776</v>
      </c>
      <c r="U71" s="417" t="s">
        <v>505</v>
      </c>
      <c r="V71" s="400">
        <v>75</v>
      </c>
      <c r="W71" s="382">
        <f t="shared" si="14"/>
        <v>340963.03071211913</v>
      </c>
      <c r="X71" s="382">
        <f t="shared" si="15"/>
        <v>70559.561204543832</v>
      </c>
      <c r="Y71" s="382">
        <f t="shared" si="16"/>
        <v>1191448.009445044</v>
      </c>
      <c r="Z71" s="406" t="s">
        <v>576</v>
      </c>
      <c r="AA71" s="398" t="s">
        <v>806</v>
      </c>
      <c r="AB71" s="347">
        <v>2</v>
      </c>
      <c r="AC71" s="384">
        <v>4</v>
      </c>
      <c r="AD71" s="385">
        <v>1</v>
      </c>
      <c r="AF71" s="386"/>
    </row>
    <row r="72" spans="1:32" s="64" customFormat="1" ht="120" hidden="1" x14ac:dyDescent="0.25">
      <c r="A72" s="399">
        <v>73</v>
      </c>
      <c r="B72" s="388">
        <v>6043</v>
      </c>
      <c r="C72" s="457" t="s">
        <v>807</v>
      </c>
      <c r="D72" s="449" t="s">
        <v>508</v>
      </c>
      <c r="E72" s="449" t="s">
        <v>636</v>
      </c>
      <c r="F72" s="449" t="s">
        <v>808</v>
      </c>
      <c r="G72" s="449" t="s">
        <v>809</v>
      </c>
      <c r="H72" s="449">
        <v>2</v>
      </c>
      <c r="I72" s="449" t="s">
        <v>636</v>
      </c>
      <c r="J72" s="449">
        <v>23</v>
      </c>
      <c r="K72" s="458">
        <v>150000000</v>
      </c>
      <c r="L72" s="402">
        <v>272311821.60000002</v>
      </c>
      <c r="M72" s="437">
        <v>0.14000000000000001</v>
      </c>
      <c r="N72" s="402">
        <f>+L72*(1+'[1]cuadro resumen'!$B$9)*(1+'[1]cuadro resumen'!$C$9)*(1+'[1]cuadro resumen'!$D$9)</f>
        <v>312232734.64656007</v>
      </c>
      <c r="O72" s="402">
        <f t="shared" si="11"/>
        <v>56201892.236380808</v>
      </c>
      <c r="P72" s="402">
        <f>K72*(1+'[1]cuadro resumen'!$B$9)*(1+'[1]cuadro resumen'!$C$9)*(1+'[1]cuadro resumen'!$D$9)</f>
        <v>171990000</v>
      </c>
      <c r="Q72" s="402">
        <f>S72*(1+'[1]cuadro resumen'!$B$9)*(1+'[1]cuadro resumen'!$C$9)*(1+'[1]cuadro resumen'!$D$9)</f>
        <v>35591949.385902002</v>
      </c>
      <c r="R72" s="402">
        <f t="shared" si="12"/>
        <v>24978618.771724805</v>
      </c>
      <c r="S72" s="402">
        <v>31041295.469999999</v>
      </c>
      <c r="T72" s="402">
        <f t="shared" si="13"/>
        <v>600995195.04056776</v>
      </c>
      <c r="U72" s="404" t="s">
        <v>505</v>
      </c>
      <c r="V72" s="405">
        <v>75</v>
      </c>
      <c r="W72" s="382">
        <f t="shared" si="14"/>
        <v>340963.03071211913</v>
      </c>
      <c r="X72" s="382">
        <f t="shared" si="15"/>
        <v>70559.561204543832</v>
      </c>
      <c r="Y72" s="382">
        <f t="shared" si="16"/>
        <v>1191448.009445044</v>
      </c>
      <c r="Z72" s="406" t="s">
        <v>576</v>
      </c>
      <c r="AA72" s="435" t="s">
        <v>810</v>
      </c>
      <c r="AB72" s="347">
        <v>2</v>
      </c>
      <c r="AC72" s="384">
        <v>4</v>
      </c>
      <c r="AD72" s="385">
        <v>1</v>
      </c>
      <c r="AF72" s="386"/>
    </row>
    <row r="73" spans="1:32" s="64" customFormat="1" ht="135" hidden="1" x14ac:dyDescent="0.25">
      <c r="A73" s="399">
        <v>29</v>
      </c>
      <c r="B73" s="388" t="s">
        <v>811</v>
      </c>
      <c r="C73" s="448" t="s">
        <v>812</v>
      </c>
      <c r="D73" s="449" t="s">
        <v>493</v>
      </c>
      <c r="E73" s="449" t="s">
        <v>572</v>
      </c>
      <c r="F73" s="449" t="s">
        <v>685</v>
      </c>
      <c r="G73" s="449" t="s">
        <v>813</v>
      </c>
      <c r="H73" s="450">
        <v>7</v>
      </c>
      <c r="I73" s="449" t="s">
        <v>570</v>
      </c>
      <c r="J73" s="449">
        <v>39</v>
      </c>
      <c r="K73" s="458">
        <v>150000000</v>
      </c>
      <c r="L73" s="402">
        <v>272311821.60000002</v>
      </c>
      <c r="M73" s="437">
        <v>0.14000000000000001</v>
      </c>
      <c r="N73" s="402">
        <f>+L73*(1+'[1]cuadro resumen'!$B$9)*(1+'[1]cuadro resumen'!$C$9)*(1+'[1]cuadro resumen'!$D$9)</f>
        <v>312232734.64656007</v>
      </c>
      <c r="O73" s="402">
        <f t="shared" si="11"/>
        <v>56201892.236380808</v>
      </c>
      <c r="P73" s="402">
        <f>K73*(1+'[1]cuadro resumen'!$B$9)*(1+'[1]cuadro resumen'!$C$9)*(1+'[1]cuadro resumen'!$D$9)</f>
        <v>171990000</v>
      </c>
      <c r="Q73" s="402">
        <f>S73*(1+'[1]cuadro resumen'!$B$9)*(1+'[1]cuadro resumen'!$C$9)*(1+'[1]cuadro resumen'!$D$9)</f>
        <v>35591949.385902002</v>
      </c>
      <c r="R73" s="402">
        <f t="shared" si="12"/>
        <v>24978618.771724805</v>
      </c>
      <c r="S73" s="402">
        <v>31041295.469999999</v>
      </c>
      <c r="T73" s="402">
        <f t="shared" si="13"/>
        <v>600995195.04056776</v>
      </c>
      <c r="U73" s="404" t="s">
        <v>505</v>
      </c>
      <c r="V73" s="405">
        <v>75</v>
      </c>
      <c r="W73" s="382">
        <f t="shared" si="14"/>
        <v>340963.03071211913</v>
      </c>
      <c r="X73" s="382">
        <f t="shared" si="15"/>
        <v>70559.561204543832</v>
      </c>
      <c r="Y73" s="382">
        <f t="shared" si="16"/>
        <v>1191448.009445044</v>
      </c>
      <c r="Z73" s="406" t="s">
        <v>576</v>
      </c>
      <c r="AA73" s="420" t="s">
        <v>814</v>
      </c>
      <c r="AB73" s="347">
        <v>2</v>
      </c>
      <c r="AC73" s="384">
        <v>4</v>
      </c>
      <c r="AD73" s="385">
        <v>1</v>
      </c>
      <c r="AF73" s="386"/>
    </row>
    <row r="74" spans="1:32" s="64" customFormat="1" ht="45" hidden="1" x14ac:dyDescent="0.25">
      <c r="A74" s="399">
        <v>11</v>
      </c>
      <c r="B74" s="388" t="s">
        <v>815</v>
      </c>
      <c r="C74" s="448" t="s">
        <v>816</v>
      </c>
      <c r="D74" s="449" t="s">
        <v>515</v>
      </c>
      <c r="E74" s="449" t="s">
        <v>817</v>
      </c>
      <c r="F74" s="449" t="s">
        <v>818</v>
      </c>
      <c r="G74" s="449" t="s">
        <v>819</v>
      </c>
      <c r="H74" s="450">
        <v>6</v>
      </c>
      <c r="I74" s="449" t="s">
        <v>603</v>
      </c>
      <c r="J74" s="449">
        <v>50</v>
      </c>
      <c r="K74" s="402">
        <v>150000000</v>
      </c>
      <c r="L74" s="402">
        <v>272311821.60000002</v>
      </c>
      <c r="M74" s="437">
        <v>0.14000000000000001</v>
      </c>
      <c r="N74" s="402">
        <f>+L74*(1+'[1]cuadro resumen'!$B$9)*(1+'[1]cuadro resumen'!$C$9)*(1+'[1]cuadro resumen'!$D$9)</f>
        <v>312232734.64656007</v>
      </c>
      <c r="O74" s="402">
        <f t="shared" si="11"/>
        <v>56201892.236380808</v>
      </c>
      <c r="P74" s="402">
        <f>K74*(1+'[1]cuadro resumen'!$B$9)*(1+'[1]cuadro resumen'!$C$9)*(1+'[1]cuadro resumen'!$D$9)</f>
        <v>171990000</v>
      </c>
      <c r="Q74" s="402">
        <f>S74*(1+'[1]cuadro resumen'!$B$9)*(1+'[1]cuadro resumen'!$C$9)*(1+'[1]cuadro resumen'!$D$9)</f>
        <v>35591949.385902002</v>
      </c>
      <c r="R74" s="402">
        <f t="shared" si="12"/>
        <v>24978618.771724805</v>
      </c>
      <c r="S74" s="402">
        <v>31041295.469999999</v>
      </c>
      <c r="T74" s="402">
        <f t="shared" si="13"/>
        <v>600995195.04056776</v>
      </c>
      <c r="U74" s="417" t="s">
        <v>505</v>
      </c>
      <c r="V74" s="400">
        <v>75</v>
      </c>
      <c r="W74" s="382">
        <f t="shared" si="14"/>
        <v>340963.03071211913</v>
      </c>
      <c r="X74" s="382">
        <f t="shared" si="15"/>
        <v>70559.561204543832</v>
      </c>
      <c r="Y74" s="382">
        <f t="shared" si="16"/>
        <v>1191448.009445044</v>
      </c>
      <c r="Z74" s="430" t="s">
        <v>576</v>
      </c>
      <c r="AA74" s="420" t="s">
        <v>820</v>
      </c>
      <c r="AB74" s="347">
        <v>2</v>
      </c>
      <c r="AC74" s="384">
        <v>4</v>
      </c>
      <c r="AD74" s="385">
        <v>1</v>
      </c>
    </row>
    <row r="75" spans="1:32" s="64" customFormat="1" ht="135" hidden="1" x14ac:dyDescent="0.25">
      <c r="A75" s="399">
        <v>28</v>
      </c>
      <c r="B75" s="388" t="s">
        <v>821</v>
      </c>
      <c r="C75" s="447" t="s">
        <v>822</v>
      </c>
      <c r="D75" s="400" t="s">
        <v>493</v>
      </c>
      <c r="E75" s="400" t="s">
        <v>572</v>
      </c>
      <c r="F75" s="400" t="s">
        <v>572</v>
      </c>
      <c r="G75" s="400" t="s">
        <v>823</v>
      </c>
      <c r="H75" s="401">
        <v>1</v>
      </c>
      <c r="I75" s="400" t="s">
        <v>575</v>
      </c>
      <c r="J75" s="400">
        <v>30</v>
      </c>
      <c r="K75" s="402">
        <v>150000000</v>
      </c>
      <c r="L75" s="402">
        <v>272311821.60000002</v>
      </c>
      <c r="M75" s="437">
        <v>0.14000000000000001</v>
      </c>
      <c r="N75" s="402">
        <f>+L75*(1+'[1]cuadro resumen'!$B$9)*(1+'[1]cuadro resumen'!$C$9)*(1+'[1]cuadro resumen'!$D$9)</f>
        <v>312232734.64656007</v>
      </c>
      <c r="O75" s="402">
        <f t="shared" si="11"/>
        <v>56201892.236380808</v>
      </c>
      <c r="P75" s="402">
        <f>K75*(1+'[1]cuadro resumen'!$B$9)*(1+'[1]cuadro resumen'!$C$9)*(1+'[1]cuadro resumen'!$D$9)</f>
        <v>171990000</v>
      </c>
      <c r="Q75" s="402">
        <f>S75*(1+'[1]cuadro resumen'!$B$9)*(1+'[1]cuadro resumen'!$C$9)*(1+'[1]cuadro resumen'!$D$9)</f>
        <v>35591949.385902002</v>
      </c>
      <c r="R75" s="402">
        <f t="shared" si="12"/>
        <v>24978618.771724805</v>
      </c>
      <c r="S75" s="402">
        <v>31041295.469999999</v>
      </c>
      <c r="T75" s="402">
        <f t="shared" si="13"/>
        <v>600995195.04056776</v>
      </c>
      <c r="U75" s="417" t="s">
        <v>505</v>
      </c>
      <c r="V75" s="405">
        <v>75</v>
      </c>
      <c r="W75" s="382">
        <f t="shared" si="14"/>
        <v>340963.03071211913</v>
      </c>
      <c r="X75" s="382">
        <f t="shared" si="15"/>
        <v>70559.561204543832</v>
      </c>
      <c r="Y75" s="382">
        <f t="shared" si="16"/>
        <v>1191448.009445044</v>
      </c>
      <c r="Z75" s="406" t="s">
        <v>576</v>
      </c>
      <c r="AA75" s="420" t="s">
        <v>824</v>
      </c>
      <c r="AB75" s="347">
        <v>2</v>
      </c>
      <c r="AC75" s="384">
        <v>4</v>
      </c>
      <c r="AD75" s="385">
        <v>1</v>
      </c>
      <c r="AE75" s="1"/>
    </row>
    <row r="76" spans="1:32" s="64" customFormat="1" ht="30" hidden="1" customHeight="1" x14ac:dyDescent="0.25">
      <c r="A76" s="399">
        <v>27</v>
      </c>
      <c r="B76" s="388" t="s">
        <v>825</v>
      </c>
      <c r="C76" s="441" t="s">
        <v>826</v>
      </c>
      <c r="D76" s="400" t="s">
        <v>493</v>
      </c>
      <c r="E76" s="400" t="s">
        <v>572</v>
      </c>
      <c r="F76" s="400" t="s">
        <v>685</v>
      </c>
      <c r="G76" s="400" t="s">
        <v>827</v>
      </c>
      <c r="H76" s="400">
        <v>7</v>
      </c>
      <c r="I76" s="400" t="s">
        <v>570</v>
      </c>
      <c r="J76" s="400">
        <v>93</v>
      </c>
      <c r="K76" s="402">
        <v>0</v>
      </c>
      <c r="L76" s="402">
        <v>413971507.60000002</v>
      </c>
      <c r="M76" s="403">
        <v>0.19</v>
      </c>
      <c r="N76" s="402">
        <f>+L76*(1+'[1]cuadro resumen'!$B$9)*(1+'[1]cuadro resumen'!$C$9)*(1+'[1]cuadro resumen'!$D$9)*(1+'[1]cuadro resumen'!$E$9)</f>
        <v>498392717.14486808</v>
      </c>
      <c r="O76" s="402">
        <f t="shared" ref="O76:O82" si="17">N76*0.18</f>
        <v>89710689.086076245</v>
      </c>
      <c r="P76" s="402">
        <f>+K76*(1+'[1]cuadro resumen'!$B$9)*(1+'[1]cuadro resumen'!$C$9)*(1+'[1]cuadro resumen'!$D$9)*(1+'[1]cuadro resumen'!$E$9)</f>
        <v>0</v>
      </c>
      <c r="Q76" s="402">
        <f>+S76*(1+'[1]cuadro resumen'!$B$9)*(1+'[1]cuadro resumen'!$C$9)*(1+'[1]cuadro resumen'!$D$9)*(1+'[1]cuadro resumen'!$E$9)</f>
        <v>44079242.28435</v>
      </c>
      <c r="R76" s="402">
        <f t="shared" si="12"/>
        <v>39871417.371589445</v>
      </c>
      <c r="S76" s="402">
        <v>36612795</v>
      </c>
      <c r="T76" s="402">
        <f t="shared" si="13"/>
        <v>672054065.88688374</v>
      </c>
      <c r="U76" s="417" t="s">
        <v>505</v>
      </c>
      <c r="V76" s="395">
        <v>150</v>
      </c>
      <c r="W76" s="382">
        <f t="shared" si="14"/>
        <v>0</v>
      </c>
      <c r="X76" s="382">
        <f t="shared" si="15"/>
        <v>87385.26682229065</v>
      </c>
      <c r="Y76" s="382">
        <f t="shared" si="16"/>
        <v>1332319.2691853833</v>
      </c>
      <c r="Z76" s="406" t="s">
        <v>576</v>
      </c>
      <c r="AA76" s="420" t="s">
        <v>577</v>
      </c>
      <c r="AB76" s="347">
        <v>3</v>
      </c>
      <c r="AC76" s="384">
        <v>3</v>
      </c>
      <c r="AD76" s="385">
        <v>0</v>
      </c>
      <c r="AE76" s="1"/>
    </row>
    <row r="77" spans="1:32" s="64" customFormat="1" ht="135" x14ac:dyDescent="0.25">
      <c r="A77" s="399">
        <v>75</v>
      </c>
      <c r="B77" s="388">
        <v>5988</v>
      </c>
      <c r="C77" s="427" t="s">
        <v>828</v>
      </c>
      <c r="D77" s="390" t="s">
        <v>527</v>
      </c>
      <c r="E77" s="390" t="s">
        <v>829</v>
      </c>
      <c r="F77" s="390" t="s">
        <v>830</v>
      </c>
      <c r="G77" s="390" t="s">
        <v>831</v>
      </c>
      <c r="H77" s="390">
        <v>5</v>
      </c>
      <c r="I77" s="390" t="s">
        <v>631</v>
      </c>
      <c r="J77" s="390" t="s">
        <v>832</v>
      </c>
      <c r="K77" s="392">
        <v>202947851.62</v>
      </c>
      <c r="L77" s="392">
        <v>687714949.89999998</v>
      </c>
      <c r="M77" s="393">
        <v>0.19</v>
      </c>
      <c r="N77" s="392">
        <f>+L77*(1+'[1]cuadro resumen'!$B$9)*(1+'[1]cuadro resumen'!$C$9)*(1+'[1]cuadro resumen'!$D$9)*(1+'[1]cuadro resumen'!$E$9)</f>
        <v>827960659.63310707</v>
      </c>
      <c r="O77" s="392">
        <f t="shared" si="17"/>
        <v>149032918.73395926</v>
      </c>
      <c r="P77" s="392">
        <f>+K77*(1+'[1]cuadro resumen'!$B$9)*(1+'[1]cuadro resumen'!$C$9)*(1+'[1]cuadro resumen'!$D$9)*(1+'[1]cuadro resumen'!$E$9)</f>
        <v>244335007.00086662</v>
      </c>
      <c r="Q77" s="392">
        <f>+S77*(1+'[1]cuadro resumen'!$B$9)*(1+'[1]cuadro resumen'!$C$9)*(1+'[1]cuadro resumen'!$D$9)*(1+'[1]cuadro resumen'!$E$9)</f>
        <v>44980513.913789995</v>
      </c>
      <c r="R77" s="392">
        <f t="shared" si="12"/>
        <v>66236852.770648569</v>
      </c>
      <c r="S77" s="392">
        <v>37361403</v>
      </c>
      <c r="T77" s="392">
        <f t="shared" si="13"/>
        <v>1332545952.0523715</v>
      </c>
      <c r="U77" s="428" t="s">
        <v>505</v>
      </c>
      <c r="V77" s="395">
        <v>400</v>
      </c>
      <c r="W77" s="396">
        <f t="shared" si="14"/>
        <v>484384.0019540806</v>
      </c>
      <c r="X77" s="396">
        <f t="shared" si="15"/>
        <v>89172.000389758003</v>
      </c>
      <c r="Y77" s="396">
        <f t="shared" si="16"/>
        <v>2641716.9973541647</v>
      </c>
      <c r="Z77" s="397" t="s">
        <v>498</v>
      </c>
      <c r="AA77" s="451" t="s">
        <v>833</v>
      </c>
      <c r="AB77" s="347">
        <v>3</v>
      </c>
      <c r="AC77" s="384">
        <v>3</v>
      </c>
      <c r="AD77" s="385">
        <v>1</v>
      </c>
      <c r="AE77" s="1"/>
    </row>
    <row r="78" spans="1:32" s="64" customFormat="1" ht="120" x14ac:dyDescent="0.25">
      <c r="A78" s="399">
        <v>79</v>
      </c>
      <c r="B78" s="388" t="s">
        <v>500</v>
      </c>
      <c r="C78" s="427" t="s">
        <v>834</v>
      </c>
      <c r="D78" s="390" t="s">
        <v>527</v>
      </c>
      <c r="E78" s="390" t="s">
        <v>835</v>
      </c>
      <c r="F78" s="390" t="s">
        <v>836</v>
      </c>
      <c r="G78" s="390" t="s">
        <v>836</v>
      </c>
      <c r="H78" s="390" t="s">
        <v>837</v>
      </c>
      <c r="I78" s="390" t="s">
        <v>530</v>
      </c>
      <c r="J78" s="390" t="s">
        <v>837</v>
      </c>
      <c r="K78" s="392">
        <v>230158598.09</v>
      </c>
      <c r="L78" s="392">
        <v>1302708376</v>
      </c>
      <c r="M78" s="393">
        <v>0.19</v>
      </c>
      <c r="N78" s="392">
        <f>+L78*(1+'[1]cuadro resumen'!$B$9)*(1+'[1]cuadro resumen'!$C$9)*(1+'[1]cuadro resumen'!$D$9)*(1+'[1]cuadro resumen'!$E$9)</f>
        <v>1568369695.1176801</v>
      </c>
      <c r="O78" s="392">
        <f t="shared" si="17"/>
        <v>282306545.12118238</v>
      </c>
      <c r="P78" s="392">
        <f>+K78*(1+'[1]cuadro resumen'!$B$9)*(1+'[1]cuadro resumen'!$C$9)*(1+'[1]cuadro resumen'!$D$9)*(1+'[1]cuadro resumen'!$E$9)</f>
        <v>277094840.99849373</v>
      </c>
      <c r="Q78" s="392">
        <f>+S78*(1+'[1]cuadro resumen'!$B$9)*(1+'[1]cuadro resumen'!$C$9)*(1+'[1]cuadro resumen'!$D$9)*(1+'[1]cuadro resumen'!$E$9)</f>
        <v>78715394.601480007</v>
      </c>
      <c r="R78" s="392">
        <f t="shared" si="12"/>
        <v>125469575.60941441</v>
      </c>
      <c r="S78" s="392">
        <v>65382036</v>
      </c>
      <c r="T78" s="392">
        <f t="shared" si="13"/>
        <v>2331956051.4482508</v>
      </c>
      <c r="U78" s="428" t="s">
        <v>505</v>
      </c>
      <c r="V78" s="395">
        <v>700</v>
      </c>
      <c r="W78" s="396">
        <f t="shared" si="14"/>
        <v>549329.01204453269</v>
      </c>
      <c r="X78" s="396">
        <f t="shared" si="15"/>
        <v>156050.00004082217</v>
      </c>
      <c r="Y78" s="396">
        <f t="shared" si="16"/>
        <v>4623006.0049378565</v>
      </c>
      <c r="Z78" s="397" t="s">
        <v>576</v>
      </c>
      <c r="AA78" s="398" t="s">
        <v>686</v>
      </c>
      <c r="AB78" s="347">
        <v>3</v>
      </c>
      <c r="AC78" s="384">
        <v>3</v>
      </c>
      <c r="AD78" s="385">
        <v>1</v>
      </c>
      <c r="AE78" s="1"/>
    </row>
    <row r="79" spans="1:32" s="64" customFormat="1" ht="15" customHeight="1" x14ac:dyDescent="0.25">
      <c r="A79" s="399">
        <v>60</v>
      </c>
      <c r="B79" s="388" t="s">
        <v>500</v>
      </c>
      <c r="C79" s="427" t="s">
        <v>838</v>
      </c>
      <c r="D79" s="390" t="s">
        <v>508</v>
      </c>
      <c r="E79" s="390" t="s">
        <v>636</v>
      </c>
      <c r="F79" s="390" t="s">
        <v>839</v>
      </c>
      <c r="G79" s="390" t="s">
        <v>839</v>
      </c>
      <c r="H79" s="390">
        <v>1</v>
      </c>
      <c r="I79" s="390" t="s">
        <v>636</v>
      </c>
      <c r="J79" s="390">
        <v>0</v>
      </c>
      <c r="K79" s="392">
        <v>250000000</v>
      </c>
      <c r="L79" s="392">
        <v>928503102.79999995</v>
      </c>
      <c r="M79" s="393">
        <v>0.19</v>
      </c>
      <c r="N79" s="392">
        <f>+L79*(1+'[1]cuadro resumen'!$B$9)*(1+'[1]cuadro resumen'!$C$9)*(1+'[1]cuadro resumen'!$D$9)*(1+'[1]cuadro resumen'!$E$9)</f>
        <v>1117852740.554004</v>
      </c>
      <c r="O79" s="392">
        <f t="shared" si="17"/>
        <v>201213493.2997207</v>
      </c>
      <c r="P79" s="392">
        <f>+K79*(1+'[1]cuadro resumen'!$B$9)*(1+'[1]cuadro resumen'!$C$9)*(1+'[1]cuadro resumen'!$D$9)*(1+'[1]cuadro resumen'!$E$9)</f>
        <v>300982500</v>
      </c>
      <c r="Q79" s="392">
        <f>+S79*(1+'[1]cuadro resumen'!$B$9)*(1+'[1]cuadro resumen'!$C$9)*(1+'[1]cuadro resumen'!$D$9)*(1+'[1]cuadro resumen'!$E$9)</f>
        <v>80775028.684350014</v>
      </c>
      <c r="R79" s="392">
        <f t="shared" si="12"/>
        <v>89428219.244320318</v>
      </c>
      <c r="S79" s="392">
        <v>67092795</v>
      </c>
      <c r="T79" s="392">
        <f t="shared" si="13"/>
        <v>1790251981.7823951</v>
      </c>
      <c r="U79" s="428" t="s">
        <v>505</v>
      </c>
      <c r="V79" s="395">
        <v>1000</v>
      </c>
      <c r="W79" s="396">
        <f t="shared" si="14"/>
        <v>596685.30374620843</v>
      </c>
      <c r="X79" s="396">
        <f t="shared" si="15"/>
        <v>160133.13905502841</v>
      </c>
      <c r="Y79" s="396">
        <f t="shared" si="16"/>
        <v>3549100.1886557527</v>
      </c>
      <c r="Z79" s="443" t="s">
        <v>576</v>
      </c>
      <c r="AA79" s="398" t="s">
        <v>686</v>
      </c>
      <c r="AB79" s="347">
        <v>3</v>
      </c>
      <c r="AC79" s="384">
        <v>3</v>
      </c>
      <c r="AD79" s="385">
        <v>1</v>
      </c>
      <c r="AE79" s="1"/>
    </row>
    <row r="80" spans="1:32" s="64" customFormat="1" ht="30" hidden="1" customHeight="1" x14ac:dyDescent="0.25">
      <c r="A80" s="387">
        <v>37</v>
      </c>
      <c r="B80" s="388">
        <v>6376</v>
      </c>
      <c r="C80" s="436" t="s">
        <v>840</v>
      </c>
      <c r="D80" s="400" t="s">
        <v>502</v>
      </c>
      <c r="E80" s="400" t="s">
        <v>620</v>
      </c>
      <c r="F80" s="400" t="s">
        <v>621</v>
      </c>
      <c r="G80" s="400" t="s">
        <v>841</v>
      </c>
      <c r="H80" s="400">
        <v>3</v>
      </c>
      <c r="I80" s="400" t="s">
        <v>620</v>
      </c>
      <c r="J80" s="400">
        <v>218</v>
      </c>
      <c r="K80" s="459">
        <v>0</v>
      </c>
      <c r="L80" s="402">
        <v>633959048</v>
      </c>
      <c r="M80" s="403">
        <v>0.19</v>
      </c>
      <c r="N80" s="402">
        <f>+L80*(1+'[1]cuadro resumen'!$B$9)*(1+'[1]cuadro resumen'!$C$9)*(1+'[1]cuadro resumen'!$D$9)*(1+'[1]cuadro resumen'!$E$9)</f>
        <v>763242316.65864003</v>
      </c>
      <c r="O80" s="402">
        <f t="shared" si="17"/>
        <v>137383616.99855521</v>
      </c>
      <c r="P80" s="402">
        <f>+K80*(1+'[1]cuadro resumen'!$B$9)*(1+'[1]cuadro resumen'!$C$9)*(1+'[1]cuadro resumen'!$D$9)*(1+'[1]cuadro resumen'!$E$9)</f>
        <v>0</v>
      </c>
      <c r="Q80" s="402">
        <f>+S80*(1+'[1]cuadro resumen'!$B$9)*(1+'[1]cuadro resumen'!$C$9)*(1+'[1]cuadro resumen'!$D$9)*(1+'[1]cuadro resumen'!$E$9)</f>
        <v>58466205.78435</v>
      </c>
      <c r="R80" s="402">
        <f t="shared" si="12"/>
        <v>61059385.3326912</v>
      </c>
      <c r="S80" s="402">
        <v>48562795</v>
      </c>
      <c r="T80" s="402">
        <f t="shared" si="13"/>
        <v>1020151524.7742364</v>
      </c>
      <c r="U80" s="417" t="s">
        <v>505</v>
      </c>
      <c r="V80" s="395">
        <v>500</v>
      </c>
      <c r="W80" s="382">
        <f t="shared" si="14"/>
        <v>0</v>
      </c>
      <c r="X80" s="382">
        <f t="shared" si="15"/>
        <v>115906.82434135942</v>
      </c>
      <c r="Y80" s="382">
        <f t="shared" si="16"/>
        <v>2022408.0218187866</v>
      </c>
      <c r="Z80" s="438" t="s">
        <v>842</v>
      </c>
      <c r="AA80" s="446" t="s">
        <v>761</v>
      </c>
      <c r="AB80" s="347">
        <v>3</v>
      </c>
      <c r="AC80" s="384">
        <v>3</v>
      </c>
      <c r="AD80" s="385">
        <v>0</v>
      </c>
      <c r="AE80" s="1"/>
    </row>
    <row r="81" spans="1:32" s="5" customFormat="1" ht="60" customHeight="1" x14ac:dyDescent="0.25">
      <c r="A81" s="399">
        <v>77</v>
      </c>
      <c r="B81" s="388" t="s">
        <v>500</v>
      </c>
      <c r="C81" s="427" t="s">
        <v>843</v>
      </c>
      <c r="D81" s="390" t="s">
        <v>527</v>
      </c>
      <c r="E81" s="390" t="s">
        <v>527</v>
      </c>
      <c r="F81" s="390" t="s">
        <v>844</v>
      </c>
      <c r="G81" s="390" t="s">
        <v>844</v>
      </c>
      <c r="H81" s="390">
        <v>17</v>
      </c>
      <c r="I81" s="390" t="s">
        <v>527</v>
      </c>
      <c r="J81" s="390" t="s">
        <v>837</v>
      </c>
      <c r="K81" s="392">
        <v>175737106.81</v>
      </c>
      <c r="L81" s="392">
        <v>72722193.099999994</v>
      </c>
      <c r="M81" s="393">
        <v>0.19</v>
      </c>
      <c r="N81" s="392">
        <f>+L81*(1+'[1]cuadro resumen'!$B$9)*(1+'[1]cuadro resumen'!$C$9)*(1+'[1]cuadro resumen'!$D$9)*(1+'[1]cuadro resumen'!$E$9)</f>
        <v>87552429.938882992</v>
      </c>
      <c r="O81" s="392">
        <f t="shared" si="17"/>
        <v>15759437.388998939</v>
      </c>
      <c r="P81" s="392">
        <f>+K81*(1+'[1]cuadro resumen'!$B$9)*(1+'[1]cuadro resumen'!$C$9)*(1+'[1]cuadro resumen'!$D$9)*(1+'[1]cuadro resumen'!$E$9)</f>
        <v>211575175.00176331</v>
      </c>
      <c r="Q81" s="392">
        <f>+S81*(1+'[1]cuadro resumen'!$B$9)*(1+'[1]cuadro resumen'!$C$9)*(1+'[1]cuadro resumen'!$D$9)*(1+'[1]cuadro resumen'!$E$9)</f>
        <v>11245127.575500002</v>
      </c>
      <c r="R81" s="392">
        <f t="shared" si="12"/>
        <v>7004194.3951106397</v>
      </c>
      <c r="S81" s="392">
        <v>9340350</v>
      </c>
      <c r="T81" s="392">
        <f t="shared" si="13"/>
        <v>333136364.30025595</v>
      </c>
      <c r="U81" s="394" t="s">
        <v>505</v>
      </c>
      <c r="V81" s="395">
        <v>100</v>
      </c>
      <c r="W81" s="396">
        <f t="shared" si="14"/>
        <v>419438.99582561891</v>
      </c>
      <c r="X81" s="396">
        <f t="shared" si="15"/>
        <v>22292.998307383597</v>
      </c>
      <c r="Y81" s="396">
        <f t="shared" si="16"/>
        <v>660429.0040829808</v>
      </c>
      <c r="Z81" s="397" t="s">
        <v>576</v>
      </c>
      <c r="AA81" s="420" t="s">
        <v>845</v>
      </c>
      <c r="AB81" s="347">
        <v>3</v>
      </c>
      <c r="AC81" s="384">
        <v>3</v>
      </c>
      <c r="AD81" s="385">
        <v>1</v>
      </c>
      <c r="AF81" s="386"/>
    </row>
    <row r="82" spans="1:32" s="64" customFormat="1" ht="120" hidden="1" x14ac:dyDescent="0.25">
      <c r="A82" s="399">
        <v>33</v>
      </c>
      <c r="B82" s="388">
        <v>6375</v>
      </c>
      <c r="C82" s="436" t="s">
        <v>846</v>
      </c>
      <c r="D82" s="400" t="s">
        <v>493</v>
      </c>
      <c r="E82" s="400" t="s">
        <v>733</v>
      </c>
      <c r="F82" s="400" t="s">
        <v>847</v>
      </c>
      <c r="G82" s="400" t="s">
        <v>848</v>
      </c>
      <c r="H82" s="400">
        <v>8</v>
      </c>
      <c r="I82" s="400" t="s">
        <v>543</v>
      </c>
      <c r="J82" s="400">
        <v>123</v>
      </c>
      <c r="K82" s="402">
        <v>0</v>
      </c>
      <c r="L82" s="402">
        <v>489123314.39999998</v>
      </c>
      <c r="M82" s="403">
        <v>0.19</v>
      </c>
      <c r="N82" s="402">
        <f>+L82*(1+'[1]cuadro resumen'!$B$9)*(1+'[1]cuadro resumen'!$C$9)*(1+'[1]cuadro resumen'!$D$9)*(1+'[1]cuadro resumen'!$E$9)</f>
        <v>588870231.90559208</v>
      </c>
      <c r="O82" s="402">
        <f t="shared" si="17"/>
        <v>105996641.74300657</v>
      </c>
      <c r="P82" s="402">
        <f>+K82*(1+'[1]cuadro resumen'!$B$9)*(1+'[1]cuadro resumen'!$C$9)*(1+'[1]cuadro resumen'!$D$9)*(1+'[1]cuadro resumen'!$E$9)</f>
        <v>0</v>
      </c>
      <c r="Q82" s="402">
        <f>+S82*(1+'[1]cuadro resumen'!$B$9)*(1+'[1]cuadro resumen'!$C$9)*(1+'[1]cuadro resumen'!$D$9)*(1+'[1]cuadro resumen'!$E$9)</f>
        <v>48214741.834350005</v>
      </c>
      <c r="R82" s="402">
        <f t="shared" si="12"/>
        <v>47109618.552447371</v>
      </c>
      <c r="S82" s="402">
        <v>40047795</v>
      </c>
      <c r="T82" s="402">
        <f t="shared" si="13"/>
        <v>790191234.03539598</v>
      </c>
      <c r="U82" s="417" t="s">
        <v>505</v>
      </c>
      <c r="V82" s="395">
        <v>250</v>
      </c>
      <c r="W82" s="382">
        <f t="shared" si="14"/>
        <v>0</v>
      </c>
      <c r="X82" s="382">
        <f t="shared" si="15"/>
        <v>95583.722895763567</v>
      </c>
      <c r="Y82" s="382">
        <f t="shared" si="16"/>
        <v>1566521.2977432294</v>
      </c>
      <c r="Z82" s="406" t="s">
        <v>498</v>
      </c>
      <c r="AA82" s="420" t="s">
        <v>577</v>
      </c>
      <c r="AB82" s="347">
        <v>3</v>
      </c>
      <c r="AC82" s="384">
        <v>3</v>
      </c>
      <c r="AD82" s="385">
        <v>0</v>
      </c>
    </row>
    <row r="83" spans="1:32" s="64" customFormat="1" hidden="1" x14ac:dyDescent="0.25">
      <c r="A83" s="374">
        <v>84</v>
      </c>
      <c r="B83" s="375" t="s">
        <v>849</v>
      </c>
      <c r="C83" s="421" t="s">
        <v>850</v>
      </c>
      <c r="D83" s="377" t="s">
        <v>538</v>
      </c>
      <c r="E83" s="377" t="s">
        <v>563</v>
      </c>
      <c r="F83" s="377" t="s">
        <v>851</v>
      </c>
      <c r="G83" s="377" t="s">
        <v>851</v>
      </c>
      <c r="H83" s="378">
        <v>1</v>
      </c>
      <c r="I83" s="377" t="s">
        <v>654</v>
      </c>
      <c r="J83" s="377">
        <v>354</v>
      </c>
      <c r="K83" s="346">
        <v>0</v>
      </c>
      <c r="L83" s="346">
        <v>145985400</v>
      </c>
      <c r="M83" s="434">
        <v>0.14000000000000001</v>
      </c>
      <c r="N83" s="346">
        <f>+L83*(1+'[1]cuadro resumen'!$B$9)*(1+'[1]cuadro resumen'!$C$9)*(1+'[1]cuadro resumen'!$D$9)</f>
        <v>167386859.64000002</v>
      </c>
      <c r="O83" s="346">
        <f>+N83*0.18</f>
        <v>30129634.735200003</v>
      </c>
      <c r="P83" s="346">
        <f>K83*(1+'[1]cuadro resumen'!$B$9)*(1+'[1]cuadro resumen'!$C$9)*(1+'[1]cuadro resumen'!$D$9)</f>
        <v>0</v>
      </c>
      <c r="Q83" s="346">
        <f>S83*(1+'[1]cuadro resumen'!$B$9)*(1+'[1]cuadro resumen'!$C$9)*(1+'[1]cuadro resumen'!$D$9)</f>
        <v>0</v>
      </c>
      <c r="R83" s="346">
        <f t="shared" si="12"/>
        <v>13390948.771200001</v>
      </c>
      <c r="S83" s="346">
        <v>0</v>
      </c>
      <c r="T83" s="346">
        <f t="shared" si="13"/>
        <v>210907443.14640003</v>
      </c>
      <c r="U83" s="380" t="s">
        <v>497</v>
      </c>
      <c r="V83" s="377">
        <v>354</v>
      </c>
      <c r="W83" s="382">
        <f t="shared" si="14"/>
        <v>0</v>
      </c>
      <c r="X83" s="382">
        <f t="shared" si="15"/>
        <v>0</v>
      </c>
      <c r="Y83" s="382">
        <f t="shared" si="16"/>
        <v>418115.24515925645</v>
      </c>
      <c r="Z83" s="383" t="s">
        <v>498</v>
      </c>
      <c r="AA83" s="383" t="s">
        <v>499</v>
      </c>
      <c r="AB83" s="347">
        <v>2</v>
      </c>
      <c r="AC83" s="384">
        <v>3</v>
      </c>
      <c r="AD83" s="385">
        <v>0</v>
      </c>
      <c r="AF83" s="386"/>
    </row>
    <row r="84" spans="1:32" s="64" customFormat="1" ht="15" hidden="1" customHeight="1" x14ac:dyDescent="0.25">
      <c r="A84" s="399">
        <v>31</v>
      </c>
      <c r="B84" s="388" t="s">
        <v>852</v>
      </c>
      <c r="C84" s="441" t="s">
        <v>853</v>
      </c>
      <c r="D84" s="400" t="s">
        <v>493</v>
      </c>
      <c r="E84" s="400" t="s">
        <v>575</v>
      </c>
      <c r="F84" s="400" t="s">
        <v>575</v>
      </c>
      <c r="G84" s="400" t="s">
        <v>854</v>
      </c>
      <c r="H84" s="400">
        <v>4</v>
      </c>
      <c r="I84" s="400" t="s">
        <v>575</v>
      </c>
      <c r="J84" s="400">
        <v>119</v>
      </c>
      <c r="K84" s="402">
        <v>0</v>
      </c>
      <c r="L84" s="402">
        <v>489123314.39999998</v>
      </c>
      <c r="M84" s="403">
        <v>0.19</v>
      </c>
      <c r="N84" s="402">
        <f>+L84*(1+'[1]cuadro resumen'!$B$9)*(1+'[1]cuadro resumen'!$C$9)*(1+'[1]cuadro resumen'!$D$9)*(1+'[1]cuadro resumen'!$E$9)</f>
        <v>588870231.90559208</v>
      </c>
      <c r="O84" s="402">
        <f t="shared" ref="O84:O104" si="18">N84*0.18</f>
        <v>105996641.74300657</v>
      </c>
      <c r="P84" s="402">
        <f>+K84*(1+'[1]cuadro resumen'!$B$9)*(1+'[1]cuadro resumen'!$C$9)*(1+'[1]cuadro resumen'!$D$9)*(1+'[1]cuadro resumen'!$E$9)</f>
        <v>0</v>
      </c>
      <c r="Q84" s="402">
        <f>+S84*(1+'[1]cuadro resumen'!$B$9)*(1+'[1]cuadro resumen'!$C$9)*(1+'[1]cuadro resumen'!$D$9)*(1+'[1]cuadro resumen'!$E$9)</f>
        <v>48214741.834350005</v>
      </c>
      <c r="R84" s="402">
        <f t="shared" si="12"/>
        <v>47109618.552447371</v>
      </c>
      <c r="S84" s="402">
        <v>40047795</v>
      </c>
      <c r="T84" s="402">
        <f t="shared" si="13"/>
        <v>790191234.03539598</v>
      </c>
      <c r="U84" s="404" t="s">
        <v>505</v>
      </c>
      <c r="V84" s="395">
        <v>250</v>
      </c>
      <c r="W84" s="382">
        <f t="shared" si="14"/>
        <v>0</v>
      </c>
      <c r="X84" s="382">
        <f t="shared" si="15"/>
        <v>95583.722895763567</v>
      </c>
      <c r="Y84" s="382">
        <f t="shared" si="16"/>
        <v>1566521.2977432294</v>
      </c>
      <c r="Z84" s="406" t="s">
        <v>498</v>
      </c>
      <c r="AA84" s="420" t="s">
        <v>577</v>
      </c>
      <c r="AB84" s="347">
        <v>3</v>
      </c>
      <c r="AC84" s="384">
        <v>3</v>
      </c>
      <c r="AD84" s="385">
        <v>0</v>
      </c>
      <c r="AF84" s="386"/>
    </row>
    <row r="85" spans="1:32" s="64" customFormat="1" ht="15" customHeight="1" x14ac:dyDescent="0.25">
      <c r="A85" s="399">
        <v>78</v>
      </c>
      <c r="B85" s="388">
        <v>6385</v>
      </c>
      <c r="C85" s="427" t="s">
        <v>855</v>
      </c>
      <c r="D85" s="390" t="s">
        <v>524</v>
      </c>
      <c r="E85" s="390" t="s">
        <v>562</v>
      </c>
      <c r="F85" s="390" t="s">
        <v>856</v>
      </c>
      <c r="G85" s="390" t="s">
        <v>857</v>
      </c>
      <c r="H85" s="390">
        <v>5</v>
      </c>
      <c r="I85" s="390" t="s">
        <v>665</v>
      </c>
      <c r="J85" s="390" t="s">
        <v>858</v>
      </c>
      <c r="K85" s="392">
        <v>202947851.62</v>
      </c>
      <c r="L85" s="392">
        <v>687714949.89999998</v>
      </c>
      <c r="M85" s="393">
        <v>0.19</v>
      </c>
      <c r="N85" s="392">
        <f>+L85*(1+'[1]cuadro resumen'!$B$9)*(1+'[1]cuadro resumen'!$C$9)*(1+'[1]cuadro resumen'!$D$9)*(1+'[1]cuadro resumen'!$E$9)</f>
        <v>827960659.63310707</v>
      </c>
      <c r="O85" s="392">
        <f t="shared" si="18"/>
        <v>149032918.73395926</v>
      </c>
      <c r="P85" s="392">
        <f>+K85*(1+'[1]cuadro resumen'!$B$9)*(1+'[1]cuadro resumen'!$C$9)*(1+'[1]cuadro resumen'!$D$9)*(1+'[1]cuadro resumen'!$E$9)</f>
        <v>244335007.00086662</v>
      </c>
      <c r="Q85" s="392">
        <f>+S85*(1+'[1]cuadro resumen'!$B$9)*(1+'[1]cuadro resumen'!$C$9)*(1+'[1]cuadro resumen'!$D$9)*(1+'[1]cuadro resumen'!$E$9)</f>
        <v>44980513.913789995</v>
      </c>
      <c r="R85" s="392">
        <f t="shared" si="12"/>
        <v>66236852.770648569</v>
      </c>
      <c r="S85" s="392">
        <v>37361403</v>
      </c>
      <c r="T85" s="392">
        <f t="shared" si="13"/>
        <v>1332545952.0523715</v>
      </c>
      <c r="U85" s="428" t="s">
        <v>505</v>
      </c>
      <c r="V85" s="395">
        <v>400</v>
      </c>
      <c r="W85" s="396">
        <f t="shared" si="14"/>
        <v>484384.0019540806</v>
      </c>
      <c r="X85" s="396">
        <f t="shared" si="15"/>
        <v>89172.000389758003</v>
      </c>
      <c r="Y85" s="396">
        <f t="shared" si="16"/>
        <v>2641716.9973541647</v>
      </c>
      <c r="Z85" s="397" t="s">
        <v>498</v>
      </c>
      <c r="AA85" s="420" t="s">
        <v>859</v>
      </c>
      <c r="AB85" s="347">
        <v>3</v>
      </c>
      <c r="AC85" s="460">
        <v>3</v>
      </c>
      <c r="AD85" s="385">
        <v>1</v>
      </c>
    </row>
    <row r="86" spans="1:32" s="64" customFormat="1" ht="15" customHeight="1" x14ac:dyDescent="0.25">
      <c r="A86" s="399">
        <v>74</v>
      </c>
      <c r="B86" s="388" t="s">
        <v>500</v>
      </c>
      <c r="C86" s="427" t="s">
        <v>860</v>
      </c>
      <c r="D86" s="390" t="s">
        <v>524</v>
      </c>
      <c r="E86" s="390" t="s">
        <v>796</v>
      </c>
      <c r="F86" s="390" t="s">
        <v>796</v>
      </c>
      <c r="G86" s="390" t="s">
        <v>836</v>
      </c>
      <c r="H86" s="390" t="s">
        <v>837</v>
      </c>
      <c r="I86" s="390" t="s">
        <v>524</v>
      </c>
      <c r="J86" s="390" t="s">
        <v>837</v>
      </c>
      <c r="K86" s="392">
        <v>230158598.09</v>
      </c>
      <c r="L86" s="392">
        <v>1302707377</v>
      </c>
      <c r="M86" s="393">
        <v>0.19</v>
      </c>
      <c r="N86" s="392">
        <f>+L86*(1+'[1]cuadro resumen'!$B$9)*(1+'[1]cuadro resumen'!$C$9)*(1+'[1]cuadro resumen'!$D$9)*(1+'[1]cuadro resumen'!$E$9)</f>
        <v>1568368492.3916106</v>
      </c>
      <c r="O86" s="392">
        <f t="shared" si="18"/>
        <v>282306328.63048989</v>
      </c>
      <c r="P86" s="392">
        <f>+K86*(1+'[1]cuadro resumen'!$B$9)*(1+'[1]cuadro resumen'!$C$9)*(1+'[1]cuadro resumen'!$D$9)*(1+'[1]cuadro resumen'!$E$9)</f>
        <v>277094840.99849373</v>
      </c>
      <c r="Q86" s="392">
        <f>+S86*(1+'[1]cuadro resumen'!$B$9)*(1+'[1]cuadro resumen'!$C$9)*(1+'[1]cuadro resumen'!$D$9)*(1+'[1]cuadro resumen'!$E$9)</f>
        <v>78715394.601480007</v>
      </c>
      <c r="R86" s="392">
        <f t="shared" si="12"/>
        <v>125469479.39132886</v>
      </c>
      <c r="S86" s="392">
        <v>65382036</v>
      </c>
      <c r="T86" s="392">
        <f t="shared" si="13"/>
        <v>2331954536.0134029</v>
      </c>
      <c r="U86" s="428" t="s">
        <v>505</v>
      </c>
      <c r="V86" s="390">
        <v>700</v>
      </c>
      <c r="W86" s="396">
        <f t="shared" si="14"/>
        <v>549329.01204453269</v>
      </c>
      <c r="X86" s="396">
        <f t="shared" si="15"/>
        <v>156050.00004082217</v>
      </c>
      <c r="Y86" s="396">
        <f t="shared" si="16"/>
        <v>4623003.0006512208</v>
      </c>
      <c r="Z86" s="397" t="s">
        <v>576</v>
      </c>
      <c r="AA86" s="398" t="s">
        <v>686</v>
      </c>
      <c r="AB86" s="347">
        <v>3</v>
      </c>
      <c r="AC86" s="384">
        <v>3</v>
      </c>
      <c r="AD86" s="385">
        <v>1</v>
      </c>
    </row>
    <row r="87" spans="1:32" s="64" customFormat="1" ht="15" hidden="1" customHeight="1" x14ac:dyDescent="0.25">
      <c r="A87" s="399">
        <v>52</v>
      </c>
      <c r="B87" s="388" t="s">
        <v>861</v>
      </c>
      <c r="C87" s="447" t="s">
        <v>862</v>
      </c>
      <c r="D87" s="400" t="s">
        <v>527</v>
      </c>
      <c r="E87" s="400" t="s">
        <v>829</v>
      </c>
      <c r="F87" s="400" t="s">
        <v>830</v>
      </c>
      <c r="G87" s="400" t="s">
        <v>830</v>
      </c>
      <c r="H87" s="400">
        <v>5</v>
      </c>
      <c r="I87" s="400" t="s">
        <v>631</v>
      </c>
      <c r="J87" s="400">
        <v>95</v>
      </c>
      <c r="K87" s="402">
        <v>150000000</v>
      </c>
      <c r="L87" s="402">
        <v>312833707.19999999</v>
      </c>
      <c r="M87" s="403">
        <v>0.19</v>
      </c>
      <c r="N87" s="402">
        <f>+L87*(1+'[1]cuadro resumen'!$B$9)*(1+'[1]cuadro resumen'!$C$9)*(1+'[1]cuadro resumen'!$D$9)*(1+'[1]cuadro resumen'!$E$9)</f>
        <v>376629885.10929608</v>
      </c>
      <c r="O87" s="402">
        <f t="shared" si="18"/>
        <v>67793379.3196733</v>
      </c>
      <c r="P87" s="402">
        <f>+K87*(1+'[1]cuadro resumen'!$B$9)*(1+'[1]cuadro resumen'!$C$9)*(1+'[1]cuadro resumen'!$D$9)*(1+'[1]cuadro resumen'!$E$9)</f>
        <v>180589500</v>
      </c>
      <c r="Q87" s="402">
        <f>+S87*(1+'[1]cuadro resumen'!$B$9)*(1+'[1]cuadro resumen'!$C$9)*(1+'[1]cuadro resumen'!$D$9)*(1+'[1]cuadro resumen'!$E$9)</f>
        <v>37371546.855197102</v>
      </c>
      <c r="R87" s="402">
        <f t="shared" si="12"/>
        <v>30130390.808743685</v>
      </c>
      <c r="S87" s="402">
        <v>31041295.469999999</v>
      </c>
      <c r="T87" s="402">
        <f t="shared" si="13"/>
        <v>692514702.09291017</v>
      </c>
      <c r="U87" s="404" t="s">
        <v>505</v>
      </c>
      <c r="V87" s="395">
        <v>210</v>
      </c>
      <c r="W87" s="382">
        <f t="shared" si="14"/>
        <v>358011.18224772508</v>
      </c>
      <c r="X87" s="382">
        <f t="shared" si="15"/>
        <v>74087.539264771025</v>
      </c>
      <c r="Y87" s="382">
        <f t="shared" si="16"/>
        <v>1372881.630550026</v>
      </c>
      <c r="Z87" s="461" t="s">
        <v>863</v>
      </c>
      <c r="AA87" s="407" t="s">
        <v>634</v>
      </c>
      <c r="AB87" s="347">
        <v>3</v>
      </c>
      <c r="AC87" s="384">
        <v>4</v>
      </c>
      <c r="AD87" s="419">
        <v>1</v>
      </c>
      <c r="AF87" s="386"/>
    </row>
    <row r="88" spans="1:32" s="64" customFormat="1" ht="15" hidden="1" customHeight="1" x14ac:dyDescent="0.25">
      <c r="A88" s="399">
        <v>40</v>
      </c>
      <c r="B88" s="388" t="s">
        <v>864</v>
      </c>
      <c r="C88" s="447" t="s">
        <v>865</v>
      </c>
      <c r="D88" s="400" t="s">
        <v>502</v>
      </c>
      <c r="E88" s="400" t="s">
        <v>620</v>
      </c>
      <c r="F88" s="400" t="s">
        <v>866</v>
      </c>
      <c r="G88" s="400" t="s">
        <v>867</v>
      </c>
      <c r="H88" s="400">
        <v>2</v>
      </c>
      <c r="I88" s="400" t="s">
        <v>620</v>
      </c>
      <c r="J88" s="400">
        <v>70</v>
      </c>
      <c r="K88" s="402">
        <v>150000000</v>
      </c>
      <c r="L88" s="402">
        <v>312833707.19999999</v>
      </c>
      <c r="M88" s="403">
        <v>0.19</v>
      </c>
      <c r="N88" s="402">
        <f>+L88*(1+'[1]cuadro resumen'!$B$9)*(1+'[1]cuadro resumen'!$C$9)*(1+'[1]cuadro resumen'!$D$9)*(1+'[1]cuadro resumen'!$E$9)</f>
        <v>376629885.10929608</v>
      </c>
      <c r="O88" s="402">
        <f t="shared" si="18"/>
        <v>67793379.3196733</v>
      </c>
      <c r="P88" s="402">
        <f>+K88*(1+'[1]cuadro resumen'!$B$9)*(1+'[1]cuadro resumen'!$C$9)*(1+'[1]cuadro resumen'!$D$9)*(1+'[1]cuadro resumen'!$E$9)</f>
        <v>180589500</v>
      </c>
      <c r="Q88" s="402">
        <f>+S88*(1+'[1]cuadro resumen'!$B$9)*(1+'[1]cuadro resumen'!$C$9)*(1+'[1]cuadro resumen'!$D$9)*(1+'[1]cuadro resumen'!$E$9)</f>
        <v>37371546.855197102</v>
      </c>
      <c r="R88" s="402">
        <f t="shared" si="12"/>
        <v>30130390.808743685</v>
      </c>
      <c r="S88" s="402">
        <v>31041295.469999999</v>
      </c>
      <c r="T88" s="402">
        <f t="shared" si="13"/>
        <v>692514702.09291017</v>
      </c>
      <c r="U88" s="404" t="s">
        <v>505</v>
      </c>
      <c r="V88" s="395">
        <v>210</v>
      </c>
      <c r="W88" s="382">
        <f t="shared" si="14"/>
        <v>358011.18224772508</v>
      </c>
      <c r="X88" s="382">
        <f t="shared" si="15"/>
        <v>74087.539264771025</v>
      </c>
      <c r="Y88" s="382">
        <f t="shared" si="16"/>
        <v>1372881.630550026</v>
      </c>
      <c r="Z88" s="462" t="s">
        <v>576</v>
      </c>
      <c r="AA88" s="445" t="s">
        <v>868</v>
      </c>
      <c r="AB88" s="347">
        <v>3</v>
      </c>
      <c r="AC88" s="384">
        <v>4</v>
      </c>
      <c r="AD88" s="419">
        <v>1</v>
      </c>
      <c r="AF88" s="386"/>
    </row>
    <row r="89" spans="1:32" s="64" customFormat="1" ht="15" hidden="1" customHeight="1" x14ac:dyDescent="0.25">
      <c r="A89" s="399">
        <v>47</v>
      </c>
      <c r="B89" s="388" t="s">
        <v>869</v>
      </c>
      <c r="C89" s="447" t="s">
        <v>870</v>
      </c>
      <c r="D89" s="400" t="s">
        <v>520</v>
      </c>
      <c r="E89" s="400" t="s">
        <v>796</v>
      </c>
      <c r="F89" s="400" t="s">
        <v>871</v>
      </c>
      <c r="G89" s="400" t="s">
        <v>603</v>
      </c>
      <c r="H89" s="400">
        <v>4</v>
      </c>
      <c r="I89" s="400" t="s">
        <v>520</v>
      </c>
      <c r="J89" s="400">
        <v>80</v>
      </c>
      <c r="K89" s="402">
        <v>150000000</v>
      </c>
      <c r="L89" s="402">
        <v>293238467.19999999</v>
      </c>
      <c r="M89" s="403">
        <v>0.19</v>
      </c>
      <c r="N89" s="402">
        <f>+L89*(1+'[1]cuadro resumen'!$B$9)*(1+'[1]cuadro resumen'!$C$9)*(1+'[1]cuadro resumen'!$D$9)*(1+'[1]cuadro resumen'!$E$9)</f>
        <v>353038587.81609601</v>
      </c>
      <c r="O89" s="402">
        <f t="shared" si="18"/>
        <v>63546945.806897283</v>
      </c>
      <c r="P89" s="402">
        <f>+K89*(1+'[1]cuadro resumen'!$B$9)*(1+'[1]cuadro resumen'!$C$9)*(1+'[1]cuadro resumen'!$D$9)*(1+'[1]cuadro resumen'!$E$9)</f>
        <v>180589500</v>
      </c>
      <c r="Q89" s="402">
        <f>+S89*(1+'[1]cuadro resumen'!$B$9)*(1+'[1]cuadro resumen'!$C$9)*(1+'[1]cuadro resumen'!$D$9)*(1+'[1]cuadro resumen'!$E$9)</f>
        <v>37371546.855197102</v>
      </c>
      <c r="R89" s="402">
        <f t="shared" si="12"/>
        <v>28243087.02528768</v>
      </c>
      <c r="S89" s="402">
        <v>31041295.469999999</v>
      </c>
      <c r="T89" s="402">
        <f t="shared" si="13"/>
        <v>662789667.50347793</v>
      </c>
      <c r="U89" s="404" t="s">
        <v>505</v>
      </c>
      <c r="V89" s="395">
        <v>175</v>
      </c>
      <c r="W89" s="382">
        <f t="shared" si="14"/>
        <v>358011.18224772508</v>
      </c>
      <c r="X89" s="382">
        <f t="shared" si="15"/>
        <v>74087.539264771025</v>
      </c>
      <c r="Y89" s="382">
        <f t="shared" si="16"/>
        <v>1313952.984223871</v>
      </c>
      <c r="Z89" s="461" t="s">
        <v>576</v>
      </c>
      <c r="AA89" s="407" t="s">
        <v>872</v>
      </c>
      <c r="AB89" s="347">
        <v>3</v>
      </c>
      <c r="AC89" s="384">
        <v>4</v>
      </c>
      <c r="AD89" s="419">
        <v>1</v>
      </c>
      <c r="AF89" s="386"/>
    </row>
    <row r="90" spans="1:32" s="64" customFormat="1" ht="120" hidden="1" x14ac:dyDescent="0.25">
      <c r="A90" s="399">
        <v>76</v>
      </c>
      <c r="B90" s="388">
        <v>5999</v>
      </c>
      <c r="C90" s="427" t="s">
        <v>873</v>
      </c>
      <c r="D90" s="390" t="s">
        <v>512</v>
      </c>
      <c r="E90" s="390" t="s">
        <v>874</v>
      </c>
      <c r="F90" s="390" t="s">
        <v>596</v>
      </c>
      <c r="G90" s="390" t="s">
        <v>875</v>
      </c>
      <c r="H90" s="390">
        <v>3</v>
      </c>
      <c r="I90" s="390" t="s">
        <v>535</v>
      </c>
      <c r="J90" s="390" t="s">
        <v>876</v>
      </c>
      <c r="K90" s="392">
        <v>184807217.19999999</v>
      </c>
      <c r="L90" s="392">
        <v>277720109</v>
      </c>
      <c r="M90" s="393">
        <v>0.19</v>
      </c>
      <c r="N90" s="392">
        <f>+L90*(1+'[1]cuadro resumen'!$B$9)*(1+'[1]cuadro resumen'!$C$9)*(1+'[1]cuadro resumen'!$D$9)*(1+'[1]cuadro resumen'!$E$9)</f>
        <v>334355570.82837003</v>
      </c>
      <c r="O90" s="392">
        <f t="shared" si="18"/>
        <v>60184002.749106601</v>
      </c>
      <c r="P90" s="392">
        <f>+K90*(1+'[1]cuadro resumen'!$B$9)*(1+'[1]cuadro resumen'!$C$9)*(1+'[1]cuadro resumen'!$D$9)*(1+'[1]cuadro resumen'!$E$9)</f>
        <v>222494953.00359604</v>
      </c>
      <c r="Q90" s="392">
        <f>+S90*(1+'[1]cuadro resumen'!$B$9)*(1+'[1]cuadro resumen'!$C$9)*(1+'[1]cuadro resumen'!$D$9)*(1+'[1]cuadro resumen'!$E$9)</f>
        <v>22490255.151000004</v>
      </c>
      <c r="R90" s="392">
        <f t="shared" si="12"/>
        <v>26748445.666269604</v>
      </c>
      <c r="S90" s="392">
        <v>18680700</v>
      </c>
      <c r="T90" s="392">
        <f t="shared" si="13"/>
        <v>666273227.39834237</v>
      </c>
      <c r="U90" s="394" t="s">
        <v>505</v>
      </c>
      <c r="V90" s="395">
        <v>200</v>
      </c>
      <c r="W90" s="396">
        <f t="shared" si="14"/>
        <v>441087.00211789412</v>
      </c>
      <c r="X90" s="396">
        <f t="shared" si="15"/>
        <v>44585.996614767195</v>
      </c>
      <c r="Y90" s="396">
        <f t="shared" si="16"/>
        <v>1320858.9970119409</v>
      </c>
      <c r="Z90" s="463" t="s">
        <v>498</v>
      </c>
      <c r="AA90" s="420" t="s">
        <v>577</v>
      </c>
      <c r="AB90" s="347">
        <v>3</v>
      </c>
      <c r="AC90" s="384">
        <v>4</v>
      </c>
      <c r="AD90" s="419">
        <v>1</v>
      </c>
      <c r="AF90" s="386"/>
    </row>
    <row r="91" spans="1:32" s="64" customFormat="1" ht="90" hidden="1" x14ac:dyDescent="0.25">
      <c r="A91" s="399">
        <v>48</v>
      </c>
      <c r="B91" s="388" t="s">
        <v>877</v>
      </c>
      <c r="C91" s="447" t="s">
        <v>878</v>
      </c>
      <c r="D91" s="400" t="s">
        <v>520</v>
      </c>
      <c r="E91" s="400" t="s">
        <v>879</v>
      </c>
      <c r="F91" s="400" t="s">
        <v>880</v>
      </c>
      <c r="G91" s="400" t="s">
        <v>881</v>
      </c>
      <c r="H91" s="400">
        <v>7</v>
      </c>
      <c r="I91" s="400" t="s">
        <v>520</v>
      </c>
      <c r="J91" s="400">
        <v>57</v>
      </c>
      <c r="K91" s="402">
        <v>150000000</v>
      </c>
      <c r="L91" s="402">
        <v>272311821.60000002</v>
      </c>
      <c r="M91" s="403">
        <v>0.19</v>
      </c>
      <c r="N91" s="402">
        <f>+L91*(1+'[1]cuadro resumen'!$B$9)*(1+'[1]cuadro resumen'!$C$9)*(1+'[1]cuadro resumen'!$D$9)*(1+'[1]cuadro resumen'!$E$9)</f>
        <v>327844371.37888807</v>
      </c>
      <c r="O91" s="402">
        <f t="shared" si="18"/>
        <v>59011986.848199852</v>
      </c>
      <c r="P91" s="402">
        <f>+K91*(1+'[1]cuadro resumen'!$B$9)*(1+'[1]cuadro resumen'!$C$9)*(1+'[1]cuadro resumen'!$D$9)*(1+'[1]cuadro resumen'!$E$9)</f>
        <v>180589500</v>
      </c>
      <c r="Q91" s="402">
        <f>+S91*(1+'[1]cuadro resumen'!$B$9)*(1+'[1]cuadro resumen'!$C$9)*(1+'[1]cuadro resumen'!$D$9)*(1+'[1]cuadro resumen'!$E$9)</f>
        <v>37371546.855197102</v>
      </c>
      <c r="R91" s="402">
        <f t="shared" si="12"/>
        <v>26227549.710311048</v>
      </c>
      <c r="S91" s="402">
        <v>31041295.469999999</v>
      </c>
      <c r="T91" s="402">
        <f t="shared" si="13"/>
        <v>631044954.7925961</v>
      </c>
      <c r="U91" s="404" t="s">
        <v>505</v>
      </c>
      <c r="V91" s="395">
        <v>75</v>
      </c>
      <c r="W91" s="382">
        <f t="shared" si="14"/>
        <v>358011.18224772508</v>
      </c>
      <c r="X91" s="382">
        <f t="shared" si="15"/>
        <v>74087.539264771025</v>
      </c>
      <c r="Y91" s="382">
        <f t="shared" si="16"/>
        <v>1251020.4099172961</v>
      </c>
      <c r="Z91" s="461" t="s">
        <v>498</v>
      </c>
      <c r="AA91" s="407" t="s">
        <v>882</v>
      </c>
      <c r="AB91" s="347">
        <v>3</v>
      </c>
      <c r="AC91" s="384">
        <v>4</v>
      </c>
      <c r="AD91" s="419">
        <v>1</v>
      </c>
      <c r="AF91" s="386"/>
    </row>
    <row r="92" spans="1:32" s="64" customFormat="1" ht="75" hidden="1" x14ac:dyDescent="0.25">
      <c r="A92" s="399">
        <v>49</v>
      </c>
      <c r="B92" s="388" t="s">
        <v>883</v>
      </c>
      <c r="C92" s="447" t="s">
        <v>884</v>
      </c>
      <c r="D92" s="400" t="s">
        <v>520</v>
      </c>
      <c r="E92" s="400" t="s">
        <v>879</v>
      </c>
      <c r="F92" s="400" t="s">
        <v>885</v>
      </c>
      <c r="G92" s="400" t="s">
        <v>621</v>
      </c>
      <c r="H92" s="400">
        <v>8</v>
      </c>
      <c r="I92" s="400" t="s">
        <v>520</v>
      </c>
      <c r="J92" s="400">
        <v>182</v>
      </c>
      <c r="K92" s="402">
        <v>150000000</v>
      </c>
      <c r="L92" s="402">
        <v>375362859.19999999</v>
      </c>
      <c r="M92" s="403">
        <v>0.19</v>
      </c>
      <c r="N92" s="402">
        <f>+L92*(1+'[1]cuadro resumen'!$B$9)*(1+'[1]cuadro resumen'!$C$9)*(1+'[1]cuadro resumen'!$D$9)*(1+'[1]cuadro resumen'!$E$9)</f>
        <v>451910607.0766561</v>
      </c>
      <c r="O92" s="402">
        <f t="shared" si="18"/>
        <v>81343909.273798093</v>
      </c>
      <c r="P92" s="402">
        <f>+K92*(1+'[1]cuadro resumen'!$B$9)*(1+'[1]cuadro resumen'!$C$9)*(1+'[1]cuadro resumen'!$D$9)*(1+'[1]cuadro resumen'!$E$9)</f>
        <v>180589500</v>
      </c>
      <c r="Q92" s="402">
        <f>+S92*(1+'[1]cuadro resumen'!$B$9)*(1+'[1]cuadro resumen'!$C$9)*(1+'[1]cuadro resumen'!$D$9)*(1+'[1]cuadro resumen'!$E$9)</f>
        <v>37371546.855197102</v>
      </c>
      <c r="R92" s="402">
        <f t="shared" si="12"/>
        <v>36152848.566132486</v>
      </c>
      <c r="S92" s="402">
        <v>31041295.469999999</v>
      </c>
      <c r="T92" s="402">
        <f t="shared" si="13"/>
        <v>787368411.77178383</v>
      </c>
      <c r="U92" s="404" t="s">
        <v>505</v>
      </c>
      <c r="V92" s="395">
        <v>280</v>
      </c>
      <c r="W92" s="382">
        <f t="shared" si="14"/>
        <v>358011.18224772508</v>
      </c>
      <c r="X92" s="382">
        <f t="shared" si="15"/>
        <v>74087.539264771025</v>
      </c>
      <c r="Y92" s="382">
        <f t="shared" si="16"/>
        <v>1560925.1698627546</v>
      </c>
      <c r="Z92" s="432" t="s">
        <v>886</v>
      </c>
      <c r="AA92" s="464" t="s">
        <v>541</v>
      </c>
      <c r="AB92" s="347">
        <v>3</v>
      </c>
      <c r="AC92" s="384">
        <v>4</v>
      </c>
      <c r="AD92" s="419">
        <v>1</v>
      </c>
      <c r="AF92" s="386"/>
    </row>
    <row r="93" spans="1:32" s="64" customFormat="1" ht="45" hidden="1" customHeight="1" x14ac:dyDescent="0.25">
      <c r="A93" s="399">
        <v>64</v>
      </c>
      <c r="B93" s="388" t="s">
        <v>887</v>
      </c>
      <c r="C93" s="447" t="s">
        <v>888</v>
      </c>
      <c r="D93" s="400" t="s">
        <v>508</v>
      </c>
      <c r="E93" s="400" t="s">
        <v>889</v>
      </c>
      <c r="F93" s="400" t="s">
        <v>890</v>
      </c>
      <c r="G93" s="400" t="s">
        <v>891</v>
      </c>
      <c r="H93" s="400">
        <v>6</v>
      </c>
      <c r="I93" s="400" t="s">
        <v>636</v>
      </c>
      <c r="J93" s="400">
        <v>35</v>
      </c>
      <c r="K93" s="402">
        <v>150000000</v>
      </c>
      <c r="L93" s="402">
        <v>272311821.60000002</v>
      </c>
      <c r="M93" s="403">
        <v>0.19</v>
      </c>
      <c r="N93" s="402">
        <f>+L93*(1+'[1]cuadro resumen'!$B$9)*(1+'[1]cuadro resumen'!$C$9)*(1+'[1]cuadro resumen'!$D$9)*(1+'[1]cuadro resumen'!$E$9)</f>
        <v>327844371.37888807</v>
      </c>
      <c r="O93" s="402">
        <f t="shared" si="18"/>
        <v>59011986.848199852</v>
      </c>
      <c r="P93" s="402">
        <f>+K93*(1+'[1]cuadro resumen'!$B$9)*(1+'[1]cuadro resumen'!$C$9)*(1+'[1]cuadro resumen'!$D$9)*(1+'[1]cuadro resumen'!$E$9)</f>
        <v>180589500</v>
      </c>
      <c r="Q93" s="402">
        <f>+S93*(1+'[1]cuadro resumen'!$B$9)*(1+'[1]cuadro resumen'!$C$9)*(1+'[1]cuadro resumen'!$D$9)*(1+'[1]cuadro resumen'!$E$9)</f>
        <v>37371546.855197102</v>
      </c>
      <c r="R93" s="402">
        <f t="shared" si="12"/>
        <v>26227549.710311048</v>
      </c>
      <c r="S93" s="402">
        <v>31041295.469999999</v>
      </c>
      <c r="T93" s="402">
        <f t="shared" si="13"/>
        <v>631044954.7925961</v>
      </c>
      <c r="U93" s="404" t="s">
        <v>505</v>
      </c>
      <c r="V93" s="395">
        <v>75</v>
      </c>
      <c r="W93" s="382">
        <f t="shared" si="14"/>
        <v>358011.18224772508</v>
      </c>
      <c r="X93" s="382">
        <f t="shared" si="15"/>
        <v>74087.539264771025</v>
      </c>
      <c r="Y93" s="382">
        <f t="shared" si="16"/>
        <v>1251020.4099172961</v>
      </c>
      <c r="Z93" s="406" t="s">
        <v>576</v>
      </c>
      <c r="AA93" s="454" t="s">
        <v>892</v>
      </c>
      <c r="AB93" s="347">
        <v>3</v>
      </c>
      <c r="AC93" s="384">
        <v>4</v>
      </c>
      <c r="AD93" s="419">
        <v>1</v>
      </c>
      <c r="AF93" s="386"/>
    </row>
    <row r="94" spans="1:32" s="5" customFormat="1" ht="60" hidden="1" x14ac:dyDescent="0.25">
      <c r="A94" s="399">
        <v>14</v>
      </c>
      <c r="B94" s="388" t="s">
        <v>893</v>
      </c>
      <c r="C94" s="447" t="s">
        <v>894</v>
      </c>
      <c r="D94" s="400" t="s">
        <v>515</v>
      </c>
      <c r="E94" s="400" t="s">
        <v>570</v>
      </c>
      <c r="F94" s="400" t="s">
        <v>895</v>
      </c>
      <c r="G94" s="400" t="s">
        <v>896</v>
      </c>
      <c r="H94" s="400">
        <v>7</v>
      </c>
      <c r="I94" s="400" t="s">
        <v>570</v>
      </c>
      <c r="J94" s="400">
        <v>66</v>
      </c>
      <c r="K94" s="402">
        <v>150000000</v>
      </c>
      <c r="L94" s="402">
        <v>293238467.19999999</v>
      </c>
      <c r="M94" s="403">
        <v>0.19</v>
      </c>
      <c r="N94" s="402">
        <f>+L94*(1+'[1]cuadro resumen'!$B$9)*(1+'[1]cuadro resumen'!$C$9)*(1+'[1]cuadro resumen'!$D$9)*(1+'[1]cuadro resumen'!$E$9)</f>
        <v>353038587.81609601</v>
      </c>
      <c r="O94" s="402">
        <f t="shared" si="18"/>
        <v>63546945.806897283</v>
      </c>
      <c r="P94" s="402">
        <f>+K94*(1+'[1]cuadro resumen'!$B$9)*(1+'[1]cuadro resumen'!$C$9)*(1+'[1]cuadro resumen'!$D$9)*(1+'[1]cuadro resumen'!$E$9)</f>
        <v>180589500</v>
      </c>
      <c r="Q94" s="402">
        <f>+S94*(1+'[1]cuadro resumen'!$B$9)*(1+'[1]cuadro resumen'!$C$9)*(1+'[1]cuadro resumen'!$D$9)*(1+'[1]cuadro resumen'!$E$9)</f>
        <v>37371546.855197102</v>
      </c>
      <c r="R94" s="402">
        <f t="shared" si="12"/>
        <v>28243087.02528768</v>
      </c>
      <c r="S94" s="402">
        <v>31041295.469999999</v>
      </c>
      <c r="T94" s="402">
        <f t="shared" si="13"/>
        <v>662789667.50347793</v>
      </c>
      <c r="U94" s="417" t="s">
        <v>505</v>
      </c>
      <c r="V94" s="390">
        <v>175</v>
      </c>
      <c r="W94" s="382">
        <f t="shared" si="14"/>
        <v>358011.18224772508</v>
      </c>
      <c r="X94" s="382">
        <f t="shared" si="15"/>
        <v>74087.539264771025</v>
      </c>
      <c r="Y94" s="382">
        <f t="shared" si="16"/>
        <v>1313952.984223871</v>
      </c>
      <c r="Z94" s="461" t="s">
        <v>498</v>
      </c>
      <c r="AA94" s="420" t="s">
        <v>897</v>
      </c>
      <c r="AB94" s="347">
        <v>3</v>
      </c>
      <c r="AC94" s="384">
        <v>4</v>
      </c>
      <c r="AD94" s="419">
        <v>1</v>
      </c>
    </row>
    <row r="95" spans="1:32" s="64" customFormat="1" ht="15" hidden="1" customHeight="1" x14ac:dyDescent="0.25">
      <c r="A95" s="399">
        <v>53</v>
      </c>
      <c r="B95" s="388" t="s">
        <v>898</v>
      </c>
      <c r="C95" s="441" t="s">
        <v>899</v>
      </c>
      <c r="D95" s="400" t="s">
        <v>508</v>
      </c>
      <c r="E95" s="400" t="s">
        <v>900</v>
      </c>
      <c r="F95" s="400" t="s">
        <v>901</v>
      </c>
      <c r="G95" s="400" t="s">
        <v>902</v>
      </c>
      <c r="H95" s="401">
        <v>6</v>
      </c>
      <c r="I95" s="400" t="s">
        <v>689</v>
      </c>
      <c r="J95" s="400">
        <v>108</v>
      </c>
      <c r="K95" s="402">
        <v>150000000</v>
      </c>
      <c r="L95" s="402">
        <v>293238467.19999999</v>
      </c>
      <c r="M95" s="403">
        <v>0.19</v>
      </c>
      <c r="N95" s="402">
        <f>+L95*(1+'[1]cuadro resumen'!$B$9)*(1+'[1]cuadro resumen'!$C$9)*(1+'[1]cuadro resumen'!$D$9)*(1+'[1]cuadro resumen'!$E$9)</f>
        <v>353038587.81609601</v>
      </c>
      <c r="O95" s="402">
        <f t="shared" si="18"/>
        <v>63546945.806897283</v>
      </c>
      <c r="P95" s="402">
        <f>+K95*(1+'[1]cuadro resumen'!$B$9)*(1+'[1]cuadro resumen'!$C$9)*(1+'[1]cuadro resumen'!$D$9)*(1+'[1]cuadro resumen'!$E$9)</f>
        <v>180589500</v>
      </c>
      <c r="Q95" s="402">
        <f>+S95*(1+'[1]cuadro resumen'!$B$9)*(1+'[1]cuadro resumen'!$C$9)*(1+'[1]cuadro resumen'!$D$9)*(1+'[1]cuadro resumen'!$E$9)</f>
        <v>48214741.834350005</v>
      </c>
      <c r="R95" s="402">
        <f t="shared" si="12"/>
        <v>28243087.02528768</v>
      </c>
      <c r="S95" s="402">
        <v>40047795</v>
      </c>
      <c r="T95" s="402">
        <f t="shared" si="13"/>
        <v>673632862.48263085</v>
      </c>
      <c r="U95" s="404" t="s">
        <v>505</v>
      </c>
      <c r="V95" s="395">
        <v>175</v>
      </c>
      <c r="W95" s="382">
        <f t="shared" si="14"/>
        <v>358011.18224772508</v>
      </c>
      <c r="X95" s="382">
        <f t="shared" si="15"/>
        <v>95583.722895763567</v>
      </c>
      <c r="Y95" s="382">
        <f t="shared" si="16"/>
        <v>1335449.1678548635</v>
      </c>
      <c r="Z95" s="465" t="s">
        <v>576</v>
      </c>
      <c r="AA95" s="407" t="s">
        <v>513</v>
      </c>
      <c r="AB95" s="347">
        <v>3</v>
      </c>
      <c r="AC95" s="384">
        <v>4</v>
      </c>
      <c r="AD95" s="385">
        <v>1</v>
      </c>
      <c r="AF95" s="386"/>
    </row>
    <row r="96" spans="1:32" s="64" customFormat="1" ht="120" hidden="1" x14ac:dyDescent="0.25">
      <c r="A96" s="399">
        <v>41</v>
      </c>
      <c r="B96" s="388" t="s">
        <v>903</v>
      </c>
      <c r="C96" s="447" t="s">
        <v>904</v>
      </c>
      <c r="D96" s="400" t="s">
        <v>502</v>
      </c>
      <c r="E96" s="400" t="s">
        <v>620</v>
      </c>
      <c r="F96" s="400" t="s">
        <v>866</v>
      </c>
      <c r="G96" s="400" t="s">
        <v>905</v>
      </c>
      <c r="H96" s="400">
        <v>2</v>
      </c>
      <c r="I96" s="400" t="s">
        <v>620</v>
      </c>
      <c r="J96" s="400">
        <v>42</v>
      </c>
      <c r="K96" s="402">
        <v>150000000</v>
      </c>
      <c r="L96" s="402">
        <v>272311821.60000002</v>
      </c>
      <c r="M96" s="403">
        <v>0.19</v>
      </c>
      <c r="N96" s="402">
        <f>+L96*(1+'[1]cuadro resumen'!$B$9)*(1+'[1]cuadro resumen'!$C$9)*(1+'[1]cuadro resumen'!$D$9)*(1+'[1]cuadro resumen'!$E$9)</f>
        <v>327844371.37888807</v>
      </c>
      <c r="O96" s="402">
        <f t="shared" si="18"/>
        <v>59011986.848199852</v>
      </c>
      <c r="P96" s="402">
        <f>+K96*(1+'[1]cuadro resumen'!$B$9)*(1+'[1]cuadro resumen'!$C$9)*(1+'[1]cuadro resumen'!$D$9)*(1+'[1]cuadro resumen'!$E$9)</f>
        <v>180589500</v>
      </c>
      <c r="Q96" s="402">
        <f>+S96*(1+'[1]cuadro resumen'!$B$9)*(1+'[1]cuadro resumen'!$C$9)*(1+'[1]cuadro resumen'!$D$9)*(1+'[1]cuadro resumen'!$E$9)</f>
        <v>37371546.855197102</v>
      </c>
      <c r="R96" s="402">
        <f t="shared" si="12"/>
        <v>26227549.710311048</v>
      </c>
      <c r="S96" s="402">
        <v>31041295.469999999</v>
      </c>
      <c r="T96" s="402">
        <f t="shared" si="13"/>
        <v>631044954.7925961</v>
      </c>
      <c r="U96" s="404" t="s">
        <v>505</v>
      </c>
      <c r="V96" s="395">
        <v>75</v>
      </c>
      <c r="W96" s="382">
        <f t="shared" si="14"/>
        <v>358011.18224772508</v>
      </c>
      <c r="X96" s="382">
        <f t="shared" si="15"/>
        <v>74087.539264771025</v>
      </c>
      <c r="Y96" s="382">
        <f t="shared" si="16"/>
        <v>1251020.4099172961</v>
      </c>
      <c r="Z96" s="461" t="s">
        <v>576</v>
      </c>
      <c r="AA96" s="420" t="s">
        <v>577</v>
      </c>
      <c r="AB96" s="347">
        <v>3</v>
      </c>
      <c r="AC96" s="384">
        <v>4</v>
      </c>
      <c r="AD96" s="419">
        <v>1</v>
      </c>
      <c r="AF96" s="386"/>
    </row>
    <row r="97" spans="1:32" s="64" customFormat="1" hidden="1" x14ac:dyDescent="0.25">
      <c r="A97" s="399">
        <v>15</v>
      </c>
      <c r="B97" s="388" t="s">
        <v>906</v>
      </c>
      <c r="C97" s="447" t="s">
        <v>907</v>
      </c>
      <c r="D97" s="400" t="s">
        <v>515</v>
      </c>
      <c r="E97" s="400" t="s">
        <v>570</v>
      </c>
      <c r="F97" s="400" t="s">
        <v>570</v>
      </c>
      <c r="G97" s="400" t="s">
        <v>908</v>
      </c>
      <c r="H97" s="400">
        <v>4</v>
      </c>
      <c r="I97" s="400" t="s">
        <v>570</v>
      </c>
      <c r="J97" s="400">
        <v>36</v>
      </c>
      <c r="K97" s="402">
        <v>150000000</v>
      </c>
      <c r="L97" s="402">
        <v>272311821.60000002</v>
      </c>
      <c r="M97" s="403">
        <v>0.19</v>
      </c>
      <c r="N97" s="402">
        <f>+L97*(1+'[1]cuadro resumen'!$B$9)*(1+'[1]cuadro resumen'!$C$9)*(1+'[1]cuadro resumen'!$D$9)*(1+'[1]cuadro resumen'!$E$9)</f>
        <v>327844371.37888807</v>
      </c>
      <c r="O97" s="402">
        <f t="shared" si="18"/>
        <v>59011986.848199852</v>
      </c>
      <c r="P97" s="402">
        <f>+K97*(1+'[1]cuadro resumen'!$B$9)*(1+'[1]cuadro resumen'!$C$9)*(1+'[1]cuadro resumen'!$D$9)*(1+'[1]cuadro resumen'!$E$9)</f>
        <v>180589500</v>
      </c>
      <c r="Q97" s="402">
        <f>+S97*(1+'[1]cuadro resumen'!$B$9)*(1+'[1]cuadro resumen'!$C$9)*(1+'[1]cuadro resumen'!$D$9)*(1+'[1]cuadro resumen'!$E$9)</f>
        <v>37371546.855197102</v>
      </c>
      <c r="R97" s="402">
        <f t="shared" si="12"/>
        <v>26227549.710311048</v>
      </c>
      <c r="S97" s="402">
        <v>31041295.469999999</v>
      </c>
      <c r="T97" s="402">
        <f t="shared" si="13"/>
        <v>631044954.7925961</v>
      </c>
      <c r="U97" s="417" t="s">
        <v>505</v>
      </c>
      <c r="V97" s="390">
        <v>75</v>
      </c>
      <c r="W97" s="382">
        <f t="shared" si="14"/>
        <v>358011.18224772508</v>
      </c>
      <c r="X97" s="382">
        <f t="shared" si="15"/>
        <v>74087.539264771025</v>
      </c>
      <c r="Y97" s="382">
        <f t="shared" si="16"/>
        <v>1251020.4099172961</v>
      </c>
      <c r="Z97" s="466" t="s">
        <v>498</v>
      </c>
      <c r="AA97" s="418" t="s">
        <v>909</v>
      </c>
      <c r="AB97" s="347">
        <v>3</v>
      </c>
      <c r="AC97" s="384">
        <v>4</v>
      </c>
      <c r="AD97" s="419">
        <v>1</v>
      </c>
    </row>
    <row r="98" spans="1:32" s="64" customFormat="1" ht="15" hidden="1" customHeight="1" x14ac:dyDescent="0.25">
      <c r="A98" s="399">
        <v>42</v>
      </c>
      <c r="B98" s="388" t="s">
        <v>910</v>
      </c>
      <c r="C98" s="447" t="s">
        <v>911</v>
      </c>
      <c r="D98" s="400" t="s">
        <v>502</v>
      </c>
      <c r="E98" s="400" t="s">
        <v>620</v>
      </c>
      <c r="F98" s="400" t="s">
        <v>621</v>
      </c>
      <c r="G98" s="400" t="s">
        <v>912</v>
      </c>
      <c r="H98" s="400">
        <v>2</v>
      </c>
      <c r="I98" s="400" t="s">
        <v>665</v>
      </c>
      <c r="J98" s="400">
        <v>104</v>
      </c>
      <c r="K98" s="402">
        <v>150000000</v>
      </c>
      <c r="L98" s="402">
        <v>312833707.19999999</v>
      </c>
      <c r="M98" s="403">
        <v>0.19</v>
      </c>
      <c r="N98" s="402">
        <f>+L98*(1+'[1]cuadro resumen'!$B$9)*(1+'[1]cuadro resumen'!$C$9)*(1+'[1]cuadro resumen'!$D$9)*(1+'[1]cuadro resumen'!$E$9)</f>
        <v>376629885.10929608</v>
      </c>
      <c r="O98" s="402">
        <f t="shared" si="18"/>
        <v>67793379.3196733</v>
      </c>
      <c r="P98" s="402">
        <f>+K98*(1+'[1]cuadro resumen'!$B$9)*(1+'[1]cuadro resumen'!$C$9)*(1+'[1]cuadro resumen'!$D$9)*(1+'[1]cuadro resumen'!$E$9)</f>
        <v>180589500</v>
      </c>
      <c r="Q98" s="402">
        <f>+S98*(1+'[1]cuadro resumen'!$B$9)*(1+'[1]cuadro resumen'!$C$9)*(1+'[1]cuadro resumen'!$D$9)*(1+'[1]cuadro resumen'!$E$9)</f>
        <v>37371546.855197102</v>
      </c>
      <c r="R98" s="402">
        <f t="shared" ref="R98:R104" si="19">N98*0.08</f>
        <v>30130390.808743685</v>
      </c>
      <c r="S98" s="402">
        <v>31041295.469999999</v>
      </c>
      <c r="T98" s="402">
        <f t="shared" ref="T98:T104" si="20">SUM(N98:R98)</f>
        <v>692514702.09291017</v>
      </c>
      <c r="U98" s="467" t="s">
        <v>505</v>
      </c>
      <c r="V98" s="390">
        <v>210</v>
      </c>
      <c r="W98" s="382">
        <f t="shared" ref="W98:W104" si="21">P98/504.424188278682</f>
        <v>358011.18224772508</v>
      </c>
      <c r="X98" s="382">
        <f t="shared" ref="X98:X104" si="22">Q98/504.424188278682</f>
        <v>74087.539264771025</v>
      </c>
      <c r="Y98" s="382">
        <f t="shared" si="16"/>
        <v>1372881.630550026</v>
      </c>
      <c r="Z98" s="461" t="s">
        <v>498</v>
      </c>
      <c r="AA98" s="420"/>
      <c r="AB98" s="347">
        <v>3</v>
      </c>
      <c r="AC98" s="384">
        <v>4</v>
      </c>
      <c r="AD98" s="419">
        <v>1</v>
      </c>
    </row>
    <row r="99" spans="1:32" s="64" customFormat="1" ht="15" hidden="1" customHeight="1" x14ac:dyDescent="0.25">
      <c r="A99" s="399">
        <v>13</v>
      </c>
      <c r="B99" s="388" t="s">
        <v>913</v>
      </c>
      <c r="C99" s="447" t="s">
        <v>914</v>
      </c>
      <c r="D99" s="400" t="s">
        <v>515</v>
      </c>
      <c r="E99" s="400" t="s">
        <v>570</v>
      </c>
      <c r="F99" s="400" t="s">
        <v>915</v>
      </c>
      <c r="G99" s="400" t="s">
        <v>916</v>
      </c>
      <c r="H99" s="400">
        <v>2</v>
      </c>
      <c r="I99" s="400" t="s">
        <v>570</v>
      </c>
      <c r="J99" s="400">
        <v>42</v>
      </c>
      <c r="K99" s="402">
        <v>150000000</v>
      </c>
      <c r="L99" s="402">
        <v>272311821.60000002</v>
      </c>
      <c r="M99" s="403">
        <v>0.19</v>
      </c>
      <c r="N99" s="402">
        <f>+L99*(1+'[1]cuadro resumen'!$B$9)*(1+'[1]cuadro resumen'!$C$9)*(1+'[1]cuadro resumen'!$D$9)*(1+'[1]cuadro resumen'!$E$9)</f>
        <v>327844371.37888807</v>
      </c>
      <c r="O99" s="402">
        <f t="shared" si="18"/>
        <v>59011986.848199852</v>
      </c>
      <c r="P99" s="402">
        <f>+K99*(1+'[1]cuadro resumen'!$B$9)*(1+'[1]cuadro resumen'!$C$9)*(1+'[1]cuadro resumen'!$D$9)*(1+'[1]cuadro resumen'!$E$9)</f>
        <v>180589500</v>
      </c>
      <c r="Q99" s="402">
        <f>+S99*(1+'[1]cuadro resumen'!$B$9)*(1+'[1]cuadro resumen'!$C$9)*(1+'[1]cuadro resumen'!$D$9)*(1+'[1]cuadro resumen'!$E$9)</f>
        <v>37371546.855197102</v>
      </c>
      <c r="R99" s="402">
        <f t="shared" si="19"/>
        <v>26227549.710311048</v>
      </c>
      <c r="S99" s="402">
        <v>31041295.469999999</v>
      </c>
      <c r="T99" s="402">
        <f t="shared" si="20"/>
        <v>631044954.7925961</v>
      </c>
      <c r="U99" s="404" t="s">
        <v>505</v>
      </c>
      <c r="V99" s="390">
        <v>75</v>
      </c>
      <c r="W99" s="382">
        <f t="shared" si="21"/>
        <v>358011.18224772508</v>
      </c>
      <c r="X99" s="382">
        <f t="shared" si="22"/>
        <v>74087.539264771025</v>
      </c>
      <c r="Y99" s="382">
        <f t="shared" si="16"/>
        <v>1251020.4099172961</v>
      </c>
      <c r="Z99" s="430" t="s">
        <v>576</v>
      </c>
      <c r="AA99" s="420" t="s">
        <v>577</v>
      </c>
      <c r="AB99" s="347">
        <v>3</v>
      </c>
      <c r="AC99" s="384">
        <v>4</v>
      </c>
      <c r="AD99" s="419">
        <v>1</v>
      </c>
      <c r="AF99" s="386"/>
    </row>
    <row r="100" spans="1:32" s="64" customFormat="1" ht="210" hidden="1" x14ac:dyDescent="0.25">
      <c r="A100" s="399">
        <v>65</v>
      </c>
      <c r="B100" s="388" t="s">
        <v>500</v>
      </c>
      <c r="C100" s="427" t="s">
        <v>917</v>
      </c>
      <c r="D100" s="390" t="s">
        <v>508</v>
      </c>
      <c r="E100" s="390" t="s">
        <v>918</v>
      </c>
      <c r="F100" s="390" t="s">
        <v>836</v>
      </c>
      <c r="G100" s="390" t="s">
        <v>836</v>
      </c>
      <c r="H100" s="390" t="s">
        <v>837</v>
      </c>
      <c r="I100" s="390" t="s">
        <v>508</v>
      </c>
      <c r="J100" s="390" t="s">
        <v>837</v>
      </c>
      <c r="K100" s="392">
        <v>500000000</v>
      </c>
      <c r="L100" s="392">
        <v>1817000000</v>
      </c>
      <c r="M100" s="393">
        <v>0.19</v>
      </c>
      <c r="N100" s="392">
        <f>+L100*(1+'[1]cuadro resumen'!$B$9)*(1+'[1]cuadro resumen'!$C$9)*(1+'[1]cuadro resumen'!$D$9)*(1+'[1]cuadro resumen'!$E$9)</f>
        <v>2187540810</v>
      </c>
      <c r="O100" s="392">
        <f t="shared" si="18"/>
        <v>393757345.80000001</v>
      </c>
      <c r="P100" s="392">
        <f>+K100*(1+'[1]cuadro resumen'!$B$9)*(1+'[1]cuadro resumen'!$C$9)*(1+'[1]cuadro resumen'!$D$9)*(1+'[1]cuadro resumen'!$E$9)</f>
        <v>601965000</v>
      </c>
      <c r="Q100" s="392">
        <f>+S100*(1+'[1]cuadro resumen'!$B$9)*(1+'[1]cuadro resumen'!$C$9)*(1+'[1]cuadro resumen'!$D$9)*(1+'[1]cuadro resumen'!$E$9)</f>
        <v>40160984.330130309</v>
      </c>
      <c r="R100" s="392">
        <f t="shared" si="19"/>
        <v>175003264.80000001</v>
      </c>
      <c r="S100" s="392">
        <v>33358238.710000001</v>
      </c>
      <c r="T100" s="392">
        <f t="shared" si="20"/>
        <v>3398427404.9301305</v>
      </c>
      <c r="U100" s="394" t="s">
        <v>505</v>
      </c>
      <c r="V100" s="395">
        <v>1000</v>
      </c>
      <c r="W100" s="396">
        <f t="shared" si="21"/>
        <v>1193370.6074924169</v>
      </c>
      <c r="X100" s="396">
        <f t="shared" si="22"/>
        <v>79617.483188459533</v>
      </c>
      <c r="Y100" s="396">
        <f t="shared" si="16"/>
        <v>6737241.1630914547</v>
      </c>
      <c r="Z100" s="397" t="s">
        <v>576</v>
      </c>
      <c r="AA100" s="398" t="s">
        <v>919</v>
      </c>
      <c r="AB100" s="347">
        <v>3</v>
      </c>
      <c r="AC100" s="384">
        <v>5</v>
      </c>
      <c r="AD100" s="419">
        <v>1</v>
      </c>
      <c r="AF100" s="386"/>
    </row>
    <row r="101" spans="1:32" s="64" customFormat="1" ht="210" hidden="1" x14ac:dyDescent="0.25">
      <c r="A101" s="399">
        <v>68</v>
      </c>
      <c r="B101" s="388" t="s">
        <v>500</v>
      </c>
      <c r="C101" s="427" t="s">
        <v>920</v>
      </c>
      <c r="D101" s="390" t="s">
        <v>502</v>
      </c>
      <c r="E101" s="390" t="s">
        <v>921</v>
      </c>
      <c r="F101" s="390" t="s">
        <v>836</v>
      </c>
      <c r="G101" s="390" t="s">
        <v>836</v>
      </c>
      <c r="H101" s="390" t="s">
        <v>837</v>
      </c>
      <c r="I101" s="390" t="s">
        <v>502</v>
      </c>
      <c r="J101" s="390" t="s">
        <v>837</v>
      </c>
      <c r="K101" s="392">
        <v>500000000</v>
      </c>
      <c r="L101" s="392">
        <v>1817000000</v>
      </c>
      <c r="M101" s="393">
        <v>0.19</v>
      </c>
      <c r="N101" s="392">
        <f>+L101*(1+'[1]cuadro resumen'!$B$9)*(1+'[1]cuadro resumen'!$C$9)*(1+'[1]cuadro resumen'!$D$9)*(1+'[1]cuadro resumen'!$E$9)</f>
        <v>2187540810</v>
      </c>
      <c r="O101" s="392">
        <f t="shared" si="18"/>
        <v>393757345.80000001</v>
      </c>
      <c r="P101" s="392">
        <f>+K101*(1+'[1]cuadro resumen'!$B$9)*(1+'[1]cuadro resumen'!$C$9)*(1+'[1]cuadro resumen'!$D$9)*(1+'[1]cuadro resumen'!$E$9)</f>
        <v>601965000</v>
      </c>
      <c r="Q101" s="392">
        <f>+S101*(1+'[1]cuadro resumen'!$B$9)*(1+'[1]cuadro resumen'!$C$9)*(1+'[1]cuadro resumen'!$D$9)*(1+'[1]cuadro resumen'!$E$9)</f>
        <v>40160984.330130309</v>
      </c>
      <c r="R101" s="392">
        <f t="shared" si="19"/>
        <v>175003264.80000001</v>
      </c>
      <c r="S101" s="392">
        <v>33358238.710000001</v>
      </c>
      <c r="T101" s="392">
        <f t="shared" si="20"/>
        <v>3398427404.9301305</v>
      </c>
      <c r="U101" s="394" t="s">
        <v>505</v>
      </c>
      <c r="V101" s="390">
        <v>1000</v>
      </c>
      <c r="W101" s="396">
        <f t="shared" si="21"/>
        <v>1193370.6074924169</v>
      </c>
      <c r="X101" s="396">
        <f t="shared" si="22"/>
        <v>79617.483188459533</v>
      </c>
      <c r="Y101" s="479" t="e">
        <f>T101/AA118</f>
        <v>#DIV/0!</v>
      </c>
      <c r="Z101" s="397" t="s">
        <v>576</v>
      </c>
      <c r="AA101" s="398" t="s">
        <v>919</v>
      </c>
      <c r="AB101" s="347">
        <v>3</v>
      </c>
      <c r="AC101" s="384">
        <v>5</v>
      </c>
      <c r="AD101" s="385">
        <v>1</v>
      </c>
      <c r="AF101" s="386"/>
    </row>
    <row r="102" spans="1:32" s="64" customFormat="1" ht="15" hidden="1" customHeight="1" x14ac:dyDescent="0.25">
      <c r="A102" s="399">
        <v>67</v>
      </c>
      <c r="B102" s="388" t="s">
        <v>500</v>
      </c>
      <c r="C102" s="427" t="s">
        <v>922</v>
      </c>
      <c r="D102" s="390" t="s">
        <v>508</v>
      </c>
      <c r="E102" s="390" t="s">
        <v>512</v>
      </c>
      <c r="F102" s="390" t="s">
        <v>836</v>
      </c>
      <c r="G102" s="390" t="s">
        <v>836</v>
      </c>
      <c r="H102" s="390" t="s">
        <v>837</v>
      </c>
      <c r="I102" s="390" t="s">
        <v>508</v>
      </c>
      <c r="J102" s="390" t="s">
        <v>837</v>
      </c>
      <c r="K102" s="392">
        <v>500000000</v>
      </c>
      <c r="L102" s="392">
        <v>1817000000</v>
      </c>
      <c r="M102" s="393">
        <v>0.19</v>
      </c>
      <c r="N102" s="392">
        <f>+L102*(1+'[1]cuadro resumen'!$B$9)*(1+'[1]cuadro resumen'!$C$9)*(1+'[1]cuadro resumen'!$D$9)*(1+'[1]cuadro resumen'!$E$9)</f>
        <v>2187540810</v>
      </c>
      <c r="O102" s="392">
        <f t="shared" si="18"/>
        <v>393757345.80000001</v>
      </c>
      <c r="P102" s="392">
        <f>+K102*(1+'[1]cuadro resumen'!$B$9)*(1+'[1]cuadro resumen'!$C$9)*(1+'[1]cuadro resumen'!$D$9)*(1+'[1]cuadro resumen'!$E$9)</f>
        <v>601965000</v>
      </c>
      <c r="Q102" s="392">
        <f>+S102*(1+'[1]cuadro resumen'!$B$9)*(1+'[1]cuadro resumen'!$C$9)*(1+'[1]cuadro resumen'!$D$9)*(1+'[1]cuadro resumen'!$E$9)</f>
        <v>40160984.330130309</v>
      </c>
      <c r="R102" s="392">
        <f t="shared" si="19"/>
        <v>175003264.80000001</v>
      </c>
      <c r="S102" s="392">
        <v>33358238.710000001</v>
      </c>
      <c r="T102" s="392">
        <f t="shared" si="20"/>
        <v>3398427404.9301305</v>
      </c>
      <c r="U102" s="394" t="s">
        <v>505</v>
      </c>
      <c r="V102" s="395">
        <v>1000</v>
      </c>
      <c r="W102" s="396">
        <f t="shared" si="21"/>
        <v>1193370.6074924169</v>
      </c>
      <c r="X102" s="396">
        <f t="shared" si="22"/>
        <v>79617.483188459533</v>
      </c>
      <c r="Y102" s="396">
        <f>T102/504.424188278682</f>
        <v>6737241.1630914547</v>
      </c>
      <c r="Z102" s="397" t="s">
        <v>576</v>
      </c>
      <c r="AA102" s="398" t="s">
        <v>919</v>
      </c>
      <c r="AB102" s="347">
        <v>3</v>
      </c>
      <c r="AC102" s="384">
        <v>5</v>
      </c>
      <c r="AD102" s="385">
        <v>1</v>
      </c>
      <c r="AF102" s="386"/>
    </row>
    <row r="103" spans="1:32" s="64" customFormat="1" ht="15" hidden="1" customHeight="1" x14ac:dyDescent="0.25">
      <c r="A103" s="399">
        <v>66</v>
      </c>
      <c r="B103" s="468" t="s">
        <v>500</v>
      </c>
      <c r="C103" s="457" t="s">
        <v>923</v>
      </c>
      <c r="D103" s="452" t="s">
        <v>508</v>
      </c>
      <c r="E103" s="452" t="s">
        <v>512</v>
      </c>
      <c r="F103" s="452" t="s">
        <v>836</v>
      </c>
      <c r="G103" s="452" t="s">
        <v>836</v>
      </c>
      <c r="H103" s="452" t="s">
        <v>837</v>
      </c>
      <c r="I103" s="452" t="s">
        <v>508</v>
      </c>
      <c r="J103" s="452" t="s">
        <v>837</v>
      </c>
      <c r="K103" s="469">
        <v>500000000</v>
      </c>
      <c r="L103" s="469">
        <v>1817000000</v>
      </c>
      <c r="M103" s="470">
        <v>0.19</v>
      </c>
      <c r="N103" s="469">
        <f>+L103*(1+'[1]cuadro resumen'!$B$9)*(1+'[1]cuadro resumen'!$C$9)*(1+'[1]cuadro resumen'!$D$9)*(1+'[1]cuadro resumen'!$E$9)</f>
        <v>2187540810</v>
      </c>
      <c r="O103" s="469">
        <f t="shared" si="18"/>
        <v>393757345.80000001</v>
      </c>
      <c r="P103" s="469">
        <f>+K103*(1+'[1]cuadro resumen'!$B$9)*(1+'[1]cuadro resumen'!$C$9)*(1+'[1]cuadro resumen'!$D$9)*(1+'[1]cuadro resumen'!$E$9)</f>
        <v>601965000</v>
      </c>
      <c r="Q103" s="469">
        <f>+S103*(1+'[1]cuadro resumen'!$B$9)*(1+'[1]cuadro resumen'!$C$9)*(1+'[1]cuadro resumen'!$D$9)*(1+'[1]cuadro resumen'!$E$9)</f>
        <v>40160984.330130309</v>
      </c>
      <c r="R103" s="469">
        <f t="shared" si="19"/>
        <v>175003264.80000001</v>
      </c>
      <c r="S103" s="469">
        <v>33358238.710000001</v>
      </c>
      <c r="T103" s="469">
        <f t="shared" si="20"/>
        <v>3398427404.9301305</v>
      </c>
      <c r="U103" s="471" t="s">
        <v>505</v>
      </c>
      <c r="V103" s="472">
        <v>1000</v>
      </c>
      <c r="W103" s="396">
        <f t="shared" si="21"/>
        <v>1193370.6074924169</v>
      </c>
      <c r="X103" s="396">
        <f t="shared" si="22"/>
        <v>79617.483188459533</v>
      </c>
      <c r="Y103" s="396">
        <f>T103/504.424188278682</f>
        <v>6737241.1630914547</v>
      </c>
      <c r="Z103" s="397" t="s">
        <v>576</v>
      </c>
      <c r="AA103" s="398" t="s">
        <v>919</v>
      </c>
      <c r="AB103" s="347">
        <v>3</v>
      </c>
      <c r="AC103" s="384">
        <v>5</v>
      </c>
      <c r="AD103" s="385">
        <v>1</v>
      </c>
      <c r="AF103" s="386"/>
    </row>
    <row r="104" spans="1:32" s="64" customFormat="1" ht="15" hidden="1" customHeight="1" x14ac:dyDescent="0.25">
      <c r="A104" s="399">
        <v>32</v>
      </c>
      <c r="B104" s="388">
        <v>6220</v>
      </c>
      <c r="C104" s="441" t="s">
        <v>924</v>
      </c>
      <c r="D104" s="400" t="s">
        <v>493</v>
      </c>
      <c r="E104" s="400" t="s">
        <v>733</v>
      </c>
      <c r="F104" s="400" t="s">
        <v>925</v>
      </c>
      <c r="G104" s="400" t="s">
        <v>926</v>
      </c>
      <c r="H104" s="400">
        <v>8</v>
      </c>
      <c r="I104" s="400" t="s">
        <v>543</v>
      </c>
      <c r="J104" s="400">
        <v>48</v>
      </c>
      <c r="K104" s="402">
        <v>0</v>
      </c>
      <c r="L104" s="402">
        <v>413971507.60000002</v>
      </c>
      <c r="M104" s="403">
        <v>0.19</v>
      </c>
      <c r="N104" s="402">
        <f>+L104*(1+'[1]cuadro resumen'!$B$9)*(1+'[1]cuadro resumen'!$C$9)*(1+'[1]cuadro resumen'!$D$9)*(1+'[1]cuadro resumen'!$E$9)</f>
        <v>498392717.14486808</v>
      </c>
      <c r="O104" s="402">
        <f t="shared" si="18"/>
        <v>89710689.086076245</v>
      </c>
      <c r="P104" s="402">
        <f>+K104*(1+'[1]cuadro resumen'!$B$9)*(1+'[1]cuadro resumen'!$C$9)*(1+'[1]cuadro resumen'!$D$9)*(1+'[1]cuadro resumen'!$E$9)</f>
        <v>0</v>
      </c>
      <c r="Q104" s="402">
        <f>+S104*(1+'[1]cuadro resumen'!$B$9)*(1+'[1]cuadro resumen'!$C$9)*(1+'[1]cuadro resumen'!$D$9)*(1+'[1]cuadro resumen'!$E$9)</f>
        <v>44079242.28435</v>
      </c>
      <c r="R104" s="402">
        <f t="shared" si="19"/>
        <v>39871417.371589445</v>
      </c>
      <c r="S104" s="402">
        <v>36612795</v>
      </c>
      <c r="T104" s="402">
        <f t="shared" si="20"/>
        <v>672054065.88688374</v>
      </c>
      <c r="U104" s="404" t="s">
        <v>505</v>
      </c>
      <c r="V104" s="390">
        <v>150</v>
      </c>
      <c r="W104" s="382">
        <f t="shared" si="21"/>
        <v>0</v>
      </c>
      <c r="X104" s="382">
        <f t="shared" si="22"/>
        <v>87385.26682229065</v>
      </c>
      <c r="Y104" s="382">
        <f>T104/504.424188278682</f>
        <v>1332319.2691853833</v>
      </c>
      <c r="Z104" s="406" t="s">
        <v>498</v>
      </c>
      <c r="AA104" s="420" t="s">
        <v>577</v>
      </c>
      <c r="AB104" s="348">
        <v>3</v>
      </c>
      <c r="AC104" s="426">
        <v>2</v>
      </c>
      <c r="AD104" s="385">
        <v>0</v>
      </c>
      <c r="AF104" s="386"/>
    </row>
    <row r="105" spans="1:32" x14ac:dyDescent="0.25">
      <c r="G105" s="478"/>
      <c r="H105" s="478"/>
      <c r="I105" s="478">
        <f t="shared" ref="I105:N105" si="23">SUM(I2:I104)</f>
        <v>0</v>
      </c>
      <c r="J105" s="478"/>
      <c r="K105" s="478">
        <f t="shared" si="23"/>
        <v>9676757223.4300003</v>
      </c>
      <c r="L105" s="478">
        <f t="shared" si="23"/>
        <v>47766689562.19696</v>
      </c>
      <c r="M105" s="478">
        <f t="shared" si="23"/>
        <v>14.019999999999984</v>
      </c>
      <c r="N105" s="478">
        <f t="shared" si="23"/>
        <v>55114746136.187828</v>
      </c>
      <c r="O105" s="478">
        <f>SUM(O2:O104)</f>
        <v>9920654304.5138073</v>
      </c>
      <c r="P105" s="478">
        <f t="shared" ref="P105:T105" si="24">SUM(P2:P104)</f>
        <v>11377684324.004082</v>
      </c>
      <c r="Q105" s="478">
        <f t="shared" si="24"/>
        <v>3668787003.283062</v>
      </c>
      <c r="R105" s="478">
        <f t="shared" si="24"/>
        <v>4409179690.8950262</v>
      </c>
      <c r="S105" s="478">
        <f t="shared" si="24"/>
        <v>3188511139.3499985</v>
      </c>
      <c r="T105" s="478">
        <f t="shared" si="24"/>
        <v>84491051458.883804</v>
      </c>
      <c r="Y105" s="475" t="e">
        <f>SUM(Y2:Y104)</f>
        <v>#DIV/0!</v>
      </c>
    </row>
    <row r="107" spans="1:32" x14ac:dyDescent="0.25">
      <c r="K107" s="480"/>
      <c r="L107" s="480"/>
      <c r="M107" s="480"/>
      <c r="N107" s="480"/>
      <c r="O107" s="480"/>
      <c r="P107" s="480"/>
      <c r="Q107" s="480"/>
      <c r="R107" s="480"/>
      <c r="S107" s="480"/>
      <c r="T107" s="480"/>
    </row>
    <row r="109" spans="1:32" x14ac:dyDescent="0.25">
      <c r="T109" s="481"/>
    </row>
  </sheetData>
  <autoFilter ref="A1:AD107">
    <filterColumn colId="20">
      <filters>
        <filter val="Centro Educativo Completo"/>
      </filters>
    </filterColumn>
    <filterColumn colId="28">
      <filters blank="1">
        <filter val="2.00"/>
        <filter val="3.00"/>
      </filters>
    </filterColumn>
    <filterColumn colId="29">
      <filters>
        <filter val="1"/>
      </filters>
    </filterColumn>
    <sortState ref="A20:AD105">
      <sortCondition ref="AB1:AB105"/>
    </sortState>
  </autoFilter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25" sqref="A25"/>
    </sheetView>
  </sheetViews>
  <sheetFormatPr defaultColWidth="11.42578125" defaultRowHeight="15" x14ac:dyDescent="0.25"/>
  <cols>
    <col min="1" max="1" width="76" customWidth="1"/>
    <col min="2" max="2" width="13.140625" customWidth="1"/>
    <col min="3" max="3" width="16.85546875" customWidth="1"/>
    <col min="4" max="4" width="14.42578125" customWidth="1"/>
    <col min="5" max="5" width="13.5703125" customWidth="1"/>
    <col min="6" max="6" width="13" customWidth="1"/>
  </cols>
  <sheetData>
    <row r="1" spans="1:6" ht="19.5" thickBot="1" x14ac:dyDescent="0.35">
      <c r="A1" s="593" t="s">
        <v>1143</v>
      </c>
      <c r="B1" s="593"/>
      <c r="C1" s="593"/>
      <c r="D1" s="593"/>
      <c r="E1" s="593"/>
      <c r="F1" s="593"/>
    </row>
    <row r="2" spans="1:6" ht="15.75" thickBot="1" x14ac:dyDescent="0.3">
      <c r="A2" s="517"/>
      <c r="B2" s="518" t="s">
        <v>21</v>
      </c>
      <c r="C2" s="518" t="s">
        <v>22</v>
      </c>
      <c r="D2" s="518" t="s">
        <v>23</v>
      </c>
      <c r="E2" s="518" t="s">
        <v>24</v>
      </c>
      <c r="F2" s="519" t="s">
        <v>34</v>
      </c>
    </row>
    <row r="3" spans="1:6" ht="26.25" thickBot="1" x14ac:dyDescent="0.3">
      <c r="A3" s="520" t="s">
        <v>1144</v>
      </c>
      <c r="B3" s="521"/>
      <c r="C3" s="522"/>
      <c r="D3" s="522"/>
      <c r="E3" s="522"/>
      <c r="F3" s="523">
        <v>30883195</v>
      </c>
    </row>
    <row r="4" spans="1:6" ht="15.75" thickBot="1" x14ac:dyDescent="0.3">
      <c r="A4" s="524" t="s">
        <v>1145</v>
      </c>
      <c r="B4" s="525"/>
      <c r="C4" s="526"/>
      <c r="D4" s="526"/>
      <c r="E4" s="526"/>
      <c r="F4" s="526"/>
    </row>
    <row r="5" spans="1:6" ht="15.75" thickBot="1" x14ac:dyDescent="0.3">
      <c r="A5" s="527" t="s">
        <v>1146</v>
      </c>
      <c r="B5" s="528"/>
      <c r="C5" s="529">
        <v>6261672</v>
      </c>
      <c r="D5" s="529">
        <v>11538549</v>
      </c>
      <c r="E5" s="529">
        <v>5793792</v>
      </c>
      <c r="F5" s="529">
        <v>23594013</v>
      </c>
    </row>
    <row r="6" spans="1:6" ht="26.25" thickBot="1" x14ac:dyDescent="0.3">
      <c r="A6" s="527" t="s">
        <v>1147</v>
      </c>
      <c r="B6" s="528"/>
      <c r="C6" s="526"/>
      <c r="D6" s="529">
        <v>2343065</v>
      </c>
      <c r="E6" s="529">
        <v>1228575</v>
      </c>
      <c r="F6" s="529">
        <v>3571640</v>
      </c>
    </row>
    <row r="7" spans="1:6" ht="15.75" thickBot="1" x14ac:dyDescent="0.3">
      <c r="A7" s="527" t="s">
        <v>1148</v>
      </c>
      <c r="B7" s="528"/>
      <c r="C7" s="529">
        <v>1957313</v>
      </c>
      <c r="D7" s="529">
        <v>1760228</v>
      </c>
      <c r="E7" s="526"/>
      <c r="F7" s="529">
        <v>3717542</v>
      </c>
    </row>
    <row r="8" spans="1:6" ht="15.75" thickBot="1" x14ac:dyDescent="0.3">
      <c r="A8" s="530" t="s">
        <v>1149</v>
      </c>
      <c r="B8" s="531"/>
      <c r="C8" s="532" t="s">
        <v>1150</v>
      </c>
      <c r="D8" s="532" t="s">
        <v>1150</v>
      </c>
      <c r="E8" s="532" t="s">
        <v>1150</v>
      </c>
      <c r="F8" s="533"/>
    </row>
    <row r="9" spans="1:6" ht="26.25" thickBot="1" x14ac:dyDescent="0.3">
      <c r="A9" s="534" t="s">
        <v>1151</v>
      </c>
      <c r="B9" s="535"/>
      <c r="C9" s="536"/>
      <c r="D9" s="536"/>
      <c r="E9" s="536"/>
      <c r="F9" s="537">
        <v>116274206</v>
      </c>
    </row>
    <row r="10" spans="1:6" ht="15.75" thickBot="1" x14ac:dyDescent="0.3">
      <c r="A10" s="524" t="s">
        <v>1145</v>
      </c>
      <c r="B10" s="538"/>
      <c r="C10" s="526"/>
      <c r="D10" s="526"/>
      <c r="E10" s="526"/>
      <c r="F10" s="526"/>
    </row>
    <row r="11" spans="1:6" ht="15.75" thickBot="1" x14ac:dyDescent="0.3">
      <c r="A11" s="527" t="s">
        <v>1152</v>
      </c>
      <c r="B11" s="528"/>
      <c r="C11" s="529">
        <v>8872379</v>
      </c>
      <c r="D11" s="529">
        <v>13551263</v>
      </c>
      <c r="E11" s="529">
        <v>16258342</v>
      </c>
      <c r="F11" s="529">
        <v>38681984</v>
      </c>
    </row>
    <row r="12" spans="1:6" ht="15.75" thickBot="1" x14ac:dyDescent="0.3">
      <c r="A12" s="527" t="s">
        <v>1153</v>
      </c>
      <c r="B12" s="528"/>
      <c r="C12" s="529">
        <v>3139409</v>
      </c>
      <c r="D12" s="526"/>
      <c r="E12" s="529">
        <v>25127547</v>
      </c>
      <c r="F12" s="529">
        <v>28266956</v>
      </c>
    </row>
    <row r="13" spans="1:6" ht="15.75" thickBot="1" x14ac:dyDescent="0.3">
      <c r="A13" s="527" t="s">
        <v>1154</v>
      </c>
      <c r="B13" s="528"/>
      <c r="C13" s="529">
        <v>14131827</v>
      </c>
      <c r="D13" s="529">
        <v>11723019</v>
      </c>
      <c r="E13" s="529">
        <v>23470420</v>
      </c>
      <c r="F13" s="529">
        <v>49325266</v>
      </c>
    </row>
    <row r="14" spans="1:6" ht="15.75" thickBot="1" x14ac:dyDescent="0.3">
      <c r="A14" s="530" t="s">
        <v>1155</v>
      </c>
      <c r="B14" s="531"/>
      <c r="C14" s="532" t="s">
        <v>1150</v>
      </c>
      <c r="D14" s="532" t="s">
        <v>1150</v>
      </c>
      <c r="E14" s="532" t="s">
        <v>1150</v>
      </c>
      <c r="F14" s="533"/>
    </row>
    <row r="15" spans="1:6" ht="15.75" thickBot="1" x14ac:dyDescent="0.3">
      <c r="A15" s="534" t="s">
        <v>1156</v>
      </c>
      <c r="B15" s="535"/>
      <c r="C15" s="536"/>
      <c r="D15" s="536"/>
      <c r="E15" s="536"/>
      <c r="F15" s="537">
        <v>8870016</v>
      </c>
    </row>
    <row r="16" spans="1:6" ht="15.75" thickBot="1" x14ac:dyDescent="0.3">
      <c r="A16" s="524" t="s">
        <v>1145</v>
      </c>
      <c r="B16" s="528"/>
      <c r="C16" s="526"/>
      <c r="D16" s="526"/>
      <c r="E16" s="526"/>
      <c r="F16" s="526"/>
    </row>
    <row r="17" spans="1:6" ht="15.75" thickBot="1" x14ac:dyDescent="0.3">
      <c r="A17" s="527" t="s">
        <v>1157</v>
      </c>
      <c r="B17" s="528"/>
      <c r="C17" s="529">
        <v>6570382</v>
      </c>
      <c r="D17" s="529">
        <v>2299634</v>
      </c>
      <c r="E17" s="526"/>
      <c r="F17" s="529">
        <v>8870016</v>
      </c>
    </row>
  </sheetData>
  <mergeCells count="1"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37028924</IDBDocs_x0020_Number>
    <Document_x0020_Author xmlns="9c571b2f-e523-4ab2-ba2e-09e151a03ef4">Alvarez Marinelli, Horacio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6</Value>
    </TaxCatchAll>
    <Fiscal_x0020_Year_x0020_IDB xmlns="9c571b2f-e523-4ab2-ba2e-09e151a03ef4">2010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CR-L1053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Whole&lt;/APPROVAL_DESC&gt;&lt;PD_OBJ_TYPE&gt;0&lt;/PD_OBJ_TYPE&gt;&lt;MAKERECORD&gt;N&lt;/MAKERECORD&gt;&lt;PD_FILEPT_NO&gt;PO-CR-L1053-Plan&lt;/PD_FILEPT_NO&gt;&lt;/Data&gt;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Disclosed xmlns="9c571b2f-e523-4ab2-ba2e-09e151a03ef4">false</Disclose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6E3860C2E3044B969CBD6EBFDF82DC" ma:contentTypeVersion="6" ma:contentTypeDescription="A content type to manage public (operations) IDB documents" ma:contentTypeScope="" ma:versionID="7e2ccb1addcb2627dc2f80ee55e8bd2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737d4cc7d660a431e522b776bb777c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5c5757e-a72b-4d31-bdc0-8de15f34ed79}" ma:internalName="TaxCatchAll" ma:showField="CatchAllData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5c5757e-a72b-4d31-bdc0-8de15f34ed79}" ma:internalName="TaxCatchAllLabel" ma:readOnly="true" ma:showField="CatchAllDataLabel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2E39E9D5-6CC0-460A-A80B-DE045015D25F}"/>
</file>

<file path=customXml/itemProps2.xml><?xml version="1.0" encoding="utf-8"?>
<ds:datastoreItem xmlns:ds="http://schemas.openxmlformats.org/officeDocument/2006/customXml" ds:itemID="{54FBC187-BF56-4634-AAB7-3D28CFFC5D6E}"/>
</file>

<file path=customXml/itemProps3.xml><?xml version="1.0" encoding="utf-8"?>
<ds:datastoreItem xmlns:ds="http://schemas.openxmlformats.org/officeDocument/2006/customXml" ds:itemID="{A987A009-9EAC-4784-BD76-5CE9650000A8}"/>
</file>

<file path=customXml/itemProps4.xml><?xml version="1.0" encoding="utf-8"?>
<ds:datastoreItem xmlns:ds="http://schemas.openxmlformats.org/officeDocument/2006/customXml" ds:itemID="{0ECEE6B1-46E1-457D-AEC4-50FC1AC5576D}"/>
</file>

<file path=customXml/itemProps5.xml><?xml version="1.0" encoding="utf-8"?>
<ds:datastoreItem xmlns:ds="http://schemas.openxmlformats.org/officeDocument/2006/customXml" ds:itemID="{3C75A3E8-D69A-4AD0-9EFC-DD098AE975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Flujo de desembolsos</vt:lpstr>
      <vt:lpstr>RESUMEN POR COMPON Y CAT %</vt:lpstr>
      <vt:lpstr>POA CONSOLIDADO</vt:lpstr>
      <vt:lpstr>PAC CONSOLIDADO</vt:lpstr>
      <vt:lpstr>POA AÑO 1-3</vt:lpstr>
      <vt:lpstr>CRITERIOS</vt:lpstr>
      <vt:lpstr>COSTEO PRODUCTOS MATRIZ DE RESU</vt:lpstr>
      <vt:lpstr>'POA CONSOLIDADO'!Print_Area</vt:lpstr>
      <vt:lpstr>'PAC CONSOLIDADO'!Print_Titles</vt:lpstr>
      <vt:lpstr>'POA AÑO 1-3'!Print_Titles</vt:lpstr>
      <vt:lpstr>'POA CONSOLIDADO'!Print_Titles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Costos Detallados</dc:title>
  <dc:creator>-</dc:creator>
  <cp:lastModifiedBy>Inter-American Development Bank</cp:lastModifiedBy>
  <cp:lastPrinted>2010-12-01T16:31:28Z</cp:lastPrinted>
  <dcterms:created xsi:type="dcterms:W3CDTF">2010-08-30T14:43:02Z</dcterms:created>
  <dcterms:modified xsi:type="dcterms:W3CDTF">2012-09-14T17:34:18Z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0x01010046CF21643EE8D14686A648AA6DAD0892005D6E3860C2E3044B969CBD6EBFDF82DC</vt:lpwstr>
  </property>
  <property fmtid="{D5CDD505-2E9C-101B-9397-08002B2CF9AE}" pid="5" name="TaxKeywordTaxHTField">
    <vt:lpwstr/>
  </property>
  <property fmtid="{D5CDD505-2E9C-101B-9397-08002B2CF9AE}" pid="6" name="Series Operations IDB">
    <vt:lpwstr>11;#Project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11;#Project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