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dbg.sharepoint.com/teams/EZ-PE-LON/PE-L1228/15 LifeCycle Milestones/"/>
    </mc:Choice>
  </mc:AlternateContent>
  <xr:revisionPtr revIDLastSave="3" documentId="13_ncr:1_{03238443-09F3-45C4-97EC-5B1B8A21B7BD}" xr6:coauthVersionLast="40" xr6:coauthVersionMax="40" xr10:uidLastSave="{58694071-0B7E-49B2-8E87-79DB143E2AF1}"/>
  <bookViews>
    <workbookView xWindow="0" yWindow="0" windowWidth="20496" windowHeight="6948" firstSheet="10" activeTab="10" xr2:uid="{00000000-000D-0000-FFFF-FFFF00000000}"/>
  </bookViews>
  <sheets>
    <sheet name="PEP" sheetId="20" state="hidden" r:id="rId1"/>
    <sheet name="Presup Detallado" sheetId="26" state="hidden" r:id="rId2"/>
    <sheet name="Plan de financ." sheetId="16" state="hidden" r:id="rId3"/>
    <sheet name="Plan Adquisiciones (18 meses)" sheetId="22" r:id="rId4"/>
    <sheet name="Plan de Adquisiciones" sheetId="18" r:id="rId5"/>
    <sheet name="Resumen costos" sheetId="9" r:id="rId6"/>
    <sheet name="POA 18 meses" sheetId="21" state="hidden" r:id="rId7"/>
    <sheet name="Auditoría M&amp;E" sheetId="11" r:id="rId8"/>
    <sheet name="Administración" sheetId="10" r:id="rId9"/>
    <sheet name="Componente 1" sheetId="12" r:id="rId10"/>
    <sheet name="Componente 2" sheetId="13" r:id="rId11"/>
    <sheet name="Componente 3" sheetId="8" r:id="rId12"/>
    <sheet name="Metas Comp. 3" sheetId="7" state="hidden" r:id="rId13"/>
    <sheet name="Costos rev tras100d" sheetId="3" state="hidden" r:id="rId14"/>
    <sheet name="Inversión central SMA" sheetId="4" state="hidden" r:id="rId15"/>
    <sheet name="Componente 3..." sheetId="5" state="hidden" r:id="rId16"/>
    <sheet name="INSN - SB" sheetId="6" state="hidden" r:id="rId17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2" i="20" l="1"/>
  <c r="F12" i="20"/>
  <c r="G12" i="20"/>
  <c r="H12" i="20"/>
  <c r="I12" i="20"/>
  <c r="E13" i="20"/>
  <c r="F13" i="20"/>
  <c r="G13" i="20"/>
  <c r="H13" i="20"/>
  <c r="I13" i="20"/>
  <c r="E14" i="20"/>
  <c r="F14" i="20"/>
  <c r="G14" i="20"/>
  <c r="H14" i="20"/>
  <c r="I14" i="20"/>
  <c r="E15" i="20"/>
  <c r="F15" i="20"/>
  <c r="G15" i="20"/>
  <c r="H15" i="20"/>
  <c r="I15" i="20"/>
  <c r="E16" i="20"/>
  <c r="F16" i="20"/>
  <c r="G16" i="20"/>
  <c r="H16" i="20"/>
  <c r="I16" i="20"/>
  <c r="E17" i="20"/>
  <c r="F17" i="20"/>
  <c r="G17" i="20"/>
  <c r="H17" i="20"/>
  <c r="I17" i="20"/>
  <c r="E18" i="20"/>
  <c r="F18" i="20"/>
  <c r="G18" i="20"/>
  <c r="H18" i="20"/>
  <c r="I18" i="20"/>
  <c r="F11" i="20"/>
  <c r="G11" i="20"/>
  <c r="H11" i="20"/>
  <c r="I11" i="20"/>
  <c r="E11" i="20"/>
  <c r="D12" i="20"/>
  <c r="D14" i="20"/>
  <c r="D15" i="20"/>
  <c r="D16" i="20"/>
  <c r="D17" i="20"/>
  <c r="D18" i="20"/>
  <c r="D11" i="20"/>
  <c r="D12" i="26"/>
  <c r="D14" i="26"/>
  <c r="D15" i="26"/>
  <c r="D16" i="26"/>
  <c r="F16" i="26"/>
  <c r="O16" i="26"/>
  <c r="M16" i="26"/>
  <c r="D17" i="26"/>
  <c r="D18" i="26"/>
  <c r="D11" i="26"/>
  <c r="F17" i="26"/>
  <c r="O17" i="26"/>
  <c r="M17" i="26"/>
  <c r="H11" i="26"/>
  <c r="U11" i="26"/>
  <c r="E12" i="26"/>
  <c r="L12" i="26"/>
  <c r="J12" i="26"/>
  <c r="F12" i="26"/>
  <c r="G12" i="26"/>
  <c r="H12" i="26"/>
  <c r="U12" i="26"/>
  <c r="I12" i="26"/>
  <c r="X12" i="26"/>
  <c r="V12" i="26"/>
  <c r="E13" i="26"/>
  <c r="F13" i="26"/>
  <c r="G13" i="26"/>
  <c r="H13" i="26"/>
  <c r="I13" i="26"/>
  <c r="E14" i="26"/>
  <c r="L14" i="26"/>
  <c r="F14" i="26"/>
  <c r="O14" i="26"/>
  <c r="M14" i="26"/>
  <c r="G14" i="26"/>
  <c r="H14" i="26"/>
  <c r="U14" i="26"/>
  <c r="S14" i="26"/>
  <c r="I14" i="26"/>
  <c r="X14" i="26"/>
  <c r="V14" i="26"/>
  <c r="E15" i="26"/>
  <c r="L15" i="26"/>
  <c r="J15" i="26"/>
  <c r="F15" i="26"/>
  <c r="G15" i="26"/>
  <c r="R15" i="26"/>
  <c r="Q15" i="26"/>
  <c r="H15" i="26"/>
  <c r="U15" i="26"/>
  <c r="S15" i="26"/>
  <c r="I15" i="26"/>
  <c r="X15" i="26"/>
  <c r="V15" i="26"/>
  <c r="E16" i="26"/>
  <c r="G16" i="26"/>
  <c r="R16" i="26"/>
  <c r="Q16" i="26"/>
  <c r="H16" i="26"/>
  <c r="U16" i="26"/>
  <c r="S16" i="26"/>
  <c r="I16" i="26"/>
  <c r="E17" i="26"/>
  <c r="L17" i="26"/>
  <c r="K17" i="26"/>
  <c r="G17" i="26"/>
  <c r="R17" i="26"/>
  <c r="Q17" i="26"/>
  <c r="H17" i="26"/>
  <c r="U17" i="26"/>
  <c r="I17" i="26"/>
  <c r="X17" i="26"/>
  <c r="V17" i="26"/>
  <c r="E18" i="26"/>
  <c r="L18" i="26"/>
  <c r="F18" i="26"/>
  <c r="O18" i="26"/>
  <c r="M18" i="26"/>
  <c r="G18" i="26"/>
  <c r="H18" i="26"/>
  <c r="U18" i="26"/>
  <c r="I18" i="26"/>
  <c r="X18" i="26"/>
  <c r="V18" i="26"/>
  <c r="F11" i="26"/>
  <c r="O11" i="26"/>
  <c r="G11" i="26"/>
  <c r="I11" i="26"/>
  <c r="X11" i="26"/>
  <c r="E11" i="26"/>
  <c r="L11" i="26"/>
  <c r="I9" i="12"/>
  <c r="D13" i="20"/>
  <c r="R11" i="26"/>
  <c r="R18" i="26"/>
  <c r="Q18" i="26"/>
  <c r="X16" i="26"/>
  <c r="V16" i="26"/>
  <c r="L16" i="26"/>
  <c r="J16" i="26"/>
  <c r="O15" i="26"/>
  <c r="M15" i="26"/>
  <c r="R14" i="26"/>
  <c r="Q14" i="26"/>
  <c r="O12" i="26"/>
  <c r="M12" i="26"/>
  <c r="S12" i="26"/>
  <c r="T12" i="26"/>
  <c r="AA14" i="26"/>
  <c r="S17" i="26"/>
  <c r="T17" i="26"/>
  <c r="P14" i="26"/>
  <c r="AA18" i="26"/>
  <c r="T18" i="26"/>
  <c r="S18" i="26"/>
  <c r="P15" i="26"/>
  <c r="Y15" i="26"/>
  <c r="AA11" i="26"/>
  <c r="R12" i="26"/>
  <c r="Q12" i="26"/>
  <c r="T14" i="26"/>
  <c r="D13" i="26"/>
  <c r="X13" i="26"/>
  <c r="V13" i="26"/>
  <c r="J17" i="26"/>
  <c r="K14" i="26"/>
  <c r="P16" i="26"/>
  <c r="T15" i="26"/>
  <c r="AA15" i="26"/>
  <c r="K18" i="26"/>
  <c r="J14" i="26"/>
  <c r="P17" i="26"/>
  <c r="T16" i="26"/>
  <c r="AA16" i="26"/>
  <c r="J18" i="26"/>
  <c r="P18" i="26"/>
  <c r="AA17" i="26"/>
  <c r="W18" i="26"/>
  <c r="W17" i="26"/>
  <c r="W16" i="26"/>
  <c r="W15" i="26"/>
  <c r="W14" i="26"/>
  <c r="W12" i="26"/>
  <c r="N18" i="26"/>
  <c r="N17" i="26"/>
  <c r="N16" i="26"/>
  <c r="N15" i="26"/>
  <c r="N14" i="26"/>
  <c r="N12" i="26"/>
  <c r="K15" i="26"/>
  <c r="K12" i="26"/>
  <c r="K16" i="26"/>
  <c r="Z15" i="26"/>
  <c r="AA12" i="26"/>
  <c r="Y14" i="26"/>
  <c r="Y16" i="26"/>
  <c r="U13" i="26"/>
  <c r="O13" i="26"/>
  <c r="W13" i="26"/>
  <c r="X10" i="26"/>
  <c r="L13" i="26"/>
  <c r="Z17" i="26"/>
  <c r="R13" i="26"/>
  <c r="Y18" i="26"/>
  <c r="P12" i="26"/>
  <c r="Y12" i="26"/>
  <c r="Z12" i="26"/>
  <c r="Z18" i="26"/>
  <c r="Z16" i="26"/>
  <c r="Z14" i="26"/>
  <c r="Y17" i="26"/>
  <c r="M13" i="26"/>
  <c r="N13" i="26"/>
  <c r="K13" i="26"/>
  <c r="J13" i="26"/>
  <c r="P13" i="26"/>
  <c r="S13" i="26"/>
  <c r="Y13" i="26"/>
  <c r="AA13" i="26"/>
  <c r="AA10" i="26"/>
  <c r="Q13" i="26"/>
  <c r="T13" i="26"/>
  <c r="P99" i="16"/>
  <c r="M99" i="16"/>
  <c r="J99" i="16"/>
  <c r="G99" i="16"/>
  <c r="D99" i="16"/>
  <c r="P47" i="16"/>
  <c r="M47" i="16"/>
  <c r="J47" i="16"/>
  <c r="G47" i="16"/>
  <c r="D47" i="16"/>
  <c r="P30" i="16"/>
  <c r="M30" i="16"/>
  <c r="J30" i="16"/>
  <c r="G30" i="16"/>
  <c r="D30" i="16"/>
  <c r="P20" i="16"/>
  <c r="M20" i="16"/>
  <c r="J20" i="16"/>
  <c r="G20" i="16"/>
  <c r="D20" i="16"/>
  <c r="P10" i="16"/>
  <c r="M10" i="16"/>
  <c r="J10" i="16"/>
  <c r="G10" i="16"/>
  <c r="D10" i="16"/>
  <c r="E32" i="26"/>
  <c r="F32" i="26"/>
  <c r="G32" i="26"/>
  <c r="H32" i="26"/>
  <c r="I32" i="26"/>
  <c r="E33" i="26"/>
  <c r="F33" i="26"/>
  <c r="G33" i="26"/>
  <c r="H33" i="26"/>
  <c r="I33" i="26"/>
  <c r="E34" i="26"/>
  <c r="F34" i="26"/>
  <c r="G34" i="26"/>
  <c r="H34" i="26"/>
  <c r="I34" i="26"/>
  <c r="E35" i="26"/>
  <c r="F35" i="26"/>
  <c r="G35" i="26"/>
  <c r="H35" i="26"/>
  <c r="I35" i="26"/>
  <c r="E36" i="26"/>
  <c r="F36" i="26"/>
  <c r="G36" i="26"/>
  <c r="H36" i="26"/>
  <c r="I36" i="26"/>
  <c r="E37" i="26"/>
  <c r="F37" i="26"/>
  <c r="G37" i="26"/>
  <c r="H37" i="26"/>
  <c r="I37" i="26"/>
  <c r="E38" i="26"/>
  <c r="F38" i="26"/>
  <c r="G38" i="26"/>
  <c r="H38" i="26"/>
  <c r="I38" i="26"/>
  <c r="E39" i="26"/>
  <c r="F39" i="26"/>
  <c r="G39" i="26"/>
  <c r="H39" i="26"/>
  <c r="I39" i="26"/>
  <c r="E40" i="26"/>
  <c r="F40" i="26"/>
  <c r="G40" i="26"/>
  <c r="H40" i="26"/>
  <c r="I40" i="26"/>
  <c r="E41" i="26"/>
  <c r="F41" i="26"/>
  <c r="G41" i="26"/>
  <c r="H41" i="26"/>
  <c r="I41" i="26"/>
  <c r="E42" i="26"/>
  <c r="F42" i="26"/>
  <c r="G42" i="26"/>
  <c r="H42" i="26"/>
  <c r="I42" i="26"/>
  <c r="E43" i="26"/>
  <c r="F43" i="26"/>
  <c r="G43" i="26"/>
  <c r="H43" i="26"/>
  <c r="I43" i="26"/>
  <c r="E44" i="26"/>
  <c r="F44" i="26"/>
  <c r="G44" i="26"/>
  <c r="H44" i="26"/>
  <c r="I44" i="26"/>
  <c r="E45" i="26"/>
  <c r="F45" i="26"/>
  <c r="G45" i="26"/>
  <c r="H45" i="26"/>
  <c r="I45" i="26"/>
  <c r="E46" i="26"/>
  <c r="F46" i="26"/>
  <c r="G46" i="26"/>
  <c r="H46" i="26"/>
  <c r="I46" i="26"/>
  <c r="E47" i="26"/>
  <c r="F47" i="26"/>
  <c r="G47" i="26"/>
  <c r="H47" i="26"/>
  <c r="I47" i="26"/>
  <c r="E48" i="26"/>
  <c r="F48" i="26"/>
  <c r="G48" i="26"/>
  <c r="H48" i="26"/>
  <c r="I48" i="26"/>
  <c r="E49" i="26"/>
  <c r="F49" i="26"/>
  <c r="G49" i="26"/>
  <c r="H49" i="26"/>
  <c r="I49" i="26"/>
  <c r="E50" i="26"/>
  <c r="F50" i="26"/>
  <c r="G50" i="26"/>
  <c r="H50" i="26"/>
  <c r="I50" i="26"/>
  <c r="E51" i="26"/>
  <c r="F51" i="26"/>
  <c r="G51" i="26"/>
  <c r="H51" i="26"/>
  <c r="I51" i="26"/>
  <c r="E52" i="26"/>
  <c r="F52" i="26"/>
  <c r="G52" i="26"/>
  <c r="H52" i="26"/>
  <c r="I52" i="26"/>
  <c r="E53" i="26"/>
  <c r="F53" i="26"/>
  <c r="G53" i="26"/>
  <c r="H53" i="26"/>
  <c r="I53" i="26"/>
  <c r="E54" i="26"/>
  <c r="F54" i="26"/>
  <c r="G54" i="26"/>
  <c r="H54" i="26"/>
  <c r="I54" i="26"/>
  <c r="E55" i="26"/>
  <c r="F55" i="26"/>
  <c r="G55" i="26"/>
  <c r="H55" i="26"/>
  <c r="I55" i="26"/>
  <c r="E56" i="26"/>
  <c r="F56" i="26"/>
  <c r="G56" i="26"/>
  <c r="H56" i="26"/>
  <c r="I56" i="26"/>
  <c r="E57" i="26"/>
  <c r="F57" i="26"/>
  <c r="G57" i="26"/>
  <c r="H57" i="26"/>
  <c r="I57" i="26"/>
  <c r="E58" i="26"/>
  <c r="F58" i="26"/>
  <c r="G58" i="26"/>
  <c r="H58" i="26"/>
  <c r="I58" i="26"/>
  <c r="E59" i="26"/>
  <c r="F59" i="26"/>
  <c r="G59" i="26"/>
  <c r="H59" i="26"/>
  <c r="I59" i="26"/>
  <c r="E60" i="26"/>
  <c r="F60" i="26"/>
  <c r="G60" i="26"/>
  <c r="H60" i="26"/>
  <c r="I60" i="26"/>
  <c r="E61" i="26"/>
  <c r="F61" i="26"/>
  <c r="G61" i="26"/>
  <c r="H61" i="26"/>
  <c r="I61" i="26"/>
  <c r="E62" i="26"/>
  <c r="F62" i="26"/>
  <c r="G62" i="26"/>
  <c r="H62" i="26"/>
  <c r="I62" i="26"/>
  <c r="E63" i="26"/>
  <c r="F63" i="26"/>
  <c r="G63" i="26"/>
  <c r="H63" i="26"/>
  <c r="I63" i="26"/>
  <c r="E64" i="26"/>
  <c r="F64" i="26"/>
  <c r="G64" i="26"/>
  <c r="H64" i="26"/>
  <c r="I64" i="26"/>
  <c r="E65" i="26"/>
  <c r="F65" i="26"/>
  <c r="G65" i="26"/>
  <c r="H65" i="26"/>
  <c r="I65" i="26"/>
  <c r="E66" i="26"/>
  <c r="F66" i="26"/>
  <c r="G66" i="26"/>
  <c r="H66" i="26"/>
  <c r="I66" i="26"/>
  <c r="E67" i="26"/>
  <c r="F67" i="26"/>
  <c r="G67" i="26"/>
  <c r="H67" i="26"/>
  <c r="I67" i="26"/>
  <c r="E68" i="26"/>
  <c r="F68" i="26"/>
  <c r="G68" i="26"/>
  <c r="H68" i="26"/>
  <c r="I68" i="26"/>
  <c r="E69" i="26"/>
  <c r="F69" i="26"/>
  <c r="G69" i="26"/>
  <c r="H69" i="26"/>
  <c r="I69" i="26"/>
  <c r="E70" i="26"/>
  <c r="F70" i="26"/>
  <c r="G70" i="26"/>
  <c r="H70" i="26"/>
  <c r="I70" i="26"/>
  <c r="E71" i="26"/>
  <c r="F71" i="26"/>
  <c r="G71" i="26"/>
  <c r="H71" i="26"/>
  <c r="I71" i="26"/>
  <c r="E72" i="26"/>
  <c r="F72" i="26"/>
  <c r="G72" i="26"/>
  <c r="H72" i="26"/>
  <c r="I72" i="26"/>
  <c r="E73" i="26"/>
  <c r="F73" i="26"/>
  <c r="G73" i="26"/>
  <c r="H73" i="26"/>
  <c r="I73" i="26"/>
  <c r="E74" i="26"/>
  <c r="F74" i="26"/>
  <c r="G74" i="26"/>
  <c r="H74" i="26"/>
  <c r="I74" i="26"/>
  <c r="E75" i="26"/>
  <c r="F75" i="26"/>
  <c r="G75" i="26"/>
  <c r="H75" i="26"/>
  <c r="I75" i="26"/>
  <c r="F31" i="26"/>
  <c r="G31" i="26"/>
  <c r="H31" i="26"/>
  <c r="I31" i="26"/>
  <c r="E31" i="26"/>
  <c r="R32" i="26"/>
  <c r="B14" i="13"/>
  <c r="Z13" i="26"/>
  <c r="P32" i="26"/>
  <c r="Q32" i="26"/>
  <c r="E21" i="26"/>
  <c r="F21" i="26"/>
  <c r="G21" i="26"/>
  <c r="H21" i="26"/>
  <c r="I21" i="26"/>
  <c r="E22" i="26"/>
  <c r="F22" i="26"/>
  <c r="G22" i="26"/>
  <c r="H22" i="26"/>
  <c r="I22" i="26"/>
  <c r="E23" i="26"/>
  <c r="F23" i="26"/>
  <c r="G23" i="26"/>
  <c r="H23" i="26"/>
  <c r="I23" i="26"/>
  <c r="E24" i="26"/>
  <c r="F24" i="26"/>
  <c r="G24" i="26"/>
  <c r="H24" i="26"/>
  <c r="I24" i="26"/>
  <c r="E25" i="26"/>
  <c r="F25" i="26"/>
  <c r="G25" i="26"/>
  <c r="H25" i="26"/>
  <c r="I25" i="26"/>
  <c r="E26" i="26"/>
  <c r="F26" i="26"/>
  <c r="G26" i="26"/>
  <c r="H26" i="26"/>
  <c r="I26" i="26"/>
  <c r="E27" i="26"/>
  <c r="F27" i="26"/>
  <c r="G27" i="26"/>
  <c r="H27" i="26"/>
  <c r="I27" i="26"/>
  <c r="E28" i="26"/>
  <c r="F28" i="26"/>
  <c r="G28" i="26"/>
  <c r="H28" i="26"/>
  <c r="I28" i="26"/>
  <c r="E29" i="26"/>
  <c r="F29" i="26"/>
  <c r="G29" i="26"/>
  <c r="H29" i="26"/>
  <c r="I29" i="26"/>
  <c r="E20" i="26"/>
  <c r="F20" i="26"/>
  <c r="G20" i="26"/>
  <c r="H20" i="26"/>
  <c r="I20" i="26"/>
  <c r="X132" i="26"/>
  <c r="U132" i="26"/>
  <c r="S132" i="26"/>
  <c r="R132" i="26"/>
  <c r="P132" i="26"/>
  <c r="N132" i="26"/>
  <c r="M132" i="26"/>
  <c r="L132" i="26"/>
  <c r="X131" i="26"/>
  <c r="V131" i="26"/>
  <c r="U131" i="26"/>
  <c r="S131" i="26"/>
  <c r="R131" i="26"/>
  <c r="Q131" i="26"/>
  <c r="P131" i="26"/>
  <c r="O131" i="26"/>
  <c r="N131" i="26"/>
  <c r="L131" i="26"/>
  <c r="X130" i="26"/>
  <c r="W130" i="26"/>
  <c r="U130" i="26"/>
  <c r="T130" i="26"/>
  <c r="R130" i="26"/>
  <c r="Q130" i="26"/>
  <c r="O130" i="26"/>
  <c r="L130" i="26"/>
  <c r="K130" i="26"/>
  <c r="X129" i="26"/>
  <c r="V129" i="26"/>
  <c r="U129" i="26"/>
  <c r="R129" i="26"/>
  <c r="Q129" i="26"/>
  <c r="O129" i="26"/>
  <c r="M129" i="26"/>
  <c r="L129" i="26"/>
  <c r="X128" i="26"/>
  <c r="U128" i="26"/>
  <c r="T128" i="26"/>
  <c r="R128" i="26"/>
  <c r="Q128" i="26"/>
  <c r="O128" i="26"/>
  <c r="L128" i="26"/>
  <c r="K128" i="26"/>
  <c r="J128" i="26"/>
  <c r="X126" i="26"/>
  <c r="U126" i="26"/>
  <c r="T126" i="26"/>
  <c r="R126" i="26"/>
  <c r="Q126" i="26"/>
  <c r="O126" i="26"/>
  <c r="D126" i="26"/>
  <c r="C126" i="26"/>
  <c r="X125" i="26"/>
  <c r="W125" i="26"/>
  <c r="U125" i="26"/>
  <c r="T125" i="26"/>
  <c r="R125" i="26"/>
  <c r="Q125" i="26"/>
  <c r="O125" i="26"/>
  <c r="M125" i="26"/>
  <c r="D125" i="26"/>
  <c r="C125" i="26"/>
  <c r="X124" i="26"/>
  <c r="W124" i="26"/>
  <c r="U124" i="26"/>
  <c r="T124" i="26"/>
  <c r="R124" i="26"/>
  <c r="O124" i="26"/>
  <c r="M124" i="26"/>
  <c r="D124" i="26"/>
  <c r="C124" i="26"/>
  <c r="X123" i="26"/>
  <c r="V123" i="26"/>
  <c r="U123" i="26"/>
  <c r="S123" i="26"/>
  <c r="R123" i="26"/>
  <c r="Q123" i="26"/>
  <c r="O123" i="26"/>
  <c r="D123" i="26"/>
  <c r="C123" i="26"/>
  <c r="X122" i="26"/>
  <c r="U122" i="26"/>
  <c r="T122" i="26"/>
  <c r="R122" i="26"/>
  <c r="Q122" i="26"/>
  <c r="O122" i="26"/>
  <c r="D122" i="26"/>
  <c r="C122" i="26"/>
  <c r="X121" i="26"/>
  <c r="W121" i="26"/>
  <c r="U121" i="26"/>
  <c r="T121" i="26"/>
  <c r="R121" i="26"/>
  <c r="Q121" i="26"/>
  <c r="O121" i="26"/>
  <c r="M121" i="26"/>
  <c r="D121" i="26"/>
  <c r="C121" i="26"/>
  <c r="X120" i="26"/>
  <c r="W120" i="26"/>
  <c r="U120" i="26"/>
  <c r="S120" i="26"/>
  <c r="R120" i="26"/>
  <c r="O120" i="26"/>
  <c r="M120" i="26"/>
  <c r="D120" i="26"/>
  <c r="C120" i="26"/>
  <c r="X119" i="26"/>
  <c r="U119" i="26"/>
  <c r="T119" i="26"/>
  <c r="R119" i="26"/>
  <c r="Q119" i="26"/>
  <c r="O119" i="26"/>
  <c r="M119" i="26"/>
  <c r="D119" i="26"/>
  <c r="C119" i="26"/>
  <c r="X118" i="26"/>
  <c r="U118" i="26"/>
  <c r="S118" i="26"/>
  <c r="T118" i="26"/>
  <c r="R118" i="26"/>
  <c r="Q118" i="26"/>
  <c r="O118" i="26"/>
  <c r="D118" i="26"/>
  <c r="C118" i="26"/>
  <c r="X117" i="26"/>
  <c r="W117" i="26"/>
  <c r="U117" i="26"/>
  <c r="T117" i="26"/>
  <c r="R117" i="26"/>
  <c r="Q117" i="26"/>
  <c r="O117" i="26"/>
  <c r="M117" i="26"/>
  <c r="D117" i="26"/>
  <c r="C117" i="26"/>
  <c r="X116" i="26"/>
  <c r="W116" i="26"/>
  <c r="U116" i="26"/>
  <c r="S116" i="26"/>
  <c r="R116" i="26"/>
  <c r="O116" i="26"/>
  <c r="M116" i="26"/>
  <c r="D116" i="26"/>
  <c r="C116" i="26"/>
  <c r="X115" i="26"/>
  <c r="V115" i="26"/>
  <c r="U115" i="26"/>
  <c r="S115" i="26"/>
  <c r="R115" i="26"/>
  <c r="Q115" i="26"/>
  <c r="O115" i="26"/>
  <c r="D115" i="26"/>
  <c r="C115" i="26"/>
  <c r="X114" i="26"/>
  <c r="U114" i="26"/>
  <c r="S114" i="26"/>
  <c r="R114" i="26"/>
  <c r="Q114" i="26"/>
  <c r="O114" i="26"/>
  <c r="D114" i="26"/>
  <c r="C114" i="26"/>
  <c r="X113" i="26"/>
  <c r="W113" i="26"/>
  <c r="U113" i="26"/>
  <c r="T113" i="26"/>
  <c r="R113" i="26"/>
  <c r="Q113" i="26"/>
  <c r="O113" i="26"/>
  <c r="M113" i="26"/>
  <c r="D113" i="26"/>
  <c r="C113" i="26"/>
  <c r="X112" i="26"/>
  <c r="W112" i="26"/>
  <c r="U112" i="26"/>
  <c r="T112" i="26"/>
  <c r="R112" i="26"/>
  <c r="O112" i="26"/>
  <c r="M112" i="26"/>
  <c r="D112" i="26"/>
  <c r="C112" i="26"/>
  <c r="D111" i="26"/>
  <c r="C111" i="26"/>
  <c r="D110" i="26"/>
  <c r="C110" i="26"/>
  <c r="D109" i="26"/>
  <c r="C109" i="26"/>
  <c r="D108" i="26"/>
  <c r="C108" i="26"/>
  <c r="D107" i="26"/>
  <c r="C107" i="26"/>
  <c r="D106" i="26"/>
  <c r="C106" i="26"/>
  <c r="D105" i="26"/>
  <c r="C105" i="26"/>
  <c r="D104" i="26"/>
  <c r="C104" i="26"/>
  <c r="D103" i="26"/>
  <c r="C103" i="26"/>
  <c r="D102" i="26"/>
  <c r="C102" i="26"/>
  <c r="D101" i="26"/>
  <c r="C101" i="26"/>
  <c r="D100" i="26"/>
  <c r="C100" i="26"/>
  <c r="D99" i="26"/>
  <c r="C99" i="26"/>
  <c r="D98" i="26"/>
  <c r="C98" i="26"/>
  <c r="D97" i="26"/>
  <c r="C97" i="26"/>
  <c r="D96" i="26"/>
  <c r="C96" i="26"/>
  <c r="D95" i="26"/>
  <c r="C95" i="26"/>
  <c r="D94" i="26"/>
  <c r="C94" i="26"/>
  <c r="D93" i="26"/>
  <c r="C93" i="26"/>
  <c r="D92" i="26"/>
  <c r="C92" i="26"/>
  <c r="D91" i="26"/>
  <c r="C91" i="26"/>
  <c r="D90" i="26"/>
  <c r="C90" i="26"/>
  <c r="D89" i="26"/>
  <c r="C89" i="26"/>
  <c r="D88" i="26"/>
  <c r="C88" i="26"/>
  <c r="D87" i="26"/>
  <c r="C87" i="26"/>
  <c r="D86" i="26"/>
  <c r="C86" i="26"/>
  <c r="D85" i="26"/>
  <c r="C85" i="26"/>
  <c r="D84" i="26"/>
  <c r="C84" i="26"/>
  <c r="D83" i="26"/>
  <c r="C83" i="26"/>
  <c r="D82" i="26"/>
  <c r="C82" i="26"/>
  <c r="D81" i="26"/>
  <c r="C81" i="26"/>
  <c r="D80" i="26"/>
  <c r="C80" i="26"/>
  <c r="D79" i="26"/>
  <c r="C79" i="26"/>
  <c r="C18" i="26"/>
  <c r="C17" i="26"/>
  <c r="C16" i="26"/>
  <c r="C15" i="26"/>
  <c r="C14" i="26"/>
  <c r="C13" i="26"/>
  <c r="C12" i="26"/>
  <c r="W11" i="26"/>
  <c r="S11" i="26"/>
  <c r="P11" i="26"/>
  <c r="M11" i="26"/>
  <c r="J11" i="26"/>
  <c r="J10" i="26"/>
  <c r="C11" i="26"/>
  <c r="X97" i="20"/>
  <c r="W97" i="20"/>
  <c r="X99" i="20"/>
  <c r="W99" i="20"/>
  <c r="V97" i="20"/>
  <c r="X98" i="20"/>
  <c r="V98" i="20"/>
  <c r="V99" i="20"/>
  <c r="X100" i="20"/>
  <c r="X96" i="20"/>
  <c r="U99" i="20"/>
  <c r="S99" i="20"/>
  <c r="U97" i="20"/>
  <c r="T97" i="20"/>
  <c r="U98" i="20"/>
  <c r="S98" i="20"/>
  <c r="T99" i="20"/>
  <c r="U100" i="20"/>
  <c r="S100" i="20"/>
  <c r="U96" i="20"/>
  <c r="R98" i="20"/>
  <c r="Q98" i="20"/>
  <c r="R97" i="20"/>
  <c r="P97" i="20"/>
  <c r="P98" i="20"/>
  <c r="R99" i="20"/>
  <c r="P99" i="20"/>
  <c r="R100" i="20"/>
  <c r="Q100" i="20"/>
  <c r="R96" i="20"/>
  <c r="M100" i="20"/>
  <c r="N100" i="20"/>
  <c r="O96" i="20"/>
  <c r="L97" i="20"/>
  <c r="L98" i="20"/>
  <c r="K98" i="20"/>
  <c r="L99" i="20"/>
  <c r="K99" i="20"/>
  <c r="L100" i="20"/>
  <c r="J100" i="20"/>
  <c r="J97" i="20"/>
  <c r="K97" i="20"/>
  <c r="J98" i="20"/>
  <c r="L96" i="20"/>
  <c r="AA100" i="20"/>
  <c r="E51" i="21"/>
  <c r="AA96" i="20"/>
  <c r="E47" i="21"/>
  <c r="P128" i="26"/>
  <c r="F30" i="22"/>
  <c r="C47" i="21"/>
  <c r="B47" i="21"/>
  <c r="S97" i="20"/>
  <c r="P100" i="20"/>
  <c r="T100" i="20"/>
  <c r="T98" i="20"/>
  <c r="Q99" i="20"/>
  <c r="Q97" i="20"/>
  <c r="W100" i="20"/>
  <c r="W98" i="20"/>
  <c r="V100" i="20"/>
  <c r="J130" i="26"/>
  <c r="S130" i="26"/>
  <c r="Q132" i="26"/>
  <c r="N11" i="26"/>
  <c r="N116" i="26"/>
  <c r="V112" i="26"/>
  <c r="V121" i="26"/>
  <c r="T123" i="26"/>
  <c r="N129" i="26"/>
  <c r="T116" i="26"/>
  <c r="P117" i="26"/>
  <c r="T115" i="26"/>
  <c r="N120" i="26"/>
  <c r="V120" i="26"/>
  <c r="V113" i="26"/>
  <c r="V116" i="26"/>
  <c r="S124" i="26"/>
  <c r="S126" i="26"/>
  <c r="T11" i="26"/>
  <c r="T10" i="26"/>
  <c r="N124" i="26"/>
  <c r="P125" i="26"/>
  <c r="S112" i="26"/>
  <c r="S113" i="26"/>
  <c r="W115" i="26"/>
  <c r="S121" i="26"/>
  <c r="S122" i="26"/>
  <c r="Q11" i="26"/>
  <c r="V11" i="26"/>
  <c r="Y11" i="26"/>
  <c r="U111" i="26"/>
  <c r="N112" i="26"/>
  <c r="T114" i="26"/>
  <c r="T120" i="26"/>
  <c r="W123" i="26"/>
  <c r="V124" i="26"/>
  <c r="S117" i="26"/>
  <c r="S119" i="26"/>
  <c r="S125" i="26"/>
  <c r="S128" i="26"/>
  <c r="P129" i="26"/>
  <c r="M131" i="26"/>
  <c r="Q127" i="26"/>
  <c r="P114" i="26"/>
  <c r="P118" i="26"/>
  <c r="N119" i="26"/>
  <c r="P122" i="26"/>
  <c r="P126" i="26"/>
  <c r="R127" i="26"/>
  <c r="T131" i="26"/>
  <c r="P113" i="26"/>
  <c r="V117" i="26"/>
  <c r="X111" i="26"/>
  <c r="P121" i="26"/>
  <c r="V125" i="26"/>
  <c r="K11" i="26"/>
  <c r="U10" i="26"/>
  <c r="M118" i="26"/>
  <c r="N118" i="26"/>
  <c r="M126" i="26"/>
  <c r="N126" i="26"/>
  <c r="K131" i="26"/>
  <c r="J131" i="26"/>
  <c r="Y131" i="26"/>
  <c r="L127" i="26"/>
  <c r="O10" i="26"/>
  <c r="V119" i="26"/>
  <c r="W119" i="26"/>
  <c r="L10" i="26"/>
  <c r="R10" i="26"/>
  <c r="O111" i="26"/>
  <c r="M130" i="26"/>
  <c r="N130" i="26"/>
  <c r="Z130" i="26"/>
  <c r="M115" i="26"/>
  <c r="N115" i="26"/>
  <c r="M123" i="26"/>
  <c r="N123" i="26"/>
  <c r="W128" i="26"/>
  <c r="AA128" i="26"/>
  <c r="V128" i="26"/>
  <c r="X127" i="26"/>
  <c r="W114" i="26"/>
  <c r="V114" i="26"/>
  <c r="Q116" i="26"/>
  <c r="P116" i="26"/>
  <c r="W122" i="26"/>
  <c r="V122" i="26"/>
  <c r="Q124" i="26"/>
  <c r="P124" i="26"/>
  <c r="S129" i="26"/>
  <c r="T129" i="26"/>
  <c r="U127" i="26"/>
  <c r="M114" i="26"/>
  <c r="N114" i="26"/>
  <c r="W118" i="26"/>
  <c r="V118" i="26"/>
  <c r="M122" i="26"/>
  <c r="N122" i="26"/>
  <c r="W126" i="26"/>
  <c r="V126" i="26"/>
  <c r="M128" i="26"/>
  <c r="O127" i="26"/>
  <c r="N128" i="26"/>
  <c r="K129" i="26"/>
  <c r="J129" i="26"/>
  <c r="AA130" i="26"/>
  <c r="V130" i="26"/>
  <c r="AA132" i="26"/>
  <c r="W132" i="26"/>
  <c r="V132" i="26"/>
  <c r="Q112" i="26"/>
  <c r="P112" i="26"/>
  <c r="R111" i="26"/>
  <c r="Q120" i="26"/>
  <c r="P120" i="26"/>
  <c r="K132" i="26"/>
  <c r="J132" i="26"/>
  <c r="N113" i="26"/>
  <c r="P115" i="26"/>
  <c r="N117" i="26"/>
  <c r="P119" i="26"/>
  <c r="N121" i="26"/>
  <c r="P123" i="26"/>
  <c r="N125" i="26"/>
  <c r="AA129" i="26"/>
  <c r="W129" i="26"/>
  <c r="P130" i="26"/>
  <c r="T132" i="26"/>
  <c r="AA131" i="26"/>
  <c r="W131" i="26"/>
  <c r="K100" i="20"/>
  <c r="J99" i="20"/>
  <c r="Y100" i="20"/>
  <c r="D51" i="21"/>
  <c r="S127" i="26"/>
  <c r="Z100" i="20"/>
  <c r="T111" i="26"/>
  <c r="S111" i="26"/>
  <c r="N127" i="26"/>
  <c r="P10" i="26"/>
  <c r="M127" i="26"/>
  <c r="T127" i="26"/>
  <c r="J127" i="26"/>
  <c r="P127" i="26"/>
  <c r="N111" i="26"/>
  <c r="Q111" i="26"/>
  <c r="Y129" i="26"/>
  <c r="V10" i="26"/>
  <c r="W111" i="26"/>
  <c r="K127" i="26"/>
  <c r="V111" i="26"/>
  <c r="N10" i="26"/>
  <c r="Q10" i="26"/>
  <c r="Y132" i="26"/>
  <c r="M111" i="26"/>
  <c r="W10" i="26"/>
  <c r="Z131" i="26"/>
  <c r="Z132" i="26"/>
  <c r="Z129" i="26"/>
  <c r="S10" i="26"/>
  <c r="AA127" i="26"/>
  <c r="W127" i="26"/>
  <c r="Z128" i="26"/>
  <c r="P111" i="26"/>
  <c r="Y130" i="26"/>
  <c r="Y128" i="26"/>
  <c r="V127" i="26"/>
  <c r="M10" i="26"/>
  <c r="K10" i="26"/>
  <c r="Z11" i="26"/>
  <c r="F65" i="18"/>
  <c r="Y10" i="26"/>
  <c r="Z10" i="26"/>
  <c r="Z127" i="26"/>
  <c r="Y127" i="26"/>
  <c r="R15" i="20"/>
  <c r="O15" i="20"/>
  <c r="O12" i="20"/>
  <c r="H11" i="11"/>
  <c r="H9" i="11"/>
  <c r="D10" i="11"/>
  <c r="D8" i="11"/>
  <c r="V31" i="20"/>
  <c r="W31" i="20"/>
  <c r="K13" i="12"/>
  <c r="I8" i="11"/>
  <c r="G23" i="16"/>
  <c r="J25" i="16"/>
  <c r="M25" i="16"/>
  <c r="P25" i="16"/>
  <c r="J26" i="16"/>
  <c r="M26" i="16"/>
  <c r="G28" i="16"/>
  <c r="G29" i="16"/>
  <c r="J29" i="16"/>
  <c r="M29" i="16"/>
  <c r="D32" i="16"/>
  <c r="M32" i="16"/>
  <c r="J34" i="16"/>
  <c r="G38" i="16"/>
  <c r="G39" i="16"/>
  <c r="G40" i="16"/>
  <c r="J40" i="16"/>
  <c r="J41" i="16"/>
  <c r="B42" i="16"/>
  <c r="C42" i="16"/>
  <c r="D42" i="16"/>
  <c r="E42" i="16"/>
  <c r="F42" i="16"/>
  <c r="G42" i="16"/>
  <c r="J43" i="16"/>
  <c r="M43" i="16"/>
  <c r="P43" i="16"/>
  <c r="M44" i="16"/>
  <c r="P44" i="16"/>
  <c r="J45" i="16"/>
  <c r="M45" i="16"/>
  <c r="P45" i="16"/>
  <c r="G46" i="16"/>
  <c r="O11" i="20"/>
  <c r="G12" i="16"/>
  <c r="X32" i="20"/>
  <c r="P35" i="16"/>
  <c r="X33" i="20"/>
  <c r="P36" i="16"/>
  <c r="X34" i="20"/>
  <c r="P37" i="16"/>
  <c r="X35" i="20"/>
  <c r="P38" i="16"/>
  <c r="X36" i="20"/>
  <c r="P39" i="16"/>
  <c r="U36" i="20"/>
  <c r="M39" i="16"/>
  <c r="U35" i="20"/>
  <c r="M38" i="16"/>
  <c r="U34" i="20"/>
  <c r="M37" i="16"/>
  <c r="U33" i="20"/>
  <c r="M36" i="16"/>
  <c r="U32" i="20"/>
  <c r="M35" i="16"/>
  <c r="N36" i="20"/>
  <c r="F39" i="16"/>
  <c r="M36" i="20"/>
  <c r="E39" i="16"/>
  <c r="P40" i="16"/>
  <c r="N22" i="8"/>
  <c r="Q20" i="8"/>
  <c r="P20" i="8"/>
  <c r="O18" i="8"/>
  <c r="O19" i="8"/>
  <c r="R43" i="26"/>
  <c r="Q18" i="8"/>
  <c r="X42" i="26"/>
  <c r="P18" i="8"/>
  <c r="U42" i="26"/>
  <c r="R42" i="26"/>
  <c r="N17" i="8"/>
  <c r="O41" i="26"/>
  <c r="N16" i="8"/>
  <c r="O40" i="26"/>
  <c r="I21" i="8"/>
  <c r="I19" i="8"/>
  <c r="F49" i="18"/>
  <c r="F26" i="22"/>
  <c r="O46" i="26"/>
  <c r="T42" i="26"/>
  <c r="S42" i="26"/>
  <c r="Q21" i="8"/>
  <c r="X45" i="26"/>
  <c r="X44" i="26"/>
  <c r="N40" i="26"/>
  <c r="M40" i="26"/>
  <c r="V42" i="26"/>
  <c r="W42" i="26"/>
  <c r="M41" i="26"/>
  <c r="N41" i="26"/>
  <c r="Q43" i="26"/>
  <c r="P43" i="26"/>
  <c r="Q42" i="26"/>
  <c r="P42" i="26"/>
  <c r="P21" i="8"/>
  <c r="U45" i="26"/>
  <c r="U44" i="26"/>
  <c r="O29" i="20"/>
  <c r="G32" i="16"/>
  <c r="O22" i="8"/>
  <c r="Q19" i="8"/>
  <c r="X43" i="26"/>
  <c r="P19" i="8"/>
  <c r="W36" i="20"/>
  <c r="O39" i="16"/>
  <c r="Q31" i="20"/>
  <c r="P31" i="20"/>
  <c r="P34" i="16"/>
  <c r="T36" i="20"/>
  <c r="L39" i="16"/>
  <c r="V37" i="20"/>
  <c r="S36" i="20"/>
  <c r="V36" i="20"/>
  <c r="U43" i="26"/>
  <c r="T44" i="26"/>
  <c r="S44" i="26"/>
  <c r="V44" i="26"/>
  <c r="W44" i="26"/>
  <c r="M46" i="26"/>
  <c r="N46" i="26"/>
  <c r="V43" i="26"/>
  <c r="W43" i="26"/>
  <c r="T45" i="26"/>
  <c r="S45" i="26"/>
  <c r="W45" i="26"/>
  <c r="V45" i="26"/>
  <c r="P22" i="8"/>
  <c r="R46" i="26"/>
  <c r="R30" i="20"/>
  <c r="J33" i="16"/>
  <c r="K39" i="16"/>
  <c r="N39" i="16"/>
  <c r="N40" i="16"/>
  <c r="Q22" i="8"/>
  <c r="U46" i="26"/>
  <c r="S43" i="26"/>
  <c r="T43" i="26"/>
  <c r="Q46" i="26"/>
  <c r="P46" i="26"/>
  <c r="U30" i="20"/>
  <c r="M33" i="16"/>
  <c r="M104" i="16"/>
  <c r="O99" i="20"/>
  <c r="D104" i="16"/>
  <c r="P103" i="16"/>
  <c r="O98" i="20"/>
  <c r="J102" i="16"/>
  <c r="O97" i="20"/>
  <c r="X94" i="20"/>
  <c r="U94" i="20"/>
  <c r="M98" i="16"/>
  <c r="R94" i="20"/>
  <c r="Q94" i="20"/>
  <c r="I98" i="16"/>
  <c r="O94" i="20"/>
  <c r="G98" i="16"/>
  <c r="D94" i="20"/>
  <c r="C94" i="20"/>
  <c r="X93" i="20"/>
  <c r="P97" i="16"/>
  <c r="U93" i="20"/>
  <c r="M97" i="16"/>
  <c r="R93" i="20"/>
  <c r="J97" i="16"/>
  <c r="O93" i="20"/>
  <c r="D93" i="20"/>
  <c r="C93" i="20"/>
  <c r="X92" i="20"/>
  <c r="P96" i="16"/>
  <c r="U92" i="20"/>
  <c r="M96" i="16"/>
  <c r="R92" i="20"/>
  <c r="O92" i="20"/>
  <c r="D92" i="20"/>
  <c r="C92" i="20"/>
  <c r="X91" i="20"/>
  <c r="U91" i="20"/>
  <c r="M95" i="16"/>
  <c r="R91" i="20"/>
  <c r="O91" i="20"/>
  <c r="G95" i="16"/>
  <c r="D91" i="20"/>
  <c r="C91" i="20"/>
  <c r="X90" i="20"/>
  <c r="U90" i="20"/>
  <c r="M94" i="16"/>
  <c r="R90" i="20"/>
  <c r="O90" i="20"/>
  <c r="D90" i="20"/>
  <c r="C90" i="20"/>
  <c r="X89" i="20"/>
  <c r="P93" i="16"/>
  <c r="U89" i="20"/>
  <c r="R89" i="20"/>
  <c r="O89" i="20"/>
  <c r="D89" i="20"/>
  <c r="C89" i="20"/>
  <c r="X88" i="20"/>
  <c r="U88" i="20"/>
  <c r="R88" i="20"/>
  <c r="O88" i="20"/>
  <c r="D88" i="20"/>
  <c r="C88" i="20"/>
  <c r="X87" i="20"/>
  <c r="U87" i="20"/>
  <c r="M91" i="16"/>
  <c r="R87" i="20"/>
  <c r="O87" i="20"/>
  <c r="G91" i="16"/>
  <c r="D87" i="20"/>
  <c r="C87" i="20"/>
  <c r="X86" i="20"/>
  <c r="U86" i="20"/>
  <c r="R86" i="20"/>
  <c r="O86" i="20"/>
  <c r="G90" i="16"/>
  <c r="D86" i="20"/>
  <c r="C86" i="20"/>
  <c r="X85" i="20"/>
  <c r="P89" i="16"/>
  <c r="U85" i="20"/>
  <c r="R85" i="20"/>
  <c r="J89" i="16"/>
  <c r="O85" i="20"/>
  <c r="D85" i="20"/>
  <c r="C85" i="20"/>
  <c r="X84" i="20"/>
  <c r="P88" i="16"/>
  <c r="U84" i="20"/>
  <c r="R84" i="20"/>
  <c r="O84" i="20"/>
  <c r="D84" i="20"/>
  <c r="C84" i="20"/>
  <c r="X83" i="20"/>
  <c r="P87" i="16"/>
  <c r="U83" i="20"/>
  <c r="M87" i="16"/>
  <c r="R83" i="20"/>
  <c r="J87" i="16"/>
  <c r="O83" i="20"/>
  <c r="G87" i="16"/>
  <c r="D83" i="20"/>
  <c r="C83" i="20"/>
  <c r="X82" i="20"/>
  <c r="P86" i="16"/>
  <c r="U82" i="20"/>
  <c r="R82" i="20"/>
  <c r="J86" i="16"/>
  <c r="O82" i="20"/>
  <c r="D82" i="20"/>
  <c r="C82" i="20"/>
  <c r="X81" i="20"/>
  <c r="P85" i="16"/>
  <c r="U81" i="20"/>
  <c r="M85" i="16"/>
  <c r="R81" i="20"/>
  <c r="O81" i="20"/>
  <c r="G85" i="16"/>
  <c r="D81" i="20"/>
  <c r="C81" i="20"/>
  <c r="X80" i="20"/>
  <c r="U80" i="20"/>
  <c r="R80" i="20"/>
  <c r="O80" i="20"/>
  <c r="G84" i="16"/>
  <c r="D80" i="20"/>
  <c r="C80" i="20"/>
  <c r="D79" i="20"/>
  <c r="C79" i="20"/>
  <c r="D78" i="20"/>
  <c r="C78" i="20"/>
  <c r="D77" i="20"/>
  <c r="C77" i="20"/>
  <c r="D76" i="20"/>
  <c r="C76" i="20"/>
  <c r="D75" i="20"/>
  <c r="C75" i="20"/>
  <c r="D74" i="20"/>
  <c r="C74" i="20"/>
  <c r="D73" i="20"/>
  <c r="C73" i="20"/>
  <c r="D72" i="20"/>
  <c r="C72" i="20"/>
  <c r="D71" i="20"/>
  <c r="C71" i="20"/>
  <c r="D70" i="20"/>
  <c r="C70" i="20"/>
  <c r="D69" i="20"/>
  <c r="C69" i="20"/>
  <c r="D68" i="20"/>
  <c r="C68" i="20"/>
  <c r="D67" i="20"/>
  <c r="C67" i="20"/>
  <c r="D66" i="20"/>
  <c r="C66" i="20"/>
  <c r="D65" i="20"/>
  <c r="C65" i="20"/>
  <c r="D64" i="20"/>
  <c r="C64" i="20"/>
  <c r="D63" i="20"/>
  <c r="C63" i="20"/>
  <c r="D62" i="20"/>
  <c r="C62" i="20"/>
  <c r="D61" i="20"/>
  <c r="C61" i="20"/>
  <c r="D60" i="20"/>
  <c r="C60" i="20"/>
  <c r="D59" i="20"/>
  <c r="C59" i="20"/>
  <c r="D58" i="20"/>
  <c r="C58" i="20"/>
  <c r="D57" i="20"/>
  <c r="C57" i="20"/>
  <c r="D56" i="20"/>
  <c r="C56" i="20"/>
  <c r="D55" i="20"/>
  <c r="C55" i="20"/>
  <c r="D54" i="20"/>
  <c r="C54" i="20"/>
  <c r="D53" i="20"/>
  <c r="C53" i="20"/>
  <c r="D52" i="20"/>
  <c r="C52" i="20"/>
  <c r="D51" i="20"/>
  <c r="C51" i="20"/>
  <c r="D50" i="20"/>
  <c r="C50" i="20"/>
  <c r="D49" i="20"/>
  <c r="C49" i="20"/>
  <c r="D48" i="20"/>
  <c r="C48" i="20"/>
  <c r="D47" i="20"/>
  <c r="C47" i="20"/>
  <c r="M43" i="20"/>
  <c r="E46" i="16"/>
  <c r="E43" i="20"/>
  <c r="I42" i="20"/>
  <c r="H42" i="20"/>
  <c r="G42" i="20"/>
  <c r="F42" i="20"/>
  <c r="E42" i="20"/>
  <c r="V41" i="20"/>
  <c r="S41" i="20"/>
  <c r="K44" i="16"/>
  <c r="G41" i="20"/>
  <c r="F41" i="20"/>
  <c r="E41" i="20"/>
  <c r="I40" i="20"/>
  <c r="H40" i="20"/>
  <c r="G40" i="20"/>
  <c r="F40" i="20"/>
  <c r="E40" i="20"/>
  <c r="P38" i="20"/>
  <c r="F38" i="20"/>
  <c r="E38" i="20"/>
  <c r="M37" i="20"/>
  <c r="E40" i="16"/>
  <c r="I37" i="20"/>
  <c r="H37" i="20"/>
  <c r="E37" i="20"/>
  <c r="H35" i="20"/>
  <c r="G35" i="20"/>
  <c r="E35" i="20"/>
  <c r="G34" i="20"/>
  <c r="F34" i="20"/>
  <c r="E34" i="20"/>
  <c r="G33" i="20"/>
  <c r="F33" i="20"/>
  <c r="E33" i="20"/>
  <c r="G32" i="20"/>
  <c r="F32" i="20"/>
  <c r="E32" i="20"/>
  <c r="I31" i="20"/>
  <c r="F31" i="20"/>
  <c r="E31" i="20"/>
  <c r="I30" i="20"/>
  <c r="G30" i="20"/>
  <c r="F30" i="20"/>
  <c r="E30" i="20"/>
  <c r="T29" i="20"/>
  <c r="L32" i="16"/>
  <c r="J29" i="20"/>
  <c r="I29" i="20"/>
  <c r="G29" i="20"/>
  <c r="E29" i="20"/>
  <c r="T27" i="20"/>
  <c r="L29" i="16"/>
  <c r="S27" i="20"/>
  <c r="K29" i="16"/>
  <c r="Q27" i="20"/>
  <c r="I29" i="16"/>
  <c r="P27" i="20"/>
  <c r="H29" i="16"/>
  <c r="H27" i="20"/>
  <c r="E27" i="20"/>
  <c r="M26" i="20"/>
  <c r="E28" i="16"/>
  <c r="N26" i="20"/>
  <c r="F28" i="16"/>
  <c r="E26" i="20"/>
  <c r="I25" i="20"/>
  <c r="H25" i="20"/>
  <c r="G25" i="20"/>
  <c r="F25" i="20"/>
  <c r="E25" i="20"/>
  <c r="T24" i="20"/>
  <c r="L26" i="16"/>
  <c r="I24" i="20"/>
  <c r="E24" i="20"/>
  <c r="V23" i="20"/>
  <c r="N25" i="16"/>
  <c r="W23" i="20"/>
  <c r="O25" i="16"/>
  <c r="T23" i="20"/>
  <c r="L25" i="16"/>
  <c r="S23" i="20"/>
  <c r="K25" i="16"/>
  <c r="Q23" i="20"/>
  <c r="I25" i="16"/>
  <c r="F23" i="20"/>
  <c r="E23" i="20"/>
  <c r="I22" i="20"/>
  <c r="H22" i="20"/>
  <c r="G22" i="20"/>
  <c r="F22" i="20"/>
  <c r="E22" i="20"/>
  <c r="N21" i="20"/>
  <c r="F23" i="16"/>
  <c r="I21" i="20"/>
  <c r="E21" i="20"/>
  <c r="I20" i="20"/>
  <c r="H20" i="20"/>
  <c r="E20" i="20"/>
  <c r="X18" i="20"/>
  <c r="U18" i="20"/>
  <c r="M19" i="16"/>
  <c r="R18" i="20"/>
  <c r="O18" i="20"/>
  <c r="L18" i="20"/>
  <c r="C18" i="20"/>
  <c r="X17" i="20"/>
  <c r="P18" i="16"/>
  <c r="U17" i="20"/>
  <c r="R17" i="20"/>
  <c r="O17" i="20"/>
  <c r="M17" i="20"/>
  <c r="E18" i="16"/>
  <c r="L17" i="20"/>
  <c r="D18" i="16"/>
  <c r="C17" i="20"/>
  <c r="X16" i="20"/>
  <c r="U16" i="20"/>
  <c r="M17" i="16"/>
  <c r="R16" i="20"/>
  <c r="O16" i="20"/>
  <c r="G17" i="16"/>
  <c r="L16" i="20"/>
  <c r="C16" i="20"/>
  <c r="X15" i="20"/>
  <c r="U15" i="20"/>
  <c r="J16" i="16"/>
  <c r="L15" i="20"/>
  <c r="C15" i="20"/>
  <c r="X14" i="20"/>
  <c r="U14" i="20"/>
  <c r="M15" i="16"/>
  <c r="R14" i="20"/>
  <c r="O14" i="20"/>
  <c r="G15" i="16"/>
  <c r="L14" i="20"/>
  <c r="C14" i="20"/>
  <c r="X13" i="20"/>
  <c r="P14" i="16"/>
  <c r="U13" i="20"/>
  <c r="M14" i="16"/>
  <c r="R13" i="20"/>
  <c r="O13" i="20"/>
  <c r="L13" i="20"/>
  <c r="D14" i="16"/>
  <c r="C13" i="20"/>
  <c r="X12" i="20"/>
  <c r="P13" i="16"/>
  <c r="U12" i="20"/>
  <c r="R12" i="20"/>
  <c r="L12" i="20"/>
  <c r="C12" i="20"/>
  <c r="X11" i="20"/>
  <c r="U11" i="20"/>
  <c r="R11" i="20"/>
  <c r="L11" i="20"/>
  <c r="C11" i="20"/>
  <c r="T46" i="26"/>
  <c r="S46" i="26"/>
  <c r="X30" i="20"/>
  <c r="P33" i="16"/>
  <c r="X46" i="26"/>
  <c r="AA98" i="20"/>
  <c r="N98" i="20"/>
  <c r="Z98" i="20"/>
  <c r="M98" i="20"/>
  <c r="Y98" i="20"/>
  <c r="D49" i="21"/>
  <c r="G104" i="16"/>
  <c r="M99" i="20"/>
  <c r="Y99" i="20"/>
  <c r="D50" i="21"/>
  <c r="N99" i="20"/>
  <c r="Z99" i="20"/>
  <c r="AA99" i="20"/>
  <c r="G102" i="16"/>
  <c r="AA97" i="20"/>
  <c r="M97" i="20"/>
  <c r="Y97" i="20"/>
  <c r="D48" i="21"/>
  <c r="N97" i="20"/>
  <c r="Z97" i="20"/>
  <c r="B32" i="16"/>
  <c r="M12" i="16"/>
  <c r="U10" i="20"/>
  <c r="G13" i="16"/>
  <c r="O10" i="20"/>
  <c r="T15" i="20"/>
  <c r="L16" i="16"/>
  <c r="M16" i="16"/>
  <c r="Q17" i="20"/>
  <c r="I18" i="16"/>
  <c r="J18" i="16"/>
  <c r="J18" i="20"/>
  <c r="D19" i="16"/>
  <c r="W18" i="20"/>
  <c r="O19" i="16"/>
  <c r="P19" i="16"/>
  <c r="P12" i="16"/>
  <c r="X10" i="20"/>
  <c r="P12" i="20"/>
  <c r="H13" i="16"/>
  <c r="J13" i="16"/>
  <c r="K15" i="20"/>
  <c r="C16" i="16"/>
  <c r="D16" i="16"/>
  <c r="V15" i="20"/>
  <c r="N16" i="16"/>
  <c r="P16" i="16"/>
  <c r="Q16" i="20"/>
  <c r="I17" i="16"/>
  <c r="J17" i="16"/>
  <c r="S17" i="20"/>
  <c r="K18" i="16"/>
  <c r="M18" i="16"/>
  <c r="N18" i="20"/>
  <c r="F19" i="16"/>
  <c r="G19" i="16"/>
  <c r="D12" i="16"/>
  <c r="L10" i="20"/>
  <c r="S12" i="20"/>
  <c r="K13" i="16"/>
  <c r="M13" i="16"/>
  <c r="M13" i="20"/>
  <c r="E14" i="16"/>
  <c r="G14" i="16"/>
  <c r="M15" i="20"/>
  <c r="E16" i="16"/>
  <c r="G16" i="16"/>
  <c r="P18" i="20"/>
  <c r="H19" i="16"/>
  <c r="J19" i="16"/>
  <c r="J12" i="16"/>
  <c r="R10" i="20"/>
  <c r="J12" i="20"/>
  <c r="D13" i="16"/>
  <c r="Q13" i="20"/>
  <c r="I14" i="16"/>
  <c r="J14" i="16"/>
  <c r="J16" i="20"/>
  <c r="D17" i="16"/>
  <c r="V16" i="20"/>
  <c r="N17" i="16"/>
  <c r="P17" i="16"/>
  <c r="N17" i="20"/>
  <c r="F18" i="16"/>
  <c r="G18" i="16"/>
  <c r="N84" i="20"/>
  <c r="F88" i="16"/>
  <c r="G88" i="16"/>
  <c r="N88" i="20"/>
  <c r="F92" i="16"/>
  <c r="G92" i="16"/>
  <c r="S89" i="20"/>
  <c r="K93" i="16"/>
  <c r="M93" i="16"/>
  <c r="Q80" i="20"/>
  <c r="I84" i="16"/>
  <c r="J84" i="16"/>
  <c r="Q88" i="20"/>
  <c r="I92" i="16"/>
  <c r="J92" i="16"/>
  <c r="P90" i="20"/>
  <c r="H94" i="16"/>
  <c r="J94" i="16"/>
  <c r="Q92" i="20"/>
  <c r="I96" i="16"/>
  <c r="J96" i="16"/>
  <c r="S80" i="20"/>
  <c r="K84" i="16"/>
  <c r="M84" i="16"/>
  <c r="S82" i="20"/>
  <c r="K86" i="16"/>
  <c r="M86" i="16"/>
  <c r="S84" i="20"/>
  <c r="K88" i="16"/>
  <c r="M88" i="16"/>
  <c r="N85" i="20"/>
  <c r="F89" i="16"/>
  <c r="G89" i="16"/>
  <c r="S86" i="20"/>
  <c r="K90" i="16"/>
  <c r="M90" i="16"/>
  <c r="S88" i="20"/>
  <c r="K92" i="16"/>
  <c r="M92" i="16"/>
  <c r="N89" i="20"/>
  <c r="F93" i="16"/>
  <c r="G93" i="16"/>
  <c r="N93" i="20"/>
  <c r="F97" i="16"/>
  <c r="G97" i="16"/>
  <c r="P94" i="20"/>
  <c r="H98" i="16"/>
  <c r="J98" i="16"/>
  <c r="N82" i="20"/>
  <c r="F86" i="16"/>
  <c r="G86" i="16"/>
  <c r="S85" i="20"/>
  <c r="K89" i="16"/>
  <c r="M89" i="16"/>
  <c r="N90" i="20"/>
  <c r="F94" i="16"/>
  <c r="G94" i="16"/>
  <c r="N92" i="20"/>
  <c r="F96" i="16"/>
  <c r="G96" i="16"/>
  <c r="W94" i="20"/>
  <c r="O98" i="16"/>
  <c r="P98" i="16"/>
  <c r="Q84" i="20"/>
  <c r="I88" i="16"/>
  <c r="J88" i="16"/>
  <c r="P86" i="20"/>
  <c r="H90" i="16"/>
  <c r="J90" i="16"/>
  <c r="W87" i="20"/>
  <c r="O91" i="16"/>
  <c r="P91" i="16"/>
  <c r="W91" i="20"/>
  <c r="O95" i="16"/>
  <c r="P95" i="16"/>
  <c r="W80" i="20"/>
  <c r="O84" i="16"/>
  <c r="P84" i="16"/>
  <c r="P81" i="20"/>
  <c r="H85" i="16"/>
  <c r="J85" i="16"/>
  <c r="W86" i="20"/>
  <c r="O90" i="16"/>
  <c r="P90" i="16"/>
  <c r="Q87" i="20"/>
  <c r="I91" i="16"/>
  <c r="J91" i="16"/>
  <c r="W88" i="20"/>
  <c r="O92" i="16"/>
  <c r="P92" i="16"/>
  <c r="Q89" i="20"/>
  <c r="I93" i="16"/>
  <c r="J93" i="16"/>
  <c r="W90" i="20"/>
  <c r="O94" i="16"/>
  <c r="P94" i="16"/>
  <c r="Q91" i="20"/>
  <c r="I95" i="16"/>
  <c r="J95" i="16"/>
  <c r="J14" i="20"/>
  <c r="D15" i="16"/>
  <c r="W14" i="20"/>
  <c r="O15" i="16"/>
  <c r="P11" i="16"/>
  <c r="P15" i="16"/>
  <c r="P14" i="20"/>
  <c r="H15" i="16"/>
  <c r="J15" i="16"/>
  <c r="O102" i="16"/>
  <c r="P102" i="16"/>
  <c r="G103" i="16"/>
  <c r="K102" i="16"/>
  <c r="M102" i="16"/>
  <c r="K103" i="16"/>
  <c r="M103" i="16"/>
  <c r="I104" i="16"/>
  <c r="J104" i="16"/>
  <c r="H41" i="16"/>
  <c r="N44" i="16"/>
  <c r="M11" i="20"/>
  <c r="T11" i="20"/>
  <c r="M11" i="16"/>
  <c r="K11" i="20"/>
  <c r="W11" i="20"/>
  <c r="W16" i="20"/>
  <c r="O17" i="16"/>
  <c r="K12" i="20"/>
  <c r="C13" i="16"/>
  <c r="T12" i="20"/>
  <c r="L13" i="16"/>
  <c r="W15" i="20"/>
  <c r="O16" i="16"/>
  <c r="M92" i="20"/>
  <c r="E96" i="16"/>
  <c r="L102" i="16"/>
  <c r="J11" i="20"/>
  <c r="T80" i="20"/>
  <c r="L84" i="16"/>
  <c r="P89" i="20"/>
  <c r="H93" i="16"/>
  <c r="Q12" i="20"/>
  <c r="I13" i="16"/>
  <c r="K14" i="20"/>
  <c r="C15" i="16"/>
  <c r="K18" i="20"/>
  <c r="C19" i="16"/>
  <c r="T41" i="20"/>
  <c r="L44" i="16"/>
  <c r="M84" i="20"/>
  <c r="E88" i="16"/>
  <c r="P17" i="20"/>
  <c r="H18" i="16"/>
  <c r="V18" i="20"/>
  <c r="N19" i="16"/>
  <c r="P84" i="20"/>
  <c r="H88" i="16"/>
  <c r="M90" i="20"/>
  <c r="E94" i="16"/>
  <c r="P92" i="20"/>
  <c r="H96" i="16"/>
  <c r="N102" i="16"/>
  <c r="L103" i="16"/>
  <c r="H104" i="16"/>
  <c r="N13" i="20"/>
  <c r="F14" i="16"/>
  <c r="S15" i="20"/>
  <c r="K16" i="16"/>
  <c r="Q18" i="20"/>
  <c r="I19" i="16"/>
  <c r="K29" i="20"/>
  <c r="C32" i="16"/>
  <c r="M93" i="20"/>
  <c r="E97" i="16"/>
  <c r="L104" i="16"/>
  <c r="K104" i="16"/>
  <c r="S13" i="20"/>
  <c r="K14" i="16"/>
  <c r="T13" i="20"/>
  <c r="L14" i="16"/>
  <c r="V12" i="20"/>
  <c r="N13" i="16"/>
  <c r="W12" i="20"/>
  <c r="O13" i="16"/>
  <c r="N14" i="20"/>
  <c r="F15" i="16"/>
  <c r="M14" i="20"/>
  <c r="E15" i="16"/>
  <c r="T16" i="20"/>
  <c r="L17" i="16"/>
  <c r="S16" i="20"/>
  <c r="K17" i="16"/>
  <c r="W84" i="20"/>
  <c r="O88" i="16"/>
  <c r="V84" i="20"/>
  <c r="N88" i="16"/>
  <c r="S90" i="20"/>
  <c r="K94" i="16"/>
  <c r="T90" i="20"/>
  <c r="L94" i="16"/>
  <c r="N86" i="20"/>
  <c r="F90" i="16"/>
  <c r="M86" i="20"/>
  <c r="E90" i="16"/>
  <c r="V11" i="20"/>
  <c r="AA12" i="20"/>
  <c r="N15" i="20"/>
  <c r="F16" i="16"/>
  <c r="Q38" i="20"/>
  <c r="I41" i="16"/>
  <c r="N43" i="20"/>
  <c r="F46" i="16"/>
  <c r="P88" i="20"/>
  <c r="H92" i="16"/>
  <c r="V88" i="20"/>
  <c r="N92" i="16"/>
  <c r="V94" i="20"/>
  <c r="N98" i="16"/>
  <c r="W41" i="20"/>
  <c r="O44" i="16"/>
  <c r="T86" i="20"/>
  <c r="L90" i="16"/>
  <c r="W92" i="20"/>
  <c r="O96" i="16"/>
  <c r="V92" i="20"/>
  <c r="N96" i="16"/>
  <c r="Q93" i="20"/>
  <c r="I97" i="16"/>
  <c r="P93" i="20"/>
  <c r="H97" i="16"/>
  <c r="N80" i="20"/>
  <c r="F84" i="16"/>
  <c r="M80" i="20"/>
  <c r="E84" i="16"/>
  <c r="S11" i="20"/>
  <c r="P16" i="20"/>
  <c r="H17" i="16"/>
  <c r="M18" i="20"/>
  <c r="E19" i="16"/>
  <c r="P23" i="20"/>
  <c r="H25" i="16"/>
  <c r="S24" i="20"/>
  <c r="K26" i="16"/>
  <c r="N81" i="20"/>
  <c r="F85" i="16"/>
  <c r="M81" i="20"/>
  <c r="E85" i="16"/>
  <c r="W83" i="20"/>
  <c r="O87" i="16"/>
  <c r="V83" i="20"/>
  <c r="N87" i="16"/>
  <c r="N91" i="20"/>
  <c r="F95" i="16"/>
  <c r="M91" i="20"/>
  <c r="E95" i="16"/>
  <c r="S94" i="20"/>
  <c r="K98" i="16"/>
  <c r="T94" i="20"/>
  <c r="L98" i="16"/>
  <c r="S81" i="20"/>
  <c r="K85" i="16"/>
  <c r="T81" i="20"/>
  <c r="L85" i="16"/>
  <c r="N87" i="20"/>
  <c r="F91" i="16"/>
  <c r="M87" i="20"/>
  <c r="E91" i="16"/>
  <c r="P13" i="20"/>
  <c r="H14" i="16"/>
  <c r="AA14" i="20"/>
  <c r="V14" i="20"/>
  <c r="N15" i="16"/>
  <c r="J15" i="20"/>
  <c r="AA16" i="20"/>
  <c r="M21" i="20"/>
  <c r="E23" i="16"/>
  <c r="S29" i="20"/>
  <c r="K32" i="16"/>
  <c r="N11" i="20"/>
  <c r="Q14" i="20"/>
  <c r="I15" i="16"/>
  <c r="K16" i="20"/>
  <c r="C17" i="16"/>
  <c r="T17" i="20"/>
  <c r="L18" i="16"/>
  <c r="N37" i="20"/>
  <c r="F40" i="16"/>
  <c r="O79" i="20"/>
  <c r="G83" i="16"/>
  <c r="N83" i="20"/>
  <c r="F87" i="16"/>
  <c r="M83" i="20"/>
  <c r="E87" i="16"/>
  <c r="N94" i="20"/>
  <c r="F98" i="16"/>
  <c r="M94" i="20"/>
  <c r="E98" i="16"/>
  <c r="P80" i="20"/>
  <c r="H84" i="16"/>
  <c r="M82" i="20"/>
  <c r="E86" i="16"/>
  <c r="T82" i="20"/>
  <c r="L86" i="16"/>
  <c r="M85" i="20"/>
  <c r="E89" i="16"/>
  <c r="T85" i="20"/>
  <c r="L89" i="16"/>
  <c r="P87" i="20"/>
  <c r="H91" i="16"/>
  <c r="V87" i="20"/>
  <c r="N91" i="16"/>
  <c r="M88" i="20"/>
  <c r="E92" i="16"/>
  <c r="M89" i="20"/>
  <c r="E93" i="16"/>
  <c r="P91" i="20"/>
  <c r="H95" i="16"/>
  <c r="V80" i="20"/>
  <c r="N84" i="16"/>
  <c r="T84" i="20"/>
  <c r="L88" i="16"/>
  <c r="Q86" i="20"/>
  <c r="I90" i="16"/>
  <c r="V86" i="20"/>
  <c r="N90" i="16"/>
  <c r="Q90" i="20"/>
  <c r="I94" i="16"/>
  <c r="V90" i="20"/>
  <c r="N94" i="16"/>
  <c r="T14" i="20"/>
  <c r="L15" i="16"/>
  <c r="S14" i="20"/>
  <c r="K15" i="16"/>
  <c r="T18" i="20"/>
  <c r="L19" i="16"/>
  <c r="S18" i="20"/>
  <c r="K19" i="16"/>
  <c r="N27" i="20"/>
  <c r="F29" i="16"/>
  <c r="M27" i="20"/>
  <c r="E29" i="16"/>
  <c r="Q11" i="20"/>
  <c r="P11" i="20"/>
  <c r="N35" i="20"/>
  <c r="F38" i="16"/>
  <c r="M35" i="20"/>
  <c r="E38" i="16"/>
  <c r="AA13" i="20"/>
  <c r="K13" i="20"/>
  <c r="C14" i="16"/>
  <c r="J13" i="20"/>
  <c r="AA17" i="20"/>
  <c r="K17" i="20"/>
  <c r="C18" i="16"/>
  <c r="J17" i="20"/>
  <c r="Q15" i="20"/>
  <c r="I16" i="16"/>
  <c r="P15" i="20"/>
  <c r="H16" i="16"/>
  <c r="N12" i="20"/>
  <c r="F13" i="16"/>
  <c r="M12" i="20"/>
  <c r="E13" i="16"/>
  <c r="W13" i="20"/>
  <c r="O14" i="16"/>
  <c r="V13" i="20"/>
  <c r="N14" i="16"/>
  <c r="N16" i="20"/>
  <c r="F17" i="16"/>
  <c r="M16" i="20"/>
  <c r="E17" i="16"/>
  <c r="W17" i="20"/>
  <c r="O18" i="16"/>
  <c r="V17" i="20"/>
  <c r="N18" i="16"/>
  <c r="AA18" i="20"/>
  <c r="Q24" i="20"/>
  <c r="I26" i="16"/>
  <c r="P24" i="20"/>
  <c r="H26" i="16"/>
  <c r="S93" i="20"/>
  <c r="K97" i="16"/>
  <c r="T93" i="20"/>
  <c r="L97" i="16"/>
  <c r="C104" i="16"/>
  <c r="B104" i="16"/>
  <c r="AA11" i="20"/>
  <c r="E13" i="21"/>
  <c r="S92" i="20"/>
  <c r="K96" i="16"/>
  <c r="T92" i="20"/>
  <c r="L96" i="16"/>
  <c r="W93" i="20"/>
  <c r="O97" i="16"/>
  <c r="V93" i="20"/>
  <c r="N97" i="16"/>
  <c r="W82" i="20"/>
  <c r="O86" i="16"/>
  <c r="V82" i="20"/>
  <c r="N86" i="16"/>
  <c r="W81" i="20"/>
  <c r="O85" i="16"/>
  <c r="V81" i="20"/>
  <c r="N85" i="16"/>
  <c r="Q83" i="20"/>
  <c r="I87" i="16"/>
  <c r="P83" i="20"/>
  <c r="H87" i="16"/>
  <c r="AA15" i="20"/>
  <c r="Q81" i="20"/>
  <c r="I85" i="16"/>
  <c r="R79" i="20"/>
  <c r="J83" i="16"/>
  <c r="S83" i="20"/>
  <c r="K87" i="16"/>
  <c r="T83" i="20"/>
  <c r="L87" i="16"/>
  <c r="U79" i="20"/>
  <c r="M83" i="16"/>
  <c r="X79" i="20"/>
  <c r="P83" i="16"/>
  <c r="P82" i="20"/>
  <c r="H86" i="16"/>
  <c r="Q82" i="20"/>
  <c r="I86" i="16"/>
  <c r="Q85" i="20"/>
  <c r="I89" i="16"/>
  <c r="P85" i="20"/>
  <c r="H89" i="16"/>
  <c r="S87" i="20"/>
  <c r="K91" i="16"/>
  <c r="T87" i="20"/>
  <c r="L91" i="16"/>
  <c r="T88" i="20"/>
  <c r="L92" i="16"/>
  <c r="T89" i="20"/>
  <c r="L93" i="16"/>
  <c r="V91" i="20"/>
  <c r="N95" i="16"/>
  <c r="I102" i="16"/>
  <c r="H102" i="16"/>
  <c r="E104" i="16"/>
  <c r="F104" i="16"/>
  <c r="W89" i="20"/>
  <c r="O93" i="16"/>
  <c r="V89" i="20"/>
  <c r="N93" i="16"/>
  <c r="O103" i="16"/>
  <c r="N103" i="16"/>
  <c r="W85" i="20"/>
  <c r="O89" i="16"/>
  <c r="V85" i="20"/>
  <c r="N89" i="16"/>
  <c r="S91" i="20"/>
  <c r="K95" i="16"/>
  <c r="T91" i="20"/>
  <c r="L95" i="16"/>
  <c r="W46" i="26"/>
  <c r="V46" i="26"/>
  <c r="F33" i="22"/>
  <c r="C50" i="21"/>
  <c r="B50" i="21"/>
  <c r="E50" i="21"/>
  <c r="E48" i="21"/>
  <c r="F31" i="22"/>
  <c r="C48" i="21"/>
  <c r="B48" i="21"/>
  <c r="F32" i="22"/>
  <c r="C49" i="21"/>
  <c r="B49" i="21"/>
  <c r="E49" i="21"/>
  <c r="S18" i="16"/>
  <c r="E19" i="21"/>
  <c r="S16" i="16"/>
  <c r="E17" i="21"/>
  <c r="S17" i="16"/>
  <c r="E18" i="21"/>
  <c r="S13" i="16"/>
  <c r="E14" i="21"/>
  <c r="S15" i="16"/>
  <c r="E16" i="21"/>
  <c r="S19" i="16"/>
  <c r="E20" i="21"/>
  <c r="S14" i="16"/>
  <c r="E15" i="21"/>
  <c r="F102" i="16"/>
  <c r="E103" i="16"/>
  <c r="E102" i="16"/>
  <c r="F103" i="16"/>
  <c r="F64" i="18"/>
  <c r="F62" i="18"/>
  <c r="G11" i="16"/>
  <c r="Y13" i="20"/>
  <c r="B14" i="16"/>
  <c r="C12" i="16"/>
  <c r="K10" i="20"/>
  <c r="Y17" i="20"/>
  <c r="B18" i="16"/>
  <c r="H12" i="16"/>
  <c r="P10" i="20"/>
  <c r="N12" i="16"/>
  <c r="V10" i="20"/>
  <c r="E12" i="16"/>
  <c r="M10" i="20"/>
  <c r="B15" i="16"/>
  <c r="Y14" i="20"/>
  <c r="Y16" i="20"/>
  <c r="B17" i="16"/>
  <c r="Y12" i="20"/>
  <c r="B13" i="16"/>
  <c r="I12" i="16"/>
  <c r="Q10" i="20"/>
  <c r="O12" i="16"/>
  <c r="W10" i="20"/>
  <c r="O11" i="16"/>
  <c r="L12" i="16"/>
  <c r="T10" i="20"/>
  <c r="S12" i="16"/>
  <c r="AA10" i="20"/>
  <c r="F12" i="16"/>
  <c r="N10" i="20"/>
  <c r="Y15" i="20"/>
  <c r="B16" i="16"/>
  <c r="K12" i="16"/>
  <c r="S10" i="20"/>
  <c r="B12" i="16"/>
  <c r="J10" i="20"/>
  <c r="Y11" i="20"/>
  <c r="D13" i="21"/>
  <c r="D11" i="16"/>
  <c r="J11" i="16"/>
  <c r="Y18" i="20"/>
  <c r="B19" i="16"/>
  <c r="H11" i="16"/>
  <c r="Z16" i="20"/>
  <c r="R17" i="16"/>
  <c r="S11" i="16"/>
  <c r="S10" i="16"/>
  <c r="Z14" i="20"/>
  <c r="R15" i="16"/>
  <c r="Z11" i="20"/>
  <c r="Z18" i="20"/>
  <c r="R19" i="16"/>
  <c r="T79" i="20"/>
  <c r="L83" i="16"/>
  <c r="N79" i="20"/>
  <c r="F83" i="16"/>
  <c r="Z12" i="20"/>
  <c r="R13" i="16"/>
  <c r="Z15" i="20"/>
  <c r="R16" i="16"/>
  <c r="V79" i="20"/>
  <c r="N83" i="16"/>
  <c r="W79" i="20"/>
  <c r="O83" i="16"/>
  <c r="M79" i="20"/>
  <c r="E83" i="16"/>
  <c r="S79" i="20"/>
  <c r="K83" i="16"/>
  <c r="Q79" i="20"/>
  <c r="I83" i="16"/>
  <c r="Z17" i="20"/>
  <c r="R18" i="16"/>
  <c r="Z13" i="20"/>
  <c r="R14" i="16"/>
  <c r="P79" i="20"/>
  <c r="H83" i="16"/>
  <c r="Q15" i="16"/>
  <c r="D16" i="21"/>
  <c r="Q16" i="16"/>
  <c r="D17" i="21"/>
  <c r="Q14" i="16"/>
  <c r="D15" i="21"/>
  <c r="Q19" i="16"/>
  <c r="D20" i="21"/>
  <c r="Q13" i="16"/>
  <c r="D14" i="21"/>
  <c r="Q18" i="16"/>
  <c r="D19" i="21"/>
  <c r="Q17" i="16"/>
  <c r="D18" i="21"/>
  <c r="E12" i="21"/>
  <c r="Q12" i="16"/>
  <c r="B11" i="16"/>
  <c r="Y10" i="20"/>
  <c r="E11" i="16"/>
  <c r="R12" i="16"/>
  <c r="Z10" i="20"/>
  <c r="R11" i="16"/>
  <c r="R10" i="16"/>
  <c r="I11" i="16"/>
  <c r="K11" i="16"/>
  <c r="L11" i="16"/>
  <c r="C11" i="16"/>
  <c r="F11" i="16"/>
  <c r="N11" i="16"/>
  <c r="J8" i="12"/>
  <c r="K8" i="12"/>
  <c r="L8" i="12"/>
  <c r="M8" i="12"/>
  <c r="N8" i="12"/>
  <c r="J9" i="12"/>
  <c r="K9" i="12"/>
  <c r="L9" i="12"/>
  <c r="M9" i="12"/>
  <c r="N9" i="12"/>
  <c r="J10" i="12"/>
  <c r="K10" i="12"/>
  <c r="L10" i="12"/>
  <c r="M10" i="12"/>
  <c r="N10" i="12"/>
  <c r="J11" i="12"/>
  <c r="K11" i="12"/>
  <c r="L11" i="12"/>
  <c r="M11" i="12"/>
  <c r="N11" i="12"/>
  <c r="J12" i="12"/>
  <c r="K12" i="12"/>
  <c r="L12" i="12"/>
  <c r="M12" i="12"/>
  <c r="N12" i="12"/>
  <c r="J13" i="12"/>
  <c r="L13" i="12"/>
  <c r="M13" i="12"/>
  <c r="N13" i="12"/>
  <c r="J14" i="12"/>
  <c r="K14" i="12"/>
  <c r="L14" i="12"/>
  <c r="M14" i="12"/>
  <c r="N14" i="12"/>
  <c r="K7" i="12"/>
  <c r="L7" i="12"/>
  <c r="M7" i="12"/>
  <c r="N7" i="12"/>
  <c r="J7" i="12"/>
  <c r="B8" i="12"/>
  <c r="B9" i="12"/>
  <c r="B10" i="12"/>
  <c r="B11" i="12"/>
  <c r="B12" i="12"/>
  <c r="B13" i="12"/>
  <c r="B14" i="12"/>
  <c r="B7" i="12"/>
  <c r="Q11" i="16"/>
  <c r="Q10" i="16"/>
  <c r="D12" i="21"/>
  <c r="O14" i="12"/>
  <c r="O10" i="12"/>
  <c r="F54" i="18"/>
  <c r="O9" i="12"/>
  <c r="O12" i="12"/>
  <c r="O8" i="12"/>
  <c r="O7" i="12"/>
  <c r="O13" i="12"/>
  <c r="O11" i="12"/>
  <c r="M15" i="12"/>
  <c r="M8" i="9"/>
  <c r="K8" i="9"/>
  <c r="N15" i="12"/>
  <c r="P8" i="9"/>
  <c r="L15" i="12"/>
  <c r="J8" i="9"/>
  <c r="K15" i="12"/>
  <c r="G8" i="9"/>
  <c r="J15" i="12"/>
  <c r="F53" i="18"/>
  <c r="F29" i="22"/>
  <c r="C14" i="21"/>
  <c r="B14" i="21"/>
  <c r="F34" i="18"/>
  <c r="F17" i="22"/>
  <c r="C20" i="21"/>
  <c r="B20" i="21"/>
  <c r="F69" i="18"/>
  <c r="F37" i="22"/>
  <c r="F70" i="18"/>
  <c r="F38" i="22"/>
  <c r="C18" i="21"/>
  <c r="B18" i="21"/>
  <c r="F71" i="18"/>
  <c r="F39" i="22"/>
  <c r="C19" i="21"/>
  <c r="B19" i="21"/>
  <c r="F52" i="18"/>
  <c r="F28" i="22"/>
  <c r="C13" i="21"/>
  <c r="B13" i="21"/>
  <c r="F33" i="18"/>
  <c r="L8" i="9"/>
  <c r="O15" i="12"/>
  <c r="E8" i="9"/>
  <c r="F8" i="9"/>
  <c r="O8" i="9"/>
  <c r="N8" i="9"/>
  <c r="D8" i="9"/>
  <c r="I8" i="9"/>
  <c r="H8" i="9"/>
  <c r="B8" i="13"/>
  <c r="C21" i="26"/>
  <c r="B9" i="13"/>
  <c r="C22" i="26"/>
  <c r="B10" i="13"/>
  <c r="C23" i="26"/>
  <c r="B11" i="13"/>
  <c r="C24" i="26"/>
  <c r="B12" i="13"/>
  <c r="C25" i="26"/>
  <c r="B13" i="13"/>
  <c r="C26" i="26"/>
  <c r="B15" i="13"/>
  <c r="C28" i="26"/>
  <c r="B16" i="13"/>
  <c r="C29" i="26"/>
  <c r="B7" i="13"/>
  <c r="U11" i="13"/>
  <c r="U8" i="13"/>
  <c r="C10" i="13"/>
  <c r="D23" i="26"/>
  <c r="U9" i="13"/>
  <c r="C14" i="13"/>
  <c r="D27" i="26"/>
  <c r="U10" i="13"/>
  <c r="U7" i="13"/>
  <c r="U3" i="13"/>
  <c r="C9" i="13"/>
  <c r="D22" i="26"/>
  <c r="U4" i="13"/>
  <c r="U5" i="13"/>
  <c r="C13" i="13"/>
  <c r="D26" i="26"/>
  <c r="U6" i="13"/>
  <c r="U2" i="13"/>
  <c r="D7" i="11"/>
  <c r="D9" i="11"/>
  <c r="H7" i="11"/>
  <c r="G7" i="11"/>
  <c r="F7" i="11"/>
  <c r="E7" i="11"/>
  <c r="U26" i="26"/>
  <c r="O26" i="26"/>
  <c r="L26" i="26"/>
  <c r="R26" i="26"/>
  <c r="X26" i="26"/>
  <c r="X27" i="26"/>
  <c r="R27" i="26"/>
  <c r="L27" i="26"/>
  <c r="U27" i="26"/>
  <c r="O27" i="26"/>
  <c r="X22" i="26"/>
  <c r="L22" i="26"/>
  <c r="U22" i="26"/>
  <c r="O22" i="26"/>
  <c r="R22" i="26"/>
  <c r="R23" i="26"/>
  <c r="O23" i="26"/>
  <c r="X23" i="26"/>
  <c r="U23" i="26"/>
  <c r="L23" i="26"/>
  <c r="F40" i="22"/>
  <c r="C17" i="21"/>
  <c r="B17" i="21"/>
  <c r="F18" i="22"/>
  <c r="C27" i="26"/>
  <c r="C20" i="26"/>
  <c r="D103" i="16"/>
  <c r="C103" i="16"/>
  <c r="B103" i="16"/>
  <c r="J103" i="16"/>
  <c r="D102" i="16"/>
  <c r="X95" i="20"/>
  <c r="C15" i="13"/>
  <c r="D22" i="20"/>
  <c r="P104" i="16"/>
  <c r="N96" i="20"/>
  <c r="N95" i="20"/>
  <c r="Q96" i="20"/>
  <c r="K96" i="20"/>
  <c r="C11" i="13"/>
  <c r="D21" i="20"/>
  <c r="C8" i="13"/>
  <c r="D24" i="20"/>
  <c r="O24" i="20"/>
  <c r="G26" i="16"/>
  <c r="C12" i="13"/>
  <c r="D25" i="20"/>
  <c r="X25" i="20"/>
  <c r="C27" i="20"/>
  <c r="C102" i="16"/>
  <c r="B102" i="16"/>
  <c r="C7" i="13"/>
  <c r="D20" i="20"/>
  <c r="S96" i="20"/>
  <c r="S95" i="20"/>
  <c r="I103" i="16"/>
  <c r="C16" i="13"/>
  <c r="D26" i="20"/>
  <c r="C20" i="20"/>
  <c r="I10" i="11"/>
  <c r="H12" i="11"/>
  <c r="P11" i="9"/>
  <c r="I13" i="13"/>
  <c r="E12" i="11"/>
  <c r="G11" i="9"/>
  <c r="I9" i="11"/>
  <c r="I11" i="11"/>
  <c r="K14" i="13"/>
  <c r="G12" i="11"/>
  <c r="M11" i="9"/>
  <c r="F12" i="11"/>
  <c r="J11" i="9"/>
  <c r="I7" i="11"/>
  <c r="I9" i="13"/>
  <c r="C8" i="9"/>
  <c r="B8" i="9"/>
  <c r="S8" i="9"/>
  <c r="I14" i="13"/>
  <c r="L9" i="13"/>
  <c r="L13" i="13"/>
  <c r="K10" i="13"/>
  <c r="L10" i="13"/>
  <c r="I10" i="13"/>
  <c r="M10" i="13"/>
  <c r="J10" i="13"/>
  <c r="M14" i="13"/>
  <c r="L14" i="13"/>
  <c r="J14" i="13"/>
  <c r="K9" i="13"/>
  <c r="K13" i="13"/>
  <c r="J9" i="13"/>
  <c r="J13" i="13"/>
  <c r="M9" i="13"/>
  <c r="M13" i="13"/>
  <c r="D12" i="11"/>
  <c r="D11" i="9"/>
  <c r="G41" i="10"/>
  <c r="H41" i="10"/>
  <c r="I41" i="10"/>
  <c r="J41" i="10"/>
  <c r="L41" i="10"/>
  <c r="M41" i="10"/>
  <c r="N41" i="10"/>
  <c r="O41" i="10"/>
  <c r="U11" i="10"/>
  <c r="T9" i="10"/>
  <c r="U9" i="10"/>
  <c r="T10" i="10"/>
  <c r="U10" i="10"/>
  <c r="T8" i="10"/>
  <c r="U8" i="10"/>
  <c r="S12" i="10"/>
  <c r="L12" i="13"/>
  <c r="D25" i="26"/>
  <c r="J23" i="26"/>
  <c r="AA23" i="26"/>
  <c r="K23" i="26"/>
  <c r="AA22" i="26"/>
  <c r="J22" i="26"/>
  <c r="K22" i="26"/>
  <c r="Q26" i="26"/>
  <c r="P26" i="26"/>
  <c r="Q22" i="26"/>
  <c r="P22" i="26"/>
  <c r="W22" i="26"/>
  <c r="V22" i="26"/>
  <c r="J26" i="26"/>
  <c r="AA26" i="26"/>
  <c r="K26" i="26"/>
  <c r="J8" i="13"/>
  <c r="D21" i="26"/>
  <c r="V23" i="26"/>
  <c r="W23" i="26"/>
  <c r="N22" i="26"/>
  <c r="M22" i="26"/>
  <c r="N27" i="26"/>
  <c r="M27" i="26"/>
  <c r="W27" i="26"/>
  <c r="V27" i="26"/>
  <c r="N26" i="26"/>
  <c r="M26" i="26"/>
  <c r="K11" i="13"/>
  <c r="D24" i="26"/>
  <c r="P23" i="26"/>
  <c r="Q23" i="26"/>
  <c r="K27" i="26"/>
  <c r="J27" i="26"/>
  <c r="AA27" i="26"/>
  <c r="S23" i="26"/>
  <c r="T23" i="26"/>
  <c r="P27" i="26"/>
  <c r="Q27" i="26"/>
  <c r="M15" i="13"/>
  <c r="D28" i="26"/>
  <c r="I12" i="11"/>
  <c r="J16" i="13"/>
  <c r="D29" i="26"/>
  <c r="L7" i="13"/>
  <c r="D20" i="26"/>
  <c r="M23" i="26"/>
  <c r="N23" i="26"/>
  <c r="S22" i="26"/>
  <c r="T22" i="26"/>
  <c r="S27" i="26"/>
  <c r="T27" i="26"/>
  <c r="W26" i="26"/>
  <c r="V26" i="26"/>
  <c r="T26" i="26"/>
  <c r="S26" i="26"/>
  <c r="V96" i="20"/>
  <c r="I101" i="16"/>
  <c r="Q95" i="20"/>
  <c r="J101" i="16"/>
  <c r="R95" i="20"/>
  <c r="W96" i="20"/>
  <c r="C101" i="16"/>
  <c r="K95" i="20"/>
  <c r="D101" i="16"/>
  <c r="L95" i="20"/>
  <c r="G101" i="16"/>
  <c r="O95" i="20"/>
  <c r="G100" i="16"/>
  <c r="M101" i="16"/>
  <c r="U95" i="20"/>
  <c r="M100" i="16"/>
  <c r="P96" i="20"/>
  <c r="T96" i="20"/>
  <c r="T95" i="20"/>
  <c r="L100" i="16"/>
  <c r="J96" i="20"/>
  <c r="J95" i="20"/>
  <c r="B100" i="16"/>
  <c r="M96" i="20"/>
  <c r="E101" i="16"/>
  <c r="K12" i="13"/>
  <c r="I11" i="13"/>
  <c r="L11" i="13"/>
  <c r="J15" i="13"/>
  <c r="I15" i="13"/>
  <c r="L15" i="13"/>
  <c r="P27" i="16"/>
  <c r="V25" i="20"/>
  <c r="N27" i="16"/>
  <c r="W25" i="20"/>
  <c r="O27" i="16"/>
  <c r="M7" i="13"/>
  <c r="J7" i="13"/>
  <c r="U20" i="20"/>
  <c r="M22" i="16"/>
  <c r="H103" i="16"/>
  <c r="P100" i="16"/>
  <c r="P101" i="16"/>
  <c r="K100" i="16"/>
  <c r="K101" i="16"/>
  <c r="F100" i="16"/>
  <c r="F101" i="16"/>
  <c r="L101" i="16"/>
  <c r="J11" i="13"/>
  <c r="I7" i="13"/>
  <c r="K7" i="13"/>
  <c r="M11" i="13"/>
  <c r="K15" i="13"/>
  <c r="I12" i="13"/>
  <c r="M16" i="13"/>
  <c r="L16" i="13"/>
  <c r="M12" i="13"/>
  <c r="J12" i="13"/>
  <c r="O25" i="20"/>
  <c r="G27" i="16"/>
  <c r="K16" i="13"/>
  <c r="I16" i="13"/>
  <c r="O23" i="20"/>
  <c r="G25" i="16"/>
  <c r="M8" i="13"/>
  <c r="L22" i="20"/>
  <c r="D24" i="16"/>
  <c r="R26" i="20"/>
  <c r="J28" i="16"/>
  <c r="X26" i="20"/>
  <c r="P28" i="16"/>
  <c r="U26" i="20"/>
  <c r="M28" i="16"/>
  <c r="R25" i="20"/>
  <c r="J27" i="16"/>
  <c r="U25" i="20"/>
  <c r="M27" i="16"/>
  <c r="U21" i="20"/>
  <c r="M23" i="16"/>
  <c r="R21" i="20"/>
  <c r="J23" i="16"/>
  <c r="O22" i="20"/>
  <c r="G24" i="16"/>
  <c r="L26" i="20"/>
  <c r="D28" i="16"/>
  <c r="I100" i="16"/>
  <c r="X22" i="20"/>
  <c r="P24" i="16"/>
  <c r="X27" i="20"/>
  <c r="P29" i="16"/>
  <c r="K8" i="13"/>
  <c r="I8" i="13"/>
  <c r="L27" i="20"/>
  <c r="D29" i="16"/>
  <c r="U22" i="20"/>
  <c r="M24" i="16"/>
  <c r="R22" i="20"/>
  <c r="J24" i="16"/>
  <c r="R20" i="20"/>
  <c r="J22" i="16"/>
  <c r="O20" i="20"/>
  <c r="G22" i="16"/>
  <c r="L23" i="20"/>
  <c r="D25" i="16"/>
  <c r="L8" i="13"/>
  <c r="M24" i="20"/>
  <c r="E26" i="16"/>
  <c r="N24" i="20"/>
  <c r="F26" i="16"/>
  <c r="C100" i="16"/>
  <c r="I11" i="9"/>
  <c r="H11" i="9"/>
  <c r="F11" i="9"/>
  <c r="E11" i="9"/>
  <c r="B11" i="9"/>
  <c r="C11" i="9"/>
  <c r="N13" i="13"/>
  <c r="K11" i="9"/>
  <c r="L11" i="9"/>
  <c r="O11" i="9"/>
  <c r="S11" i="9"/>
  <c r="N11" i="9"/>
  <c r="R8" i="9"/>
  <c r="Q8" i="9"/>
  <c r="N14" i="13"/>
  <c r="N9" i="13"/>
  <c r="F44" i="18"/>
  <c r="N10" i="13"/>
  <c r="F45" i="18"/>
  <c r="L20" i="26"/>
  <c r="R20" i="26"/>
  <c r="O20" i="26"/>
  <c r="U20" i="26"/>
  <c r="X20" i="26"/>
  <c r="Y27" i="26"/>
  <c r="X21" i="26"/>
  <c r="O21" i="26"/>
  <c r="R21" i="26"/>
  <c r="L21" i="26"/>
  <c r="U21" i="26"/>
  <c r="Y22" i="26"/>
  <c r="Y23" i="26"/>
  <c r="O101" i="16"/>
  <c r="Z96" i="20"/>
  <c r="F47" i="18"/>
  <c r="F24" i="22"/>
  <c r="W95" i="20"/>
  <c r="O100" i="16"/>
  <c r="R24" i="26"/>
  <c r="X24" i="26"/>
  <c r="O24" i="26"/>
  <c r="L24" i="26"/>
  <c r="U24" i="26"/>
  <c r="Y26" i="26"/>
  <c r="U25" i="26"/>
  <c r="L25" i="26"/>
  <c r="O25" i="26"/>
  <c r="R25" i="26"/>
  <c r="X25" i="26"/>
  <c r="Z22" i="26"/>
  <c r="F48" i="18"/>
  <c r="F25" i="22"/>
  <c r="N101" i="16"/>
  <c r="Y96" i="20"/>
  <c r="L28" i="26"/>
  <c r="X28" i="26"/>
  <c r="U28" i="26"/>
  <c r="R28" i="26"/>
  <c r="O28" i="26"/>
  <c r="Z27" i="26"/>
  <c r="X29" i="26"/>
  <c r="L29" i="26"/>
  <c r="R29" i="26"/>
  <c r="U29" i="26"/>
  <c r="O29" i="26"/>
  <c r="Z26" i="26"/>
  <c r="Z23" i="26"/>
  <c r="D100" i="16"/>
  <c r="B101" i="16"/>
  <c r="Q101" i="16"/>
  <c r="AA95" i="20"/>
  <c r="J100" i="16"/>
  <c r="M95" i="20"/>
  <c r="E100" i="16"/>
  <c r="H101" i="16"/>
  <c r="P95" i="20"/>
  <c r="N104" i="16"/>
  <c r="V95" i="20"/>
  <c r="L24" i="20"/>
  <c r="D26" i="16"/>
  <c r="T20" i="20"/>
  <c r="L22" i="16"/>
  <c r="X20" i="20"/>
  <c r="P22" i="16"/>
  <c r="N15" i="13"/>
  <c r="F11" i="18"/>
  <c r="S20" i="20"/>
  <c r="K22" i="16"/>
  <c r="X24" i="20"/>
  <c r="P26" i="16"/>
  <c r="K17" i="13"/>
  <c r="J9" i="9"/>
  <c r="H9" i="9"/>
  <c r="J17" i="13"/>
  <c r="G9" i="9"/>
  <c r="E9" i="9"/>
  <c r="L25" i="20"/>
  <c r="D27" i="16"/>
  <c r="L20" i="20"/>
  <c r="D22" i="16"/>
  <c r="F63" i="18"/>
  <c r="S103" i="16"/>
  <c r="S104" i="16"/>
  <c r="O104" i="16"/>
  <c r="S102" i="16"/>
  <c r="F61" i="18"/>
  <c r="S101" i="16"/>
  <c r="N11" i="13"/>
  <c r="F22" i="18"/>
  <c r="N7" i="13"/>
  <c r="N12" i="13"/>
  <c r="F23" i="18"/>
  <c r="M17" i="13"/>
  <c r="P9" i="9"/>
  <c r="N9" i="9"/>
  <c r="N16" i="13"/>
  <c r="F12" i="18"/>
  <c r="O19" i="20"/>
  <c r="G21" i="16"/>
  <c r="R19" i="20"/>
  <c r="J21" i="16"/>
  <c r="U19" i="20"/>
  <c r="M21" i="16"/>
  <c r="N20" i="20"/>
  <c r="F22" i="16"/>
  <c r="M20" i="20"/>
  <c r="E22" i="16"/>
  <c r="R103" i="16"/>
  <c r="Q103" i="16"/>
  <c r="J23" i="20"/>
  <c r="AA23" i="20"/>
  <c r="E25" i="21"/>
  <c r="K23" i="20"/>
  <c r="P20" i="20"/>
  <c r="H22" i="16"/>
  <c r="Q20" i="20"/>
  <c r="I22" i="16"/>
  <c r="J26" i="20"/>
  <c r="K26" i="20"/>
  <c r="AA26" i="20"/>
  <c r="E28" i="21"/>
  <c r="P21" i="20"/>
  <c r="Q21" i="20"/>
  <c r="T26" i="20"/>
  <c r="L28" i="16"/>
  <c r="S26" i="20"/>
  <c r="K28" i="16"/>
  <c r="X21" i="20"/>
  <c r="P23" i="16"/>
  <c r="S25" i="20"/>
  <c r="K27" i="16"/>
  <c r="T25" i="20"/>
  <c r="L27" i="16"/>
  <c r="N25" i="20"/>
  <c r="F27" i="16"/>
  <c r="M25" i="20"/>
  <c r="E27" i="16"/>
  <c r="Q22" i="20"/>
  <c r="I24" i="16"/>
  <c r="P22" i="20"/>
  <c r="H24" i="16"/>
  <c r="J27" i="20"/>
  <c r="K27" i="20"/>
  <c r="AA27" i="20"/>
  <c r="E29" i="21"/>
  <c r="V27" i="20"/>
  <c r="N29" i="16"/>
  <c r="W27" i="20"/>
  <c r="O29" i="16"/>
  <c r="V22" i="20"/>
  <c r="N24" i="16"/>
  <c r="W22" i="20"/>
  <c r="O24" i="16"/>
  <c r="T21" i="20"/>
  <c r="L23" i="16"/>
  <c r="S21" i="20"/>
  <c r="K23" i="16"/>
  <c r="V26" i="20"/>
  <c r="N28" i="16"/>
  <c r="W26" i="20"/>
  <c r="O28" i="16"/>
  <c r="N23" i="20"/>
  <c r="F25" i="16"/>
  <c r="M23" i="20"/>
  <c r="E25" i="16"/>
  <c r="Q104" i="16"/>
  <c r="R104" i="16"/>
  <c r="L21" i="20"/>
  <c r="N8" i="13"/>
  <c r="I17" i="13"/>
  <c r="D9" i="9"/>
  <c r="B9" i="9"/>
  <c r="L17" i="13"/>
  <c r="M9" i="9"/>
  <c r="L9" i="9"/>
  <c r="S22" i="20"/>
  <c r="K24" i="16"/>
  <c r="T22" i="20"/>
  <c r="L24" i="16"/>
  <c r="N22" i="20"/>
  <c r="F24" i="16"/>
  <c r="M22" i="20"/>
  <c r="E24" i="16"/>
  <c r="P25" i="20"/>
  <c r="H27" i="16"/>
  <c r="Q25" i="20"/>
  <c r="I27" i="16"/>
  <c r="Q26" i="20"/>
  <c r="I28" i="16"/>
  <c r="P26" i="20"/>
  <c r="H28" i="16"/>
  <c r="K22" i="20"/>
  <c r="J22" i="20"/>
  <c r="AA22" i="20"/>
  <c r="E24" i="21"/>
  <c r="R11" i="9"/>
  <c r="Q11" i="9"/>
  <c r="P28" i="26"/>
  <c r="Q28" i="26"/>
  <c r="M25" i="26"/>
  <c r="N25" i="26"/>
  <c r="N21" i="26"/>
  <c r="M21" i="26"/>
  <c r="M29" i="26"/>
  <c r="N29" i="26"/>
  <c r="T24" i="26"/>
  <c r="S24" i="26"/>
  <c r="P24" i="26"/>
  <c r="Q24" i="26"/>
  <c r="S21" i="26"/>
  <c r="T21" i="26"/>
  <c r="M20" i="26"/>
  <c r="N20" i="26"/>
  <c r="O19" i="26"/>
  <c r="J29" i="26"/>
  <c r="AA29" i="26"/>
  <c r="K29" i="26"/>
  <c r="F41" i="18"/>
  <c r="F21" i="22"/>
  <c r="T28" i="26"/>
  <c r="S28" i="26"/>
  <c r="P20" i="26"/>
  <c r="R19" i="26"/>
  <c r="Q20" i="26"/>
  <c r="W24" i="26"/>
  <c r="V24" i="26"/>
  <c r="T20" i="26"/>
  <c r="U19" i="26"/>
  <c r="S20" i="26"/>
  <c r="V29" i="26"/>
  <c r="W29" i="26"/>
  <c r="D47" i="21"/>
  <c r="Y95" i="20"/>
  <c r="D46" i="21"/>
  <c r="AA25" i="26"/>
  <c r="J25" i="26"/>
  <c r="K25" i="26"/>
  <c r="V21" i="26"/>
  <c r="W21" i="26"/>
  <c r="S29" i="26"/>
  <c r="T29" i="26"/>
  <c r="W28" i="26"/>
  <c r="V28" i="26"/>
  <c r="V25" i="26"/>
  <c r="W25" i="26"/>
  <c r="S25" i="26"/>
  <c r="T25" i="26"/>
  <c r="J24" i="26"/>
  <c r="K24" i="26"/>
  <c r="AA24" i="26"/>
  <c r="J21" i="26"/>
  <c r="K21" i="26"/>
  <c r="AA21" i="26"/>
  <c r="F42" i="18"/>
  <c r="F22" i="22"/>
  <c r="C26" i="21"/>
  <c r="B26" i="21"/>
  <c r="E46" i="21"/>
  <c r="P29" i="26"/>
  <c r="Q29" i="26"/>
  <c r="N28" i="26"/>
  <c r="M28" i="26"/>
  <c r="K28" i="26"/>
  <c r="J28" i="26"/>
  <c r="AA28" i="26"/>
  <c r="P25" i="26"/>
  <c r="Q25" i="26"/>
  <c r="M24" i="26"/>
  <c r="N24" i="26"/>
  <c r="P21" i="26"/>
  <c r="Q21" i="26"/>
  <c r="W20" i="26"/>
  <c r="V20" i="26"/>
  <c r="X19" i="26"/>
  <c r="AA20" i="26"/>
  <c r="K20" i="26"/>
  <c r="J20" i="26"/>
  <c r="L19" i="26"/>
  <c r="Y27" i="20"/>
  <c r="D29" i="21"/>
  <c r="S100" i="16"/>
  <c r="S99" i="16"/>
  <c r="J24" i="20"/>
  <c r="S29" i="16"/>
  <c r="S25" i="16"/>
  <c r="S28" i="16"/>
  <c r="S24" i="16"/>
  <c r="Y22" i="20"/>
  <c r="Y26" i="20"/>
  <c r="R101" i="16"/>
  <c r="Z95" i="20"/>
  <c r="R100" i="16"/>
  <c r="H100" i="16"/>
  <c r="Y23" i="20"/>
  <c r="Q100" i="16"/>
  <c r="Q99" i="16"/>
  <c r="K24" i="20"/>
  <c r="C26" i="16"/>
  <c r="N100" i="16"/>
  <c r="W20" i="20"/>
  <c r="O22" i="16"/>
  <c r="V20" i="20"/>
  <c r="N22" i="16"/>
  <c r="Q102" i="16"/>
  <c r="R102" i="16"/>
  <c r="AA24" i="20"/>
  <c r="E26" i="21"/>
  <c r="AA25" i="20"/>
  <c r="E27" i="21"/>
  <c r="I9" i="9"/>
  <c r="F9" i="9"/>
  <c r="J25" i="20"/>
  <c r="Y25" i="20"/>
  <c r="O9" i="9"/>
  <c r="K25" i="20"/>
  <c r="C27" i="16"/>
  <c r="J20" i="20"/>
  <c r="V24" i="20"/>
  <c r="N26" i="16"/>
  <c r="W24" i="20"/>
  <c r="O26" i="16"/>
  <c r="K20" i="20"/>
  <c r="C22" i="16"/>
  <c r="AA20" i="20"/>
  <c r="E22" i="21"/>
  <c r="X19" i="20"/>
  <c r="P21" i="16"/>
  <c r="Q29" i="16"/>
  <c r="B29" i="16"/>
  <c r="B25" i="16"/>
  <c r="Z27" i="20"/>
  <c r="R29" i="16"/>
  <c r="C29" i="16"/>
  <c r="L19" i="20"/>
  <c r="D21" i="16"/>
  <c r="D23" i="16"/>
  <c r="B27" i="16"/>
  <c r="Z23" i="20"/>
  <c r="R25" i="16"/>
  <c r="C25" i="16"/>
  <c r="B24" i="16"/>
  <c r="H23" i="16"/>
  <c r="Z22" i="20"/>
  <c r="R24" i="16"/>
  <c r="C24" i="16"/>
  <c r="Z26" i="20"/>
  <c r="R28" i="16"/>
  <c r="C28" i="16"/>
  <c r="I23" i="16"/>
  <c r="B28" i="16"/>
  <c r="B26" i="16"/>
  <c r="S9" i="9"/>
  <c r="R9" i="9"/>
  <c r="C9" i="9"/>
  <c r="T19" i="20"/>
  <c r="L21" i="16"/>
  <c r="S19" i="20"/>
  <c r="K21" i="16"/>
  <c r="Q19" i="20"/>
  <c r="I21" i="16"/>
  <c r="M19" i="20"/>
  <c r="E21" i="16"/>
  <c r="P19" i="20"/>
  <c r="H21" i="16"/>
  <c r="N19" i="20"/>
  <c r="F21" i="16"/>
  <c r="K21" i="20"/>
  <c r="J21" i="20"/>
  <c r="AA21" i="20"/>
  <c r="E23" i="21"/>
  <c r="K9" i="9"/>
  <c r="W21" i="20"/>
  <c r="V21" i="20"/>
  <c r="N23" i="16"/>
  <c r="N17" i="13"/>
  <c r="E43" i="10"/>
  <c r="F43" i="10"/>
  <c r="K43" i="10"/>
  <c r="L113" i="26"/>
  <c r="E44" i="10"/>
  <c r="F44" i="10"/>
  <c r="K44" i="10"/>
  <c r="L114" i="26"/>
  <c r="E45" i="10"/>
  <c r="F45" i="10"/>
  <c r="K45" i="10"/>
  <c r="L115" i="26"/>
  <c r="E46" i="10"/>
  <c r="F46" i="10"/>
  <c r="K46" i="10"/>
  <c r="L116" i="26"/>
  <c r="E47" i="10"/>
  <c r="F47" i="10"/>
  <c r="K47" i="10"/>
  <c r="L117" i="26"/>
  <c r="E48" i="10"/>
  <c r="F48" i="10"/>
  <c r="K48" i="10"/>
  <c r="L118" i="26"/>
  <c r="E49" i="10"/>
  <c r="F49" i="10"/>
  <c r="K49" i="10"/>
  <c r="L119" i="26"/>
  <c r="E50" i="10"/>
  <c r="F50" i="10"/>
  <c r="K50" i="10"/>
  <c r="L120" i="26"/>
  <c r="E51" i="10"/>
  <c r="F51" i="10"/>
  <c r="K51" i="10"/>
  <c r="L121" i="26"/>
  <c r="E52" i="10"/>
  <c r="F52" i="10"/>
  <c r="K52" i="10"/>
  <c r="L122" i="26"/>
  <c r="E53" i="10"/>
  <c r="F53" i="10"/>
  <c r="K53" i="10"/>
  <c r="L123" i="26"/>
  <c r="E54" i="10"/>
  <c r="F54" i="10"/>
  <c r="K54" i="10"/>
  <c r="L124" i="26"/>
  <c r="E55" i="10"/>
  <c r="F55" i="10"/>
  <c r="K55" i="10"/>
  <c r="L125" i="26"/>
  <c r="E56" i="10"/>
  <c r="F56" i="10"/>
  <c r="K56" i="10"/>
  <c r="L126" i="26"/>
  <c r="E42" i="10"/>
  <c r="F42" i="10"/>
  <c r="K42" i="10"/>
  <c r="L112" i="26"/>
  <c r="E32" i="10"/>
  <c r="H32" i="10"/>
  <c r="M32" i="10"/>
  <c r="R102" i="26"/>
  <c r="E33" i="10"/>
  <c r="G33" i="10"/>
  <c r="L33" i="10"/>
  <c r="O103" i="26"/>
  <c r="E34" i="10"/>
  <c r="F34" i="10"/>
  <c r="K34" i="10"/>
  <c r="L104" i="26"/>
  <c r="E35" i="10"/>
  <c r="I35" i="10"/>
  <c r="N35" i="10"/>
  <c r="U105" i="26"/>
  <c r="E36" i="10"/>
  <c r="H36" i="10"/>
  <c r="M36" i="10"/>
  <c r="R106" i="26"/>
  <c r="E37" i="10"/>
  <c r="G37" i="10"/>
  <c r="L37" i="10"/>
  <c r="O107" i="26"/>
  <c r="E38" i="10"/>
  <c r="F38" i="10"/>
  <c r="K38" i="10"/>
  <c r="L108" i="26"/>
  <c r="E39" i="10"/>
  <c r="I39" i="10"/>
  <c r="N39" i="10"/>
  <c r="U109" i="26"/>
  <c r="E40" i="10"/>
  <c r="H40" i="10"/>
  <c r="M40" i="10"/>
  <c r="R110" i="26"/>
  <c r="E31" i="10"/>
  <c r="I31" i="10"/>
  <c r="E9" i="10"/>
  <c r="H9" i="10"/>
  <c r="E10" i="10"/>
  <c r="G10" i="10"/>
  <c r="L10" i="10"/>
  <c r="O80" i="26"/>
  <c r="E11" i="10"/>
  <c r="G11" i="10"/>
  <c r="L11" i="10"/>
  <c r="O81" i="26"/>
  <c r="E12" i="10"/>
  <c r="F12" i="10"/>
  <c r="K12" i="10"/>
  <c r="L82" i="26"/>
  <c r="E14" i="10"/>
  <c r="I14" i="10"/>
  <c r="E15" i="10"/>
  <c r="H15" i="10"/>
  <c r="M15" i="10"/>
  <c r="R85" i="26"/>
  <c r="E16" i="10"/>
  <c r="G16" i="10"/>
  <c r="L16" i="10"/>
  <c r="O86" i="26"/>
  <c r="E17" i="10"/>
  <c r="F17" i="10"/>
  <c r="K17" i="10"/>
  <c r="L87" i="26"/>
  <c r="E18" i="10"/>
  <c r="I18" i="10"/>
  <c r="N18" i="10"/>
  <c r="U88" i="26"/>
  <c r="E19" i="10"/>
  <c r="H19" i="10"/>
  <c r="M19" i="10"/>
  <c r="R89" i="26"/>
  <c r="E20" i="10"/>
  <c r="G20" i="10"/>
  <c r="L20" i="10"/>
  <c r="O90" i="26"/>
  <c r="E22" i="10"/>
  <c r="F22" i="10"/>
  <c r="E23" i="10"/>
  <c r="I23" i="10"/>
  <c r="N23" i="10"/>
  <c r="U93" i="26"/>
  <c r="E24" i="10"/>
  <c r="H24" i="10"/>
  <c r="M24" i="10"/>
  <c r="R94" i="26"/>
  <c r="E25" i="10"/>
  <c r="G25" i="10"/>
  <c r="E26" i="10"/>
  <c r="F26" i="10"/>
  <c r="K26" i="10"/>
  <c r="L96" i="26"/>
  <c r="E27" i="10"/>
  <c r="I27" i="10"/>
  <c r="N27" i="10"/>
  <c r="U97" i="26"/>
  <c r="E28" i="10"/>
  <c r="H28" i="10"/>
  <c r="M28" i="10"/>
  <c r="R98" i="26"/>
  <c r="E29" i="10"/>
  <c r="G29" i="10"/>
  <c r="L29" i="10"/>
  <c r="O99" i="26"/>
  <c r="R99" i="16"/>
  <c r="V19" i="26"/>
  <c r="K96" i="26"/>
  <c r="J96" i="26"/>
  <c r="J113" i="26"/>
  <c r="K113" i="26"/>
  <c r="Z25" i="26"/>
  <c r="M19" i="26"/>
  <c r="J87" i="26"/>
  <c r="K87" i="26"/>
  <c r="M103" i="26"/>
  <c r="N103" i="26"/>
  <c r="J117" i="26"/>
  <c r="K117" i="26"/>
  <c r="Q24" i="16"/>
  <c r="D24" i="21"/>
  <c r="M90" i="26"/>
  <c r="N90" i="26"/>
  <c r="P106" i="26"/>
  <c r="Q106" i="26"/>
  <c r="K120" i="26"/>
  <c r="J120" i="26"/>
  <c r="Y20" i="26"/>
  <c r="J19" i="26"/>
  <c r="Y24" i="26"/>
  <c r="Y25" i="26"/>
  <c r="T19" i="26"/>
  <c r="C22" i="21"/>
  <c r="Y29" i="26"/>
  <c r="K82" i="26"/>
  <c r="J82" i="26"/>
  <c r="J125" i="26"/>
  <c r="K125" i="26"/>
  <c r="Z20" i="26"/>
  <c r="Q19" i="26"/>
  <c r="M81" i="26"/>
  <c r="N81" i="26"/>
  <c r="Q102" i="26"/>
  <c r="P102" i="26"/>
  <c r="K116" i="26"/>
  <c r="J116" i="26"/>
  <c r="Q98" i="26"/>
  <c r="P98" i="26"/>
  <c r="Q85" i="26"/>
  <c r="P85" i="26"/>
  <c r="T105" i="26"/>
  <c r="S105" i="26"/>
  <c r="K119" i="26"/>
  <c r="J119" i="26"/>
  <c r="K19" i="26"/>
  <c r="W19" i="26"/>
  <c r="Y28" i="26"/>
  <c r="Y21" i="26"/>
  <c r="P19" i="26"/>
  <c r="N107" i="26"/>
  <c r="M107" i="26"/>
  <c r="J121" i="26"/>
  <c r="K121" i="26"/>
  <c r="N99" i="26"/>
  <c r="M99" i="26"/>
  <c r="M86" i="26"/>
  <c r="N86" i="26"/>
  <c r="Q110" i="26"/>
  <c r="P110" i="26"/>
  <c r="K124" i="26"/>
  <c r="J124" i="26"/>
  <c r="Q94" i="26"/>
  <c r="P94" i="26"/>
  <c r="Q89" i="26"/>
  <c r="P89" i="26"/>
  <c r="M80" i="26"/>
  <c r="N80" i="26"/>
  <c r="T109" i="26"/>
  <c r="S109" i="26"/>
  <c r="K112" i="26"/>
  <c r="L111" i="26"/>
  <c r="J112" i="26"/>
  <c r="K123" i="26"/>
  <c r="J123" i="26"/>
  <c r="K115" i="26"/>
  <c r="J115" i="26"/>
  <c r="S97" i="26"/>
  <c r="T97" i="26"/>
  <c r="T93" i="26"/>
  <c r="S93" i="26"/>
  <c r="S88" i="26"/>
  <c r="T88" i="26"/>
  <c r="K108" i="26"/>
  <c r="J108" i="26"/>
  <c r="K104" i="26"/>
  <c r="J104" i="26"/>
  <c r="J126" i="26"/>
  <c r="K126" i="26"/>
  <c r="J122" i="26"/>
  <c r="K122" i="26"/>
  <c r="J118" i="26"/>
  <c r="K118" i="26"/>
  <c r="K114" i="26"/>
  <c r="J114" i="26"/>
  <c r="Q27" i="16"/>
  <c r="D27" i="21"/>
  <c r="Q25" i="16"/>
  <c r="D25" i="21"/>
  <c r="Q28" i="16"/>
  <c r="D28" i="21"/>
  <c r="AA19" i="26"/>
  <c r="Z21" i="26"/>
  <c r="Z28" i="26"/>
  <c r="S19" i="26"/>
  <c r="Z29" i="26"/>
  <c r="N19" i="26"/>
  <c r="Z24" i="26"/>
  <c r="S23" i="16"/>
  <c r="S27" i="16"/>
  <c r="S26" i="16"/>
  <c r="S22" i="16"/>
  <c r="L85" i="20"/>
  <c r="D89" i="16"/>
  <c r="L91" i="20"/>
  <c r="D95" i="16"/>
  <c r="L94" i="20"/>
  <c r="D98" i="16"/>
  <c r="L90" i="20"/>
  <c r="D94" i="16"/>
  <c r="L86" i="20"/>
  <c r="D90" i="16"/>
  <c r="L82" i="20"/>
  <c r="D86" i="16"/>
  <c r="L87" i="20"/>
  <c r="D91" i="16"/>
  <c r="G31" i="10"/>
  <c r="L93" i="20"/>
  <c r="D97" i="16"/>
  <c r="L89" i="20"/>
  <c r="D93" i="16"/>
  <c r="L81" i="20"/>
  <c r="D85" i="16"/>
  <c r="B23" i="16"/>
  <c r="Y21" i="20"/>
  <c r="D23" i="21"/>
  <c r="L83" i="20"/>
  <c r="D87" i="16"/>
  <c r="H14" i="10"/>
  <c r="M14" i="10"/>
  <c r="R84" i="26"/>
  <c r="J36" i="10"/>
  <c r="O36" i="10"/>
  <c r="X106" i="26"/>
  <c r="L92" i="20"/>
  <c r="D96" i="16"/>
  <c r="L88" i="20"/>
  <c r="D92" i="16"/>
  <c r="L84" i="20"/>
  <c r="D88" i="16"/>
  <c r="B22" i="16"/>
  <c r="Y20" i="20"/>
  <c r="J19" i="20"/>
  <c r="Y24" i="20"/>
  <c r="D26" i="21"/>
  <c r="Z20" i="20"/>
  <c r="R22" i="16"/>
  <c r="Z24" i="20"/>
  <c r="R26" i="16"/>
  <c r="W19" i="20"/>
  <c r="O21" i="16"/>
  <c r="Z25" i="20"/>
  <c r="R27" i="16"/>
  <c r="O23" i="16"/>
  <c r="V19" i="20"/>
  <c r="N21" i="16"/>
  <c r="Q23" i="16"/>
  <c r="K19" i="20"/>
  <c r="C21" i="16"/>
  <c r="C23" i="16"/>
  <c r="Z21" i="20"/>
  <c r="R23" i="16"/>
  <c r="AA19" i="20"/>
  <c r="E21" i="21"/>
  <c r="Q9" i="9"/>
  <c r="B21" i="16"/>
  <c r="R66" i="20"/>
  <c r="J70" i="16"/>
  <c r="O48" i="20"/>
  <c r="G52" i="16"/>
  <c r="R53" i="20"/>
  <c r="J57" i="16"/>
  <c r="X74" i="20"/>
  <c r="P78" i="16"/>
  <c r="U65" i="20"/>
  <c r="M69" i="16"/>
  <c r="U61" i="20"/>
  <c r="M65" i="16"/>
  <c r="U56" i="20"/>
  <c r="M60" i="16"/>
  <c r="O75" i="20"/>
  <c r="G79" i="16"/>
  <c r="O71" i="20"/>
  <c r="G75" i="16"/>
  <c r="G40" i="10"/>
  <c r="L40" i="10"/>
  <c r="O110" i="26"/>
  <c r="F36" i="10"/>
  <c r="K36" i="10"/>
  <c r="L106" i="26"/>
  <c r="R57" i="20"/>
  <c r="J61" i="16"/>
  <c r="L76" i="20"/>
  <c r="D80" i="16"/>
  <c r="L80" i="20"/>
  <c r="D84" i="16"/>
  <c r="L64" i="20"/>
  <c r="D68" i="16"/>
  <c r="L55" i="20"/>
  <c r="D59" i="16"/>
  <c r="L50" i="20"/>
  <c r="D54" i="16"/>
  <c r="J9" i="10"/>
  <c r="R78" i="20"/>
  <c r="J82" i="16"/>
  <c r="R74" i="20"/>
  <c r="J78" i="16"/>
  <c r="R70" i="20"/>
  <c r="J74" i="16"/>
  <c r="F40" i="10"/>
  <c r="K40" i="10"/>
  <c r="L110" i="26"/>
  <c r="J32" i="10"/>
  <c r="O32" i="10"/>
  <c r="X102" i="26"/>
  <c r="J89" i="20"/>
  <c r="B93" i="16"/>
  <c r="R62" i="20"/>
  <c r="J66" i="16"/>
  <c r="L72" i="20"/>
  <c r="D76" i="16"/>
  <c r="O67" i="20"/>
  <c r="G71" i="16"/>
  <c r="O58" i="20"/>
  <c r="G62" i="16"/>
  <c r="O54" i="20"/>
  <c r="G58" i="16"/>
  <c r="O49" i="20"/>
  <c r="G53" i="16"/>
  <c r="I9" i="10"/>
  <c r="N9" i="10"/>
  <c r="U79" i="26"/>
  <c r="U77" i="20"/>
  <c r="M81" i="16"/>
  <c r="U73" i="20"/>
  <c r="M77" i="16"/>
  <c r="F31" i="10"/>
  <c r="K31" i="10"/>
  <c r="L101" i="26"/>
  <c r="F37" i="10"/>
  <c r="K37" i="10"/>
  <c r="L107" i="26"/>
  <c r="I32" i="10"/>
  <c r="N32" i="10"/>
  <c r="U102" i="26"/>
  <c r="K92" i="20"/>
  <c r="C96" i="16"/>
  <c r="J92" i="20"/>
  <c r="B96" i="16"/>
  <c r="K88" i="20"/>
  <c r="C92" i="16"/>
  <c r="P45" i="10"/>
  <c r="AA115" i="26"/>
  <c r="P53" i="10"/>
  <c r="AA123" i="26"/>
  <c r="P49" i="10"/>
  <c r="AA119" i="26"/>
  <c r="P51" i="10"/>
  <c r="AA121" i="26"/>
  <c r="P43" i="10"/>
  <c r="AA113" i="26"/>
  <c r="I34" i="10"/>
  <c r="N34" i="10"/>
  <c r="U104" i="26"/>
  <c r="P56" i="10"/>
  <c r="AA126" i="26"/>
  <c r="P52" i="10"/>
  <c r="AA122" i="26"/>
  <c r="P48" i="10"/>
  <c r="AA118" i="26"/>
  <c r="P44" i="10"/>
  <c r="AA114" i="26"/>
  <c r="P55" i="10"/>
  <c r="AA125" i="26"/>
  <c r="H27" i="10"/>
  <c r="M27" i="10"/>
  <c r="R97" i="26"/>
  <c r="J40" i="10"/>
  <c r="O40" i="10"/>
  <c r="X110" i="26"/>
  <c r="I38" i="10"/>
  <c r="N38" i="10"/>
  <c r="U108" i="26"/>
  <c r="I36" i="10"/>
  <c r="N36" i="10"/>
  <c r="U106" i="26"/>
  <c r="J33" i="10"/>
  <c r="O33" i="10"/>
  <c r="X103" i="26"/>
  <c r="G32" i="10"/>
  <c r="L32" i="10"/>
  <c r="O102" i="26"/>
  <c r="I16" i="10"/>
  <c r="N16" i="10"/>
  <c r="U86" i="26"/>
  <c r="P47" i="10"/>
  <c r="AA117" i="26"/>
  <c r="F9" i="10"/>
  <c r="K9" i="10"/>
  <c r="L79" i="26"/>
  <c r="H23" i="10"/>
  <c r="M23" i="10"/>
  <c r="R93" i="26"/>
  <c r="I40" i="10"/>
  <c r="N40" i="10"/>
  <c r="U110" i="26"/>
  <c r="J37" i="10"/>
  <c r="O37" i="10"/>
  <c r="X107" i="26"/>
  <c r="G36" i="10"/>
  <c r="L36" i="10"/>
  <c r="O106" i="26"/>
  <c r="F33" i="10"/>
  <c r="K33" i="10"/>
  <c r="L103" i="26"/>
  <c r="F32" i="10"/>
  <c r="K32" i="10"/>
  <c r="L102" i="26"/>
  <c r="P54" i="10"/>
  <c r="AA124" i="26"/>
  <c r="P50" i="10"/>
  <c r="AA120" i="26"/>
  <c r="P46" i="10"/>
  <c r="AA116" i="26"/>
  <c r="K41" i="10"/>
  <c r="P42" i="10"/>
  <c r="AA112" i="26"/>
  <c r="O9" i="10"/>
  <c r="X79" i="26"/>
  <c r="I25" i="10"/>
  <c r="J31" i="10"/>
  <c r="G39" i="10"/>
  <c r="L39" i="10"/>
  <c r="O109" i="26"/>
  <c r="H38" i="10"/>
  <c r="M38" i="10"/>
  <c r="R108" i="26"/>
  <c r="I37" i="10"/>
  <c r="N37" i="10"/>
  <c r="U107" i="26"/>
  <c r="G35" i="10"/>
  <c r="L35" i="10"/>
  <c r="O105" i="26"/>
  <c r="H34" i="10"/>
  <c r="M34" i="10"/>
  <c r="R104" i="26"/>
  <c r="I33" i="10"/>
  <c r="N33" i="10"/>
  <c r="U103" i="26"/>
  <c r="L31" i="10"/>
  <c r="O101" i="26"/>
  <c r="F39" i="10"/>
  <c r="K39" i="10"/>
  <c r="L109" i="26"/>
  <c r="H37" i="10"/>
  <c r="M37" i="10"/>
  <c r="R107" i="26"/>
  <c r="J35" i="10"/>
  <c r="O35" i="10"/>
  <c r="X105" i="26"/>
  <c r="G34" i="10"/>
  <c r="L34" i="10"/>
  <c r="O104" i="26"/>
  <c r="H33" i="10"/>
  <c r="M33" i="10"/>
  <c r="R103" i="26"/>
  <c r="F41" i="10"/>
  <c r="H39" i="10"/>
  <c r="M39" i="10"/>
  <c r="R109" i="26"/>
  <c r="H35" i="10"/>
  <c r="M35" i="10"/>
  <c r="R105" i="26"/>
  <c r="E30" i="10"/>
  <c r="J39" i="10"/>
  <c r="O39" i="10"/>
  <c r="X109" i="26"/>
  <c r="G38" i="10"/>
  <c r="L38" i="10"/>
  <c r="O108" i="26"/>
  <c r="F35" i="10"/>
  <c r="K35" i="10"/>
  <c r="L105" i="26"/>
  <c r="N14" i="10"/>
  <c r="U84" i="26"/>
  <c r="M9" i="10"/>
  <c r="R79" i="26"/>
  <c r="G9" i="10"/>
  <c r="H18" i="10"/>
  <c r="M18" i="10"/>
  <c r="R88" i="26"/>
  <c r="H31" i="10"/>
  <c r="M31" i="10"/>
  <c r="R101" i="26"/>
  <c r="J38" i="10"/>
  <c r="O38" i="10"/>
  <c r="X108" i="26"/>
  <c r="J34" i="10"/>
  <c r="O34" i="10"/>
  <c r="X104" i="26"/>
  <c r="K22" i="10"/>
  <c r="L92" i="26"/>
  <c r="N31" i="10"/>
  <c r="U101" i="26"/>
  <c r="L25" i="10"/>
  <c r="O95" i="26"/>
  <c r="N25" i="10"/>
  <c r="U95" i="26"/>
  <c r="J29" i="10"/>
  <c r="O29" i="10"/>
  <c r="X99" i="26"/>
  <c r="F25" i="10"/>
  <c r="K25" i="10"/>
  <c r="L95" i="26"/>
  <c r="I17" i="10"/>
  <c r="N17" i="10"/>
  <c r="U87" i="26"/>
  <c r="I29" i="10"/>
  <c r="N29" i="10"/>
  <c r="U99" i="26"/>
  <c r="H26" i="10"/>
  <c r="M26" i="10"/>
  <c r="R96" i="26"/>
  <c r="I20" i="10"/>
  <c r="N20" i="10"/>
  <c r="U90" i="26"/>
  <c r="I11" i="10"/>
  <c r="N11" i="10"/>
  <c r="U81" i="26"/>
  <c r="H22" i="10"/>
  <c r="M22" i="10"/>
  <c r="R92" i="26"/>
  <c r="H12" i="10"/>
  <c r="M12" i="10"/>
  <c r="R82" i="26"/>
  <c r="I26" i="10"/>
  <c r="N26" i="10"/>
  <c r="U96" i="26"/>
  <c r="J20" i="10"/>
  <c r="O20" i="10"/>
  <c r="X90" i="26"/>
  <c r="F16" i="10"/>
  <c r="K16" i="10"/>
  <c r="L86" i="26"/>
  <c r="J11" i="10"/>
  <c r="O11" i="10"/>
  <c r="X81" i="26"/>
  <c r="H17" i="10"/>
  <c r="M17" i="10"/>
  <c r="R87" i="26"/>
  <c r="F29" i="10"/>
  <c r="K29" i="10"/>
  <c r="L99" i="26"/>
  <c r="J25" i="10"/>
  <c r="I22" i="10"/>
  <c r="N22" i="10"/>
  <c r="U92" i="26"/>
  <c r="F20" i="10"/>
  <c r="K20" i="10"/>
  <c r="L90" i="26"/>
  <c r="J16" i="10"/>
  <c r="O16" i="10"/>
  <c r="X86" i="26"/>
  <c r="I12" i="10"/>
  <c r="N12" i="10"/>
  <c r="U82" i="26"/>
  <c r="F11" i="10"/>
  <c r="G24" i="10"/>
  <c r="L24" i="10"/>
  <c r="O94" i="26"/>
  <c r="G15" i="10"/>
  <c r="L15" i="10"/>
  <c r="O85" i="26"/>
  <c r="I10" i="10"/>
  <c r="N10" i="10"/>
  <c r="U80" i="26"/>
  <c r="F28" i="10"/>
  <c r="K28" i="10"/>
  <c r="L98" i="26"/>
  <c r="J24" i="10"/>
  <c r="O24" i="10"/>
  <c r="X94" i="26"/>
  <c r="G23" i="10"/>
  <c r="L23" i="10"/>
  <c r="O93" i="26"/>
  <c r="F19" i="10"/>
  <c r="K19" i="10"/>
  <c r="L89" i="26"/>
  <c r="J15" i="10"/>
  <c r="O15" i="10"/>
  <c r="X85" i="26"/>
  <c r="G14" i="10"/>
  <c r="H10" i="10"/>
  <c r="M10" i="10"/>
  <c r="R80" i="26"/>
  <c r="H29" i="10"/>
  <c r="M29" i="10"/>
  <c r="R99" i="26"/>
  <c r="I28" i="10"/>
  <c r="N28" i="10"/>
  <c r="U98" i="26"/>
  <c r="J27" i="10"/>
  <c r="O27" i="10"/>
  <c r="X97" i="26"/>
  <c r="F27" i="10"/>
  <c r="K27" i="10"/>
  <c r="L97" i="26"/>
  <c r="G26" i="10"/>
  <c r="L26" i="10"/>
  <c r="O96" i="26"/>
  <c r="H25" i="10"/>
  <c r="I24" i="10"/>
  <c r="N24" i="10"/>
  <c r="U94" i="26"/>
  <c r="J23" i="10"/>
  <c r="O23" i="10"/>
  <c r="X93" i="26"/>
  <c r="F23" i="10"/>
  <c r="K23" i="10"/>
  <c r="L93" i="26"/>
  <c r="G22" i="10"/>
  <c r="L22" i="10"/>
  <c r="O92" i="26"/>
  <c r="H20" i="10"/>
  <c r="M20" i="10"/>
  <c r="R90" i="26"/>
  <c r="I19" i="10"/>
  <c r="N19" i="10"/>
  <c r="U89" i="26"/>
  <c r="J18" i="10"/>
  <c r="O18" i="10"/>
  <c r="X88" i="26"/>
  <c r="F18" i="10"/>
  <c r="K18" i="10"/>
  <c r="L88" i="26"/>
  <c r="G17" i="10"/>
  <c r="L17" i="10"/>
  <c r="O87" i="26"/>
  <c r="H16" i="10"/>
  <c r="M16" i="10"/>
  <c r="R86" i="26"/>
  <c r="I15" i="10"/>
  <c r="N15" i="10"/>
  <c r="U85" i="26"/>
  <c r="J14" i="10"/>
  <c r="F14" i="10"/>
  <c r="G12" i="10"/>
  <c r="L12" i="10"/>
  <c r="O82" i="26"/>
  <c r="H11" i="10"/>
  <c r="M11" i="10"/>
  <c r="R81" i="26"/>
  <c r="J10" i="10"/>
  <c r="O10" i="10"/>
  <c r="X80" i="26"/>
  <c r="G28" i="10"/>
  <c r="L28" i="10"/>
  <c r="O98" i="26"/>
  <c r="G19" i="10"/>
  <c r="L19" i="10"/>
  <c r="O89" i="26"/>
  <c r="J28" i="10"/>
  <c r="O28" i="10"/>
  <c r="X98" i="26"/>
  <c r="G27" i="10"/>
  <c r="L27" i="10"/>
  <c r="O97" i="26"/>
  <c r="F24" i="10"/>
  <c r="K24" i="10"/>
  <c r="L94" i="26"/>
  <c r="J19" i="10"/>
  <c r="O19" i="10"/>
  <c r="X89" i="26"/>
  <c r="G18" i="10"/>
  <c r="L18" i="10"/>
  <c r="O88" i="26"/>
  <c r="F15" i="10"/>
  <c r="K15" i="10"/>
  <c r="L85" i="26"/>
  <c r="F10" i="10"/>
  <c r="K10" i="10"/>
  <c r="L80" i="26"/>
  <c r="J26" i="10"/>
  <c r="O26" i="10"/>
  <c r="X96" i="26"/>
  <c r="J22" i="10"/>
  <c r="O22" i="10"/>
  <c r="X92" i="26"/>
  <c r="J17" i="10"/>
  <c r="O17" i="10"/>
  <c r="X87" i="26"/>
  <c r="J12" i="10"/>
  <c r="O12" i="10"/>
  <c r="X82" i="26"/>
  <c r="Q81" i="26"/>
  <c r="P81" i="26"/>
  <c r="M96" i="26"/>
  <c r="N96" i="26"/>
  <c r="S82" i="26"/>
  <c r="T82" i="26"/>
  <c r="Q101" i="26"/>
  <c r="P101" i="26"/>
  <c r="R100" i="26"/>
  <c r="T79" i="26"/>
  <c r="U78" i="26"/>
  <c r="S79" i="26"/>
  <c r="S80" i="26"/>
  <c r="S81" i="26"/>
  <c r="S78" i="26"/>
  <c r="T86" i="26"/>
  <c r="S86" i="26"/>
  <c r="Y123" i="26"/>
  <c r="Z123" i="26"/>
  <c r="R83" i="26"/>
  <c r="Q84" i="26"/>
  <c r="P84" i="26"/>
  <c r="W92" i="26"/>
  <c r="V92" i="26"/>
  <c r="S85" i="26"/>
  <c r="T85" i="26"/>
  <c r="P99" i="26"/>
  <c r="Q99" i="26"/>
  <c r="J86" i="26"/>
  <c r="K86" i="26"/>
  <c r="Q88" i="26"/>
  <c r="P88" i="26"/>
  <c r="J109" i="26"/>
  <c r="K109" i="26"/>
  <c r="T108" i="26"/>
  <c r="S108" i="26"/>
  <c r="W89" i="26"/>
  <c r="V89" i="26"/>
  <c r="Q86" i="26"/>
  <c r="P86" i="26"/>
  <c r="K97" i="26"/>
  <c r="J97" i="26"/>
  <c r="M85" i="26"/>
  <c r="N85" i="26"/>
  <c r="W90" i="26"/>
  <c r="V90" i="26"/>
  <c r="T95" i="26"/>
  <c r="S95" i="26"/>
  <c r="M108" i="26"/>
  <c r="N108" i="26"/>
  <c r="N104" i="26"/>
  <c r="M104" i="26"/>
  <c r="T107" i="26"/>
  <c r="S107" i="26"/>
  <c r="Z116" i="26"/>
  <c r="Y116" i="26"/>
  <c r="K103" i="26"/>
  <c r="J103" i="26"/>
  <c r="Q93" i="26"/>
  <c r="P93" i="26"/>
  <c r="M102" i="26"/>
  <c r="N102" i="26"/>
  <c r="W110" i="26"/>
  <c r="V110" i="26"/>
  <c r="Y118" i="26"/>
  <c r="Z118" i="26"/>
  <c r="Y113" i="26"/>
  <c r="Z113" i="26"/>
  <c r="Y115" i="26"/>
  <c r="Z115" i="26"/>
  <c r="J101" i="26"/>
  <c r="K101" i="26"/>
  <c r="L100" i="26"/>
  <c r="W102" i="26"/>
  <c r="V102" i="26"/>
  <c r="J94" i="20"/>
  <c r="B98" i="16"/>
  <c r="K111" i="26"/>
  <c r="B22" i="21"/>
  <c r="W98" i="26"/>
  <c r="V98" i="26"/>
  <c r="K93" i="26"/>
  <c r="J93" i="26"/>
  <c r="T80" i="26"/>
  <c r="Q92" i="26"/>
  <c r="P92" i="26"/>
  <c r="K92" i="26"/>
  <c r="J92" i="26"/>
  <c r="L91" i="26"/>
  <c r="P103" i="26"/>
  <c r="Q103" i="26"/>
  <c r="K102" i="26"/>
  <c r="J102" i="26"/>
  <c r="T104" i="26"/>
  <c r="S104" i="26"/>
  <c r="M89" i="26"/>
  <c r="N89" i="26"/>
  <c r="T89" i="26"/>
  <c r="S89" i="26"/>
  <c r="Q80" i="26"/>
  <c r="P80" i="26"/>
  <c r="K99" i="26"/>
  <c r="J99" i="26"/>
  <c r="T87" i="26"/>
  <c r="S87" i="26"/>
  <c r="P105" i="26"/>
  <c r="Q105" i="26"/>
  <c r="K80" i="26"/>
  <c r="J80" i="26"/>
  <c r="M98" i="26"/>
  <c r="N98" i="26"/>
  <c r="M87" i="26"/>
  <c r="N87" i="26"/>
  <c r="T94" i="26"/>
  <c r="S94" i="26"/>
  <c r="W94" i="26"/>
  <c r="V94" i="26"/>
  <c r="J90" i="26"/>
  <c r="K90" i="26"/>
  <c r="S96" i="26"/>
  <c r="T96" i="26"/>
  <c r="K95" i="26"/>
  <c r="J95" i="26"/>
  <c r="W108" i="26"/>
  <c r="V108" i="26"/>
  <c r="Q109" i="26"/>
  <c r="P109" i="26"/>
  <c r="S103" i="26"/>
  <c r="T103" i="26"/>
  <c r="W79" i="26"/>
  <c r="V79" i="26"/>
  <c r="X78" i="26"/>
  <c r="N106" i="26"/>
  <c r="M106" i="26"/>
  <c r="W103" i="26"/>
  <c r="V103" i="26"/>
  <c r="Y122" i="26"/>
  <c r="Z122" i="26"/>
  <c r="J84" i="20"/>
  <c r="B88" i="16"/>
  <c r="K110" i="26"/>
  <c r="J110" i="26"/>
  <c r="K106" i="26"/>
  <c r="J106" i="26"/>
  <c r="Q22" i="16"/>
  <c r="D22" i="21"/>
  <c r="Z19" i="26"/>
  <c r="M88" i="26"/>
  <c r="N88" i="26"/>
  <c r="W88" i="26"/>
  <c r="V88" i="26"/>
  <c r="K89" i="26"/>
  <c r="J89" i="26"/>
  <c r="S99" i="26"/>
  <c r="T99" i="26"/>
  <c r="K105" i="26"/>
  <c r="J105" i="26"/>
  <c r="M105" i="26"/>
  <c r="N105" i="26"/>
  <c r="T110" i="26"/>
  <c r="S110" i="26"/>
  <c r="Y114" i="26"/>
  <c r="Z114" i="26"/>
  <c r="K107" i="26"/>
  <c r="J107" i="26"/>
  <c r="W96" i="26"/>
  <c r="V96" i="26"/>
  <c r="M82" i="26"/>
  <c r="N82" i="26"/>
  <c r="W93" i="26"/>
  <c r="V93" i="26"/>
  <c r="M93" i="26"/>
  <c r="N93" i="26"/>
  <c r="W86" i="26"/>
  <c r="V86" i="26"/>
  <c r="T81" i="26"/>
  <c r="W104" i="26"/>
  <c r="V104" i="26"/>
  <c r="N101" i="26"/>
  <c r="M101" i="26"/>
  <c r="O100" i="26"/>
  <c r="W82" i="26"/>
  <c r="V82" i="26"/>
  <c r="K94" i="26"/>
  <c r="J94" i="26"/>
  <c r="Q90" i="26"/>
  <c r="P90" i="26"/>
  <c r="W97" i="26"/>
  <c r="V97" i="26"/>
  <c r="M94" i="26"/>
  <c r="N94" i="26"/>
  <c r="Q87" i="26"/>
  <c r="P87" i="26"/>
  <c r="T90" i="26"/>
  <c r="S90" i="26"/>
  <c r="M95" i="26"/>
  <c r="N95" i="26"/>
  <c r="P79" i="26"/>
  <c r="P82" i="26"/>
  <c r="P78" i="26"/>
  <c r="R78" i="26"/>
  <c r="Q79" i="26"/>
  <c r="W109" i="26"/>
  <c r="V109" i="26"/>
  <c r="W105" i="26"/>
  <c r="V105" i="26"/>
  <c r="Q108" i="26"/>
  <c r="P108" i="26"/>
  <c r="Y120" i="26"/>
  <c r="Z120" i="26"/>
  <c r="K79" i="26"/>
  <c r="J79" i="26"/>
  <c r="P97" i="26"/>
  <c r="Q97" i="26"/>
  <c r="Y121" i="26"/>
  <c r="Z121" i="26"/>
  <c r="W87" i="26"/>
  <c r="V87" i="26"/>
  <c r="J85" i="26"/>
  <c r="K85" i="26"/>
  <c r="N97" i="26"/>
  <c r="M97" i="26"/>
  <c r="W80" i="26"/>
  <c r="V80" i="26"/>
  <c r="J88" i="26"/>
  <c r="K88" i="26"/>
  <c r="M92" i="26"/>
  <c r="O91" i="26"/>
  <c r="N92" i="26"/>
  <c r="S98" i="26"/>
  <c r="T98" i="26"/>
  <c r="V85" i="26"/>
  <c r="W85" i="26"/>
  <c r="K98" i="26"/>
  <c r="J98" i="26"/>
  <c r="T92" i="26"/>
  <c r="U91" i="26"/>
  <c r="S92" i="26"/>
  <c r="W81" i="26"/>
  <c r="V81" i="26"/>
  <c r="Q82" i="26"/>
  <c r="Q96" i="26"/>
  <c r="P96" i="26"/>
  <c r="W99" i="26"/>
  <c r="V99" i="26"/>
  <c r="S101" i="26"/>
  <c r="U100" i="26"/>
  <c r="T101" i="26"/>
  <c r="S84" i="26"/>
  <c r="T84" i="26"/>
  <c r="U83" i="26"/>
  <c r="Q107" i="26"/>
  <c r="P107" i="26"/>
  <c r="P104" i="26"/>
  <c r="Q104" i="26"/>
  <c r="M109" i="26"/>
  <c r="N109" i="26"/>
  <c r="Z112" i="26"/>
  <c r="AA111" i="26"/>
  <c r="Y112" i="26"/>
  <c r="Z124" i="26"/>
  <c r="Y124" i="26"/>
  <c r="V107" i="26"/>
  <c r="W107" i="26"/>
  <c r="Y117" i="26"/>
  <c r="Z117" i="26"/>
  <c r="T106" i="26"/>
  <c r="S106" i="26"/>
  <c r="Y125" i="26"/>
  <c r="Z125" i="26"/>
  <c r="Y126" i="26"/>
  <c r="Z126" i="26"/>
  <c r="Y119" i="26"/>
  <c r="Z119" i="26"/>
  <c r="K84" i="20"/>
  <c r="C88" i="16"/>
  <c r="S102" i="26"/>
  <c r="T102" i="26"/>
  <c r="K81" i="20"/>
  <c r="C85" i="16"/>
  <c r="M110" i="26"/>
  <c r="N110" i="26"/>
  <c r="W106" i="26"/>
  <c r="V106" i="26"/>
  <c r="J111" i="26"/>
  <c r="Y19" i="26"/>
  <c r="J86" i="20"/>
  <c r="B90" i="16"/>
  <c r="K82" i="20"/>
  <c r="C86" i="16"/>
  <c r="K87" i="20"/>
  <c r="C91" i="16"/>
  <c r="K89" i="20"/>
  <c r="C93" i="16"/>
  <c r="J90" i="20"/>
  <c r="B94" i="16"/>
  <c r="J85" i="20"/>
  <c r="B89" i="16"/>
  <c r="J87" i="20"/>
  <c r="B91" i="16"/>
  <c r="J82" i="20"/>
  <c r="B86" i="16"/>
  <c r="K90" i="20"/>
  <c r="C94" i="16"/>
  <c r="K85" i="20"/>
  <c r="C89" i="16"/>
  <c r="L61" i="20"/>
  <c r="D65" i="16"/>
  <c r="U48" i="20"/>
  <c r="M52" i="16"/>
  <c r="L54" i="20"/>
  <c r="D58" i="16"/>
  <c r="R71" i="20"/>
  <c r="J75" i="16"/>
  <c r="O72" i="20"/>
  <c r="G76" i="16"/>
  <c r="R69" i="20"/>
  <c r="J73" i="16"/>
  <c r="L73" i="20"/>
  <c r="D77" i="16"/>
  <c r="L65" i="20"/>
  <c r="D69" i="16"/>
  <c r="L62" i="20"/>
  <c r="D66" i="16"/>
  <c r="O55" i="20"/>
  <c r="G59" i="16"/>
  <c r="P32" i="10"/>
  <c r="AA102" i="26"/>
  <c r="AA80" i="20"/>
  <c r="S84" i="16"/>
  <c r="K86" i="20"/>
  <c r="C90" i="16"/>
  <c r="K94" i="20"/>
  <c r="C98" i="16"/>
  <c r="K83" i="20"/>
  <c r="C87" i="16"/>
  <c r="K91" i="20"/>
  <c r="C95" i="16"/>
  <c r="J93" i="20"/>
  <c r="B97" i="16"/>
  <c r="Y19" i="20"/>
  <c r="D21" i="21"/>
  <c r="Q26" i="16"/>
  <c r="U53" i="20"/>
  <c r="M57" i="16"/>
  <c r="O64" i="20"/>
  <c r="G68" i="16"/>
  <c r="L57" i="20"/>
  <c r="D61" i="16"/>
  <c r="O50" i="20"/>
  <c r="G54" i="16"/>
  <c r="P40" i="10"/>
  <c r="AA110" i="26"/>
  <c r="X48" i="20"/>
  <c r="P52" i="16"/>
  <c r="U69" i="20"/>
  <c r="M73" i="16"/>
  <c r="R75" i="20"/>
  <c r="J79" i="16"/>
  <c r="R76" i="20"/>
  <c r="J80" i="16"/>
  <c r="J88" i="20"/>
  <c r="B92" i="16"/>
  <c r="J81" i="20"/>
  <c r="B85" i="16"/>
  <c r="L74" i="20"/>
  <c r="D78" i="16"/>
  <c r="J83" i="20"/>
  <c r="B87" i="16"/>
  <c r="J91" i="20"/>
  <c r="B95" i="16"/>
  <c r="K93" i="20"/>
  <c r="C97" i="16"/>
  <c r="S21" i="16"/>
  <c r="S20" i="16"/>
  <c r="Z19" i="20"/>
  <c r="X66" i="20"/>
  <c r="P70" i="16"/>
  <c r="X56" i="20"/>
  <c r="P60" i="16"/>
  <c r="R67" i="20"/>
  <c r="J71" i="16"/>
  <c r="U50" i="20"/>
  <c r="M54" i="16"/>
  <c r="K54" i="20"/>
  <c r="C58" i="16"/>
  <c r="R60" i="20"/>
  <c r="J64" i="16"/>
  <c r="U67" i="20"/>
  <c r="M71" i="16"/>
  <c r="P69" i="20"/>
  <c r="H73" i="16"/>
  <c r="L60" i="20"/>
  <c r="D64" i="16"/>
  <c r="R56" i="20"/>
  <c r="J60" i="16"/>
  <c r="K73" i="20"/>
  <c r="C77" i="16"/>
  <c r="U47" i="20"/>
  <c r="M51" i="16"/>
  <c r="L77" i="20"/>
  <c r="D81" i="16"/>
  <c r="R72" i="20"/>
  <c r="J76" i="16"/>
  <c r="O77" i="20"/>
  <c r="G81" i="16"/>
  <c r="X47" i="20"/>
  <c r="P51" i="16"/>
  <c r="AA88" i="20"/>
  <c r="S92" i="16"/>
  <c r="L71" i="20"/>
  <c r="D75" i="16"/>
  <c r="O70" i="20"/>
  <c r="G74" i="16"/>
  <c r="X78" i="20"/>
  <c r="P82" i="16"/>
  <c r="AA89" i="20"/>
  <c r="S93" i="16"/>
  <c r="AA91" i="20"/>
  <c r="S95" i="16"/>
  <c r="L69" i="20"/>
  <c r="D73" i="16"/>
  <c r="N54" i="20"/>
  <c r="F58" i="16"/>
  <c r="M54" i="20"/>
  <c r="E58" i="16"/>
  <c r="N67" i="20"/>
  <c r="F71" i="16"/>
  <c r="M67" i="20"/>
  <c r="E71" i="16"/>
  <c r="Q62" i="20"/>
  <c r="I66" i="16"/>
  <c r="P62" i="20"/>
  <c r="H66" i="16"/>
  <c r="K55" i="20"/>
  <c r="C59" i="16"/>
  <c r="J55" i="20"/>
  <c r="B59" i="16"/>
  <c r="K80" i="20"/>
  <c r="J80" i="20"/>
  <c r="L79" i="20"/>
  <c r="D83" i="16"/>
  <c r="P57" i="20"/>
  <c r="H61" i="16"/>
  <c r="Q57" i="20"/>
  <c r="I61" i="16"/>
  <c r="N71" i="20"/>
  <c r="F75" i="16"/>
  <c r="M71" i="20"/>
  <c r="E75" i="16"/>
  <c r="T56" i="20"/>
  <c r="L60" i="16"/>
  <c r="S56" i="20"/>
  <c r="K60" i="16"/>
  <c r="S65" i="20"/>
  <c r="K69" i="16"/>
  <c r="T65" i="20"/>
  <c r="L69" i="16"/>
  <c r="P53" i="20"/>
  <c r="H57" i="16"/>
  <c r="Q53" i="20"/>
  <c r="I57" i="16"/>
  <c r="Q66" i="20"/>
  <c r="I70" i="16"/>
  <c r="P66" i="20"/>
  <c r="H70" i="16"/>
  <c r="R49" i="20"/>
  <c r="J53" i="16"/>
  <c r="X57" i="20"/>
  <c r="P61" i="16"/>
  <c r="O57" i="20"/>
  <c r="G61" i="16"/>
  <c r="R54" i="20"/>
  <c r="J58" i="16"/>
  <c r="U57" i="20"/>
  <c r="M61" i="16"/>
  <c r="X61" i="20"/>
  <c r="P65" i="16"/>
  <c r="R48" i="20"/>
  <c r="J52" i="16"/>
  <c r="O61" i="20"/>
  <c r="G65" i="16"/>
  <c r="O53" i="20"/>
  <c r="G57" i="16"/>
  <c r="X54" i="20"/>
  <c r="P58" i="16"/>
  <c r="L67" i="20"/>
  <c r="D71" i="16"/>
  <c r="X58" i="20"/>
  <c r="P62" i="16"/>
  <c r="U49" i="20"/>
  <c r="M53" i="16"/>
  <c r="U55" i="20"/>
  <c r="M59" i="16"/>
  <c r="U63" i="20"/>
  <c r="M67" i="16"/>
  <c r="X72" i="20"/>
  <c r="P76" i="16"/>
  <c r="O76" i="20"/>
  <c r="G80" i="16"/>
  <c r="R73" i="20"/>
  <c r="J77" i="16"/>
  <c r="O69" i="20"/>
  <c r="G73" i="16"/>
  <c r="O73" i="20"/>
  <c r="G77" i="16"/>
  <c r="AA78" i="20"/>
  <c r="S82" i="16"/>
  <c r="O74" i="20"/>
  <c r="G78" i="16"/>
  <c r="AA85" i="20"/>
  <c r="S89" i="16"/>
  <c r="X71" i="20"/>
  <c r="P75" i="16"/>
  <c r="R65" i="20"/>
  <c r="J69" i="16"/>
  <c r="AA93" i="20"/>
  <c r="S97" i="16"/>
  <c r="AA82" i="20"/>
  <c r="S86" i="16"/>
  <c r="AA90" i="20"/>
  <c r="S94" i="16"/>
  <c r="T73" i="20"/>
  <c r="L77" i="16"/>
  <c r="S73" i="20"/>
  <c r="K77" i="16"/>
  <c r="X70" i="20"/>
  <c r="P74" i="16"/>
  <c r="Q74" i="20"/>
  <c r="I78" i="16"/>
  <c r="P74" i="20"/>
  <c r="H78" i="16"/>
  <c r="X60" i="20"/>
  <c r="P64" i="16"/>
  <c r="X50" i="20"/>
  <c r="P54" i="16"/>
  <c r="L48" i="20"/>
  <c r="D52" i="16"/>
  <c r="K62" i="20"/>
  <c r="C66" i="16"/>
  <c r="O66" i="20"/>
  <c r="G70" i="16"/>
  <c r="M55" i="20"/>
  <c r="E59" i="16"/>
  <c r="R58" i="20"/>
  <c r="J62" i="16"/>
  <c r="U62" i="20"/>
  <c r="M66" i="16"/>
  <c r="X65" i="20"/>
  <c r="P69" i="16"/>
  <c r="X62" i="20"/>
  <c r="P66" i="16"/>
  <c r="O62" i="20"/>
  <c r="G66" i="16"/>
  <c r="L58" i="20"/>
  <c r="D62" i="16"/>
  <c r="R55" i="20"/>
  <c r="J59" i="16"/>
  <c r="U64" i="20"/>
  <c r="M68" i="16"/>
  <c r="U58" i="20"/>
  <c r="M62" i="16"/>
  <c r="L63" i="20"/>
  <c r="D67" i="16"/>
  <c r="O63" i="20"/>
  <c r="G67" i="16"/>
  <c r="X76" i="20"/>
  <c r="P80" i="16"/>
  <c r="R47" i="20"/>
  <c r="J51" i="16"/>
  <c r="X77" i="20"/>
  <c r="P81" i="16"/>
  <c r="R77" i="20"/>
  <c r="J81" i="16"/>
  <c r="X73" i="20"/>
  <c r="P77" i="16"/>
  <c r="U75" i="20"/>
  <c r="M79" i="16"/>
  <c r="R52" i="20"/>
  <c r="J56" i="16"/>
  <c r="AA84" i="20"/>
  <c r="S88" i="16"/>
  <c r="AA92" i="20"/>
  <c r="S96" i="16"/>
  <c r="X75" i="20"/>
  <c r="P79" i="16"/>
  <c r="R61" i="20"/>
  <c r="J65" i="16"/>
  <c r="U54" i="20"/>
  <c r="M58" i="16"/>
  <c r="U74" i="20"/>
  <c r="M78" i="16"/>
  <c r="U72" i="20"/>
  <c r="M76" i="16"/>
  <c r="AA81" i="20"/>
  <c r="S85" i="16"/>
  <c r="AA87" i="20"/>
  <c r="S91" i="16"/>
  <c r="AA83" i="20"/>
  <c r="S87" i="16"/>
  <c r="U70" i="20"/>
  <c r="M74" i="16"/>
  <c r="N49" i="20"/>
  <c r="F53" i="16"/>
  <c r="M49" i="20"/>
  <c r="E53" i="16"/>
  <c r="N58" i="20"/>
  <c r="F62" i="16"/>
  <c r="M58" i="20"/>
  <c r="E62" i="16"/>
  <c r="J72" i="20"/>
  <c r="B76" i="16"/>
  <c r="K72" i="20"/>
  <c r="C76" i="16"/>
  <c r="L78" i="20"/>
  <c r="D82" i="16"/>
  <c r="J50" i="20"/>
  <c r="B54" i="16"/>
  <c r="K50" i="20"/>
  <c r="C54" i="16"/>
  <c r="J64" i="20"/>
  <c r="B68" i="16"/>
  <c r="K64" i="20"/>
  <c r="C68" i="16"/>
  <c r="K76" i="20"/>
  <c r="C80" i="16"/>
  <c r="J76" i="20"/>
  <c r="B80" i="16"/>
  <c r="K74" i="20"/>
  <c r="C78" i="16"/>
  <c r="N75" i="20"/>
  <c r="F79" i="16"/>
  <c r="M75" i="20"/>
  <c r="E79" i="16"/>
  <c r="S61" i="20"/>
  <c r="K65" i="16"/>
  <c r="T61" i="20"/>
  <c r="L65" i="16"/>
  <c r="W74" i="20"/>
  <c r="O78" i="16"/>
  <c r="V74" i="20"/>
  <c r="N78" i="16"/>
  <c r="N48" i="20"/>
  <c r="F52" i="16"/>
  <c r="M48" i="20"/>
  <c r="E52" i="16"/>
  <c r="O56" i="20"/>
  <c r="G60" i="16"/>
  <c r="X64" i="20"/>
  <c r="P68" i="16"/>
  <c r="X55" i="20"/>
  <c r="P59" i="16"/>
  <c r="L53" i="20"/>
  <c r="D57" i="16"/>
  <c r="O65" i="20"/>
  <c r="G69" i="16"/>
  <c r="L56" i="20"/>
  <c r="D60" i="16"/>
  <c r="O60" i="20"/>
  <c r="G64" i="16"/>
  <c r="U66" i="20"/>
  <c r="M70" i="16"/>
  <c r="X53" i="20"/>
  <c r="P57" i="16"/>
  <c r="L66" i="20"/>
  <c r="D70" i="16"/>
  <c r="U60" i="20"/>
  <c r="M64" i="16"/>
  <c r="X49" i="20"/>
  <c r="P53" i="16"/>
  <c r="R50" i="20"/>
  <c r="J54" i="16"/>
  <c r="R64" i="20"/>
  <c r="J68" i="16"/>
  <c r="X67" i="20"/>
  <c r="P71" i="16"/>
  <c r="S69" i="20"/>
  <c r="K73" i="16"/>
  <c r="U52" i="20"/>
  <c r="M56" i="16"/>
  <c r="U71" i="20"/>
  <c r="M75" i="16"/>
  <c r="L70" i="20"/>
  <c r="D74" i="16"/>
  <c r="U78" i="20"/>
  <c r="M82" i="16"/>
  <c r="L47" i="20"/>
  <c r="D51" i="16"/>
  <c r="U76" i="20"/>
  <c r="M80" i="16"/>
  <c r="AA86" i="20"/>
  <c r="S90" i="16"/>
  <c r="AA94" i="20"/>
  <c r="S98" i="16"/>
  <c r="L75" i="20"/>
  <c r="D79" i="16"/>
  <c r="S77" i="20"/>
  <c r="K81" i="16"/>
  <c r="T77" i="20"/>
  <c r="L81" i="16"/>
  <c r="Q70" i="20"/>
  <c r="I74" i="16"/>
  <c r="P70" i="20"/>
  <c r="H74" i="16"/>
  <c r="P78" i="20"/>
  <c r="H82" i="16"/>
  <c r="Q78" i="20"/>
  <c r="I82" i="16"/>
  <c r="O78" i="20"/>
  <c r="G82" i="16"/>
  <c r="P34" i="10"/>
  <c r="AA104" i="26"/>
  <c r="P27" i="10"/>
  <c r="AA97" i="26"/>
  <c r="G30" i="10"/>
  <c r="P24" i="10"/>
  <c r="AA94" i="26"/>
  <c r="P17" i="10"/>
  <c r="AA87" i="26"/>
  <c r="O8" i="10"/>
  <c r="N30" i="10"/>
  <c r="P37" i="10"/>
  <c r="AA107" i="26"/>
  <c r="P38" i="10"/>
  <c r="AA108" i="26"/>
  <c r="P41" i="10"/>
  <c r="P36" i="10"/>
  <c r="AA106" i="26"/>
  <c r="P12" i="10"/>
  <c r="AA82" i="26"/>
  <c r="N13" i="10"/>
  <c r="P23" i="10"/>
  <c r="AA93" i="26"/>
  <c r="P26" i="10"/>
  <c r="AA96" i="26"/>
  <c r="P19" i="10"/>
  <c r="AA89" i="26"/>
  <c r="N8" i="10"/>
  <c r="P16" i="10"/>
  <c r="AA86" i="26"/>
  <c r="M30" i="10"/>
  <c r="P35" i="10"/>
  <c r="AA105" i="26"/>
  <c r="P33" i="10"/>
  <c r="AA103" i="26"/>
  <c r="M8" i="10"/>
  <c r="P29" i="10"/>
  <c r="AA99" i="26"/>
  <c r="P22" i="10"/>
  <c r="AA92" i="26"/>
  <c r="H8" i="10"/>
  <c r="I8" i="10"/>
  <c r="F30" i="10"/>
  <c r="L30" i="10"/>
  <c r="L9" i="10"/>
  <c r="G8" i="10"/>
  <c r="I30" i="10"/>
  <c r="P10" i="10"/>
  <c r="AA80" i="26"/>
  <c r="L14" i="10"/>
  <c r="O84" i="26"/>
  <c r="G13" i="10"/>
  <c r="P20" i="10"/>
  <c r="AA90" i="26"/>
  <c r="K30" i="10"/>
  <c r="H30" i="10"/>
  <c r="J30" i="10"/>
  <c r="O31" i="10"/>
  <c r="X101" i="26"/>
  <c r="J8" i="10"/>
  <c r="P39" i="10"/>
  <c r="AA109" i="26"/>
  <c r="M13" i="10"/>
  <c r="P15" i="10"/>
  <c r="AA85" i="26"/>
  <c r="O14" i="10"/>
  <c r="X84" i="26"/>
  <c r="J13" i="10"/>
  <c r="P18" i="10"/>
  <c r="AA88" i="26"/>
  <c r="P28" i="10"/>
  <c r="AA98" i="26"/>
  <c r="I13" i="10"/>
  <c r="H13" i="10"/>
  <c r="O25" i="10"/>
  <c r="X95" i="26"/>
  <c r="X91" i="26"/>
  <c r="J21" i="10"/>
  <c r="G21" i="10"/>
  <c r="F21" i="10"/>
  <c r="K14" i="10"/>
  <c r="L84" i="26"/>
  <c r="F13" i="10"/>
  <c r="I21" i="10"/>
  <c r="K21" i="10"/>
  <c r="L21" i="10"/>
  <c r="M25" i="10"/>
  <c r="R95" i="26"/>
  <c r="R91" i="26"/>
  <c r="H21" i="10"/>
  <c r="K11" i="10"/>
  <c r="L81" i="26"/>
  <c r="F8" i="10"/>
  <c r="N21" i="10"/>
  <c r="N64" i="20"/>
  <c r="F68" i="16"/>
  <c r="T83" i="26"/>
  <c r="S100" i="26"/>
  <c r="W78" i="26"/>
  <c r="M91" i="26"/>
  <c r="N55" i="20"/>
  <c r="F59" i="16"/>
  <c r="W48" i="20"/>
  <c r="O52" i="16"/>
  <c r="J62" i="20"/>
  <c r="B66" i="16"/>
  <c r="N72" i="20"/>
  <c r="F76" i="16"/>
  <c r="J61" i="20"/>
  <c r="B65" i="16"/>
  <c r="S83" i="26"/>
  <c r="S91" i="26"/>
  <c r="Z105" i="26"/>
  <c r="Y105" i="26"/>
  <c r="Y94" i="26"/>
  <c r="Z94" i="26"/>
  <c r="Y110" i="26"/>
  <c r="Z110" i="26"/>
  <c r="Z111" i="26"/>
  <c r="P100" i="26"/>
  <c r="Y82" i="26"/>
  <c r="Z82" i="26"/>
  <c r="W101" i="26"/>
  <c r="W100" i="26"/>
  <c r="V101" i="26"/>
  <c r="V100" i="26"/>
  <c r="X100" i="26"/>
  <c r="Z99" i="26"/>
  <c r="Y99" i="26"/>
  <c r="Y106" i="26"/>
  <c r="Z106" i="26"/>
  <c r="Z102" i="26"/>
  <c r="Y102" i="26"/>
  <c r="K100" i="26"/>
  <c r="P83" i="26"/>
  <c r="U77" i="26"/>
  <c r="U76" i="26"/>
  <c r="Q100" i="26"/>
  <c r="Y80" i="26"/>
  <c r="Z80" i="26"/>
  <c r="Y89" i="26"/>
  <c r="Z89" i="26"/>
  <c r="Y85" i="26"/>
  <c r="Z85" i="26"/>
  <c r="Y96" i="26"/>
  <c r="Z96" i="26"/>
  <c r="J84" i="26"/>
  <c r="J83" i="26"/>
  <c r="L83" i="26"/>
  <c r="K84" i="26"/>
  <c r="K83" i="26"/>
  <c r="Y88" i="26"/>
  <c r="Z88" i="26"/>
  <c r="Y93" i="26"/>
  <c r="Z93" i="26"/>
  <c r="Y97" i="26"/>
  <c r="Z97" i="26"/>
  <c r="Y111" i="26"/>
  <c r="T100" i="26"/>
  <c r="N91" i="26"/>
  <c r="Q78" i="26"/>
  <c r="M100" i="26"/>
  <c r="J91" i="26"/>
  <c r="J100" i="26"/>
  <c r="Q83" i="26"/>
  <c r="T78" i="26"/>
  <c r="W84" i="26"/>
  <c r="W83" i="26"/>
  <c r="V84" i="26"/>
  <c r="V83" i="26"/>
  <c r="X83" i="26"/>
  <c r="X77" i="26"/>
  <c r="X76" i="26"/>
  <c r="Y92" i="26"/>
  <c r="Z92" i="26"/>
  <c r="Y107" i="26"/>
  <c r="Z107" i="26"/>
  <c r="Q95" i="26"/>
  <c r="Q91" i="26"/>
  <c r="P95" i="26"/>
  <c r="P91" i="26"/>
  <c r="Z98" i="26"/>
  <c r="Y98" i="26"/>
  <c r="Y90" i="26"/>
  <c r="Z90" i="26"/>
  <c r="W95" i="26"/>
  <c r="W91" i="26"/>
  <c r="V95" i="26"/>
  <c r="V91" i="26"/>
  <c r="Y86" i="26"/>
  <c r="Z86" i="26"/>
  <c r="J81" i="26"/>
  <c r="J78" i="26"/>
  <c r="J77" i="26"/>
  <c r="J76" i="26"/>
  <c r="K81" i="26"/>
  <c r="K78" i="26"/>
  <c r="K91" i="26"/>
  <c r="K77" i="26"/>
  <c r="K76" i="26"/>
  <c r="Y109" i="26"/>
  <c r="Z109" i="26"/>
  <c r="M84" i="26"/>
  <c r="M83" i="26"/>
  <c r="N84" i="26"/>
  <c r="N83" i="26"/>
  <c r="O83" i="26"/>
  <c r="P9" i="10"/>
  <c r="AA79" i="26"/>
  <c r="O79" i="26"/>
  <c r="Z103" i="26"/>
  <c r="Y103" i="26"/>
  <c r="Y108" i="26"/>
  <c r="Z108" i="26"/>
  <c r="Y87" i="26"/>
  <c r="Z87" i="26"/>
  <c r="Z104" i="26"/>
  <c r="Y104" i="26"/>
  <c r="N50" i="20"/>
  <c r="F54" i="16"/>
  <c r="J73" i="20"/>
  <c r="B77" i="16"/>
  <c r="T91" i="26"/>
  <c r="T77" i="26"/>
  <c r="L78" i="26"/>
  <c r="L77" i="26"/>
  <c r="L76" i="26"/>
  <c r="R77" i="26"/>
  <c r="R76" i="26"/>
  <c r="N100" i="26"/>
  <c r="V78" i="26"/>
  <c r="J65" i="20"/>
  <c r="B69" i="16"/>
  <c r="Q76" i="20"/>
  <c r="I80" i="16"/>
  <c r="K61" i="20"/>
  <c r="C65" i="16"/>
  <c r="J54" i="20"/>
  <c r="B58" i="16"/>
  <c r="M64" i="20"/>
  <c r="E68" i="16"/>
  <c r="Z80" i="20"/>
  <c r="R84" i="16"/>
  <c r="K65" i="20"/>
  <c r="C69" i="16"/>
  <c r="S48" i="20"/>
  <c r="K52" i="16"/>
  <c r="J74" i="20"/>
  <c r="B78" i="16"/>
  <c r="R63" i="20"/>
  <c r="J67" i="16"/>
  <c r="M72" i="20"/>
  <c r="E76" i="16"/>
  <c r="T48" i="20"/>
  <c r="L52" i="16"/>
  <c r="J79" i="20"/>
  <c r="B83" i="16"/>
  <c r="X69" i="20"/>
  <c r="P73" i="16"/>
  <c r="P75" i="20"/>
  <c r="H79" i="16"/>
  <c r="T69" i="20"/>
  <c r="L73" i="16"/>
  <c r="V48" i="20"/>
  <c r="N52" i="16"/>
  <c r="Y80" i="20"/>
  <c r="Q84" i="16"/>
  <c r="AA70" i="20"/>
  <c r="S74" i="16"/>
  <c r="S53" i="20"/>
  <c r="K57" i="16"/>
  <c r="P71" i="20"/>
  <c r="H75" i="16"/>
  <c r="Q69" i="20"/>
  <c r="I73" i="16"/>
  <c r="J57" i="20"/>
  <c r="B61" i="16"/>
  <c r="O47" i="20"/>
  <c r="G51" i="16"/>
  <c r="N7" i="10"/>
  <c r="N57" i="10"/>
  <c r="M12" i="9"/>
  <c r="L12" i="9"/>
  <c r="O13" i="10"/>
  <c r="X63" i="20"/>
  <c r="P67" i="16"/>
  <c r="P76" i="20"/>
  <c r="H80" i="16"/>
  <c r="Q75" i="20"/>
  <c r="I79" i="16"/>
  <c r="T53" i="20"/>
  <c r="L57" i="16"/>
  <c r="M50" i="20"/>
  <c r="E54" i="16"/>
  <c r="Q71" i="20"/>
  <c r="I75" i="16"/>
  <c r="K57" i="20"/>
  <c r="C61" i="16"/>
  <c r="R21" i="16"/>
  <c r="R20" i="16"/>
  <c r="B84" i="16"/>
  <c r="K79" i="20"/>
  <c r="C83" i="16"/>
  <c r="C84" i="16"/>
  <c r="Q21" i="16"/>
  <c r="Q20" i="16"/>
  <c r="AA71" i="20"/>
  <c r="S75" i="16"/>
  <c r="AA62" i="20"/>
  <c r="S66" i="16"/>
  <c r="Y94" i="20"/>
  <c r="Q98" i="16"/>
  <c r="Z94" i="20"/>
  <c r="R98" i="16"/>
  <c r="S76" i="20"/>
  <c r="K80" i="16"/>
  <c r="T76" i="20"/>
  <c r="L80" i="16"/>
  <c r="S78" i="20"/>
  <c r="K82" i="16"/>
  <c r="T78" i="20"/>
  <c r="L82" i="16"/>
  <c r="U68" i="20"/>
  <c r="M72" i="16"/>
  <c r="P52" i="20"/>
  <c r="H56" i="16"/>
  <c r="Q52" i="20"/>
  <c r="I56" i="16"/>
  <c r="R51" i="20"/>
  <c r="J55" i="16"/>
  <c r="Q77" i="20"/>
  <c r="I81" i="16"/>
  <c r="P77" i="20"/>
  <c r="H81" i="16"/>
  <c r="Q47" i="20"/>
  <c r="I51" i="16"/>
  <c r="R46" i="20"/>
  <c r="J50" i="16"/>
  <c r="P47" i="20"/>
  <c r="H51" i="16"/>
  <c r="N63" i="20"/>
  <c r="F67" i="16"/>
  <c r="M63" i="20"/>
  <c r="E67" i="16"/>
  <c r="S58" i="20"/>
  <c r="K62" i="16"/>
  <c r="T58" i="20"/>
  <c r="L62" i="16"/>
  <c r="P55" i="20"/>
  <c r="H59" i="16"/>
  <c r="Q55" i="20"/>
  <c r="I59" i="16"/>
  <c r="N62" i="20"/>
  <c r="F66" i="16"/>
  <c r="M62" i="20"/>
  <c r="E66" i="16"/>
  <c r="V65" i="20"/>
  <c r="N69" i="16"/>
  <c r="W65" i="20"/>
  <c r="O69" i="16"/>
  <c r="P58" i="20"/>
  <c r="H62" i="16"/>
  <c r="Q58" i="20"/>
  <c r="I62" i="16"/>
  <c r="N66" i="20"/>
  <c r="F70" i="16"/>
  <c r="M66" i="20"/>
  <c r="E70" i="16"/>
  <c r="J48" i="20"/>
  <c r="B52" i="16"/>
  <c r="K48" i="20"/>
  <c r="C52" i="16"/>
  <c r="Z82" i="20"/>
  <c r="R86" i="16"/>
  <c r="Y82" i="20"/>
  <c r="Q86" i="16"/>
  <c r="Q65" i="20"/>
  <c r="I69" i="16"/>
  <c r="P65" i="20"/>
  <c r="H69" i="16"/>
  <c r="Z85" i="20"/>
  <c r="R89" i="16"/>
  <c r="Y85" i="20"/>
  <c r="Q89" i="16"/>
  <c r="Z78" i="20"/>
  <c r="R82" i="16"/>
  <c r="Y78" i="20"/>
  <c r="Q82" i="16"/>
  <c r="O68" i="20"/>
  <c r="G72" i="16"/>
  <c r="M69" i="20"/>
  <c r="E73" i="16"/>
  <c r="N69" i="20"/>
  <c r="F73" i="16"/>
  <c r="Q73" i="20"/>
  <c r="I77" i="16"/>
  <c r="P73" i="20"/>
  <c r="H77" i="16"/>
  <c r="W72" i="20"/>
  <c r="O76" i="16"/>
  <c r="V72" i="20"/>
  <c r="N76" i="16"/>
  <c r="T55" i="20"/>
  <c r="L59" i="16"/>
  <c r="S55" i="20"/>
  <c r="K59" i="16"/>
  <c r="V58" i="20"/>
  <c r="N62" i="16"/>
  <c r="W58" i="20"/>
  <c r="O62" i="16"/>
  <c r="V54" i="20"/>
  <c r="N58" i="16"/>
  <c r="W54" i="20"/>
  <c r="O58" i="16"/>
  <c r="N61" i="20"/>
  <c r="F65" i="16"/>
  <c r="M61" i="20"/>
  <c r="E65" i="16"/>
  <c r="T57" i="20"/>
  <c r="L61" i="16"/>
  <c r="S57" i="20"/>
  <c r="K61" i="16"/>
  <c r="V57" i="20"/>
  <c r="N61" i="16"/>
  <c r="W57" i="20"/>
  <c r="O61" i="16"/>
  <c r="P60" i="20"/>
  <c r="H64" i="16"/>
  <c r="Q60" i="20"/>
  <c r="I64" i="16"/>
  <c r="T50" i="20"/>
  <c r="L54" i="16"/>
  <c r="S50" i="20"/>
  <c r="K54" i="16"/>
  <c r="V56" i="20"/>
  <c r="N60" i="16"/>
  <c r="W56" i="20"/>
  <c r="O60" i="16"/>
  <c r="L49" i="20"/>
  <c r="D53" i="16"/>
  <c r="AA56" i="20"/>
  <c r="S60" i="16"/>
  <c r="AA77" i="20"/>
  <c r="S81" i="16"/>
  <c r="O52" i="20"/>
  <c r="G56" i="16"/>
  <c r="AA73" i="20"/>
  <c r="S77" i="16"/>
  <c r="AA54" i="20"/>
  <c r="S58" i="16"/>
  <c r="AA61" i="20"/>
  <c r="S65" i="16"/>
  <c r="AA72" i="20"/>
  <c r="S76" i="16"/>
  <c r="Q64" i="20"/>
  <c r="I68" i="16"/>
  <c r="P64" i="20"/>
  <c r="H68" i="16"/>
  <c r="V49" i="20"/>
  <c r="N53" i="16"/>
  <c r="W49" i="20"/>
  <c r="O53" i="16"/>
  <c r="K66" i="20"/>
  <c r="C70" i="16"/>
  <c r="J66" i="20"/>
  <c r="B70" i="16"/>
  <c r="T66" i="20"/>
  <c r="L70" i="16"/>
  <c r="S66" i="20"/>
  <c r="K70" i="16"/>
  <c r="J56" i="20"/>
  <c r="B60" i="16"/>
  <c r="K56" i="20"/>
  <c r="C60" i="16"/>
  <c r="N65" i="20"/>
  <c r="F69" i="16"/>
  <c r="M65" i="20"/>
  <c r="E69" i="16"/>
  <c r="W55" i="20"/>
  <c r="O59" i="16"/>
  <c r="V55" i="20"/>
  <c r="N59" i="16"/>
  <c r="N56" i="20"/>
  <c r="F60" i="16"/>
  <c r="M56" i="20"/>
  <c r="E60" i="16"/>
  <c r="Z83" i="20"/>
  <c r="R87" i="16"/>
  <c r="Y83" i="20"/>
  <c r="Q87" i="16"/>
  <c r="Y81" i="20"/>
  <c r="Q85" i="16"/>
  <c r="Z81" i="20"/>
  <c r="R85" i="16"/>
  <c r="S74" i="20"/>
  <c r="K78" i="16"/>
  <c r="T74" i="20"/>
  <c r="L78" i="16"/>
  <c r="P61" i="20"/>
  <c r="H65" i="16"/>
  <c r="Q61" i="20"/>
  <c r="I65" i="16"/>
  <c r="Z92" i="20"/>
  <c r="R96" i="16"/>
  <c r="Y92" i="20"/>
  <c r="Q96" i="16"/>
  <c r="Z91" i="20"/>
  <c r="R95" i="16"/>
  <c r="Y91" i="20"/>
  <c r="Q95" i="16"/>
  <c r="W78" i="20"/>
  <c r="O82" i="16"/>
  <c r="V78" i="20"/>
  <c r="N82" i="16"/>
  <c r="J71" i="20"/>
  <c r="B75" i="16"/>
  <c r="K71" i="20"/>
  <c r="C75" i="16"/>
  <c r="V47" i="20"/>
  <c r="N51" i="16"/>
  <c r="W47" i="20"/>
  <c r="O51" i="16"/>
  <c r="X46" i="20"/>
  <c r="P50" i="16"/>
  <c r="Q72" i="20"/>
  <c r="P72" i="20"/>
  <c r="J60" i="20"/>
  <c r="B64" i="16"/>
  <c r="K60" i="20"/>
  <c r="C64" i="16"/>
  <c r="L59" i="20"/>
  <c r="D63" i="16"/>
  <c r="Q63" i="20"/>
  <c r="I67" i="16"/>
  <c r="G7" i="10"/>
  <c r="G57" i="10"/>
  <c r="X52" i="20"/>
  <c r="P56" i="16"/>
  <c r="AA48" i="20"/>
  <c r="S52" i="16"/>
  <c r="AA60" i="20"/>
  <c r="S64" i="16"/>
  <c r="AA50" i="20"/>
  <c r="S54" i="16"/>
  <c r="AA55" i="20"/>
  <c r="S59" i="16"/>
  <c r="AA65" i="20"/>
  <c r="S69" i="16"/>
  <c r="N78" i="20"/>
  <c r="F82" i="16"/>
  <c r="M78" i="20"/>
  <c r="E82" i="16"/>
  <c r="K75" i="20"/>
  <c r="C79" i="16"/>
  <c r="J75" i="20"/>
  <c r="B79" i="16"/>
  <c r="Z86" i="20"/>
  <c r="R90" i="16"/>
  <c r="Y86" i="20"/>
  <c r="Q90" i="16"/>
  <c r="J47" i="20"/>
  <c r="B51" i="16"/>
  <c r="K47" i="20"/>
  <c r="C51" i="16"/>
  <c r="J70" i="20"/>
  <c r="B74" i="16"/>
  <c r="K70" i="20"/>
  <c r="C74" i="16"/>
  <c r="T71" i="20"/>
  <c r="L75" i="16"/>
  <c r="S71" i="20"/>
  <c r="K75" i="16"/>
  <c r="T52" i="20"/>
  <c r="L56" i="16"/>
  <c r="U51" i="20"/>
  <c r="M55" i="16"/>
  <c r="S52" i="20"/>
  <c r="K56" i="16"/>
  <c r="AA79" i="20"/>
  <c r="S83" i="16"/>
  <c r="S75" i="20"/>
  <c r="K79" i="16"/>
  <c r="T75" i="20"/>
  <c r="L79" i="16"/>
  <c r="V73" i="20"/>
  <c r="N77" i="16"/>
  <c r="W73" i="20"/>
  <c r="O77" i="16"/>
  <c r="W77" i="20"/>
  <c r="O81" i="16"/>
  <c r="V77" i="20"/>
  <c r="N81" i="16"/>
  <c r="W76" i="20"/>
  <c r="O80" i="16"/>
  <c r="V76" i="20"/>
  <c r="N80" i="16"/>
  <c r="J63" i="20"/>
  <c r="B67" i="16"/>
  <c r="K63" i="20"/>
  <c r="C67" i="16"/>
  <c r="T64" i="20"/>
  <c r="L68" i="16"/>
  <c r="S64" i="20"/>
  <c r="K68" i="16"/>
  <c r="K58" i="20"/>
  <c r="C62" i="16"/>
  <c r="J58" i="20"/>
  <c r="B62" i="16"/>
  <c r="V62" i="20"/>
  <c r="N66" i="16"/>
  <c r="W62" i="20"/>
  <c r="O66" i="16"/>
  <c r="T62" i="20"/>
  <c r="L66" i="16"/>
  <c r="S62" i="20"/>
  <c r="K66" i="16"/>
  <c r="V50" i="20"/>
  <c r="N54" i="16"/>
  <c r="W50" i="20"/>
  <c r="O54" i="16"/>
  <c r="V60" i="20"/>
  <c r="N64" i="16"/>
  <c r="W60" i="20"/>
  <c r="O64" i="16"/>
  <c r="V70" i="20"/>
  <c r="N74" i="16"/>
  <c r="W70" i="20"/>
  <c r="O74" i="16"/>
  <c r="Z90" i="20"/>
  <c r="R94" i="16"/>
  <c r="Y90" i="20"/>
  <c r="Q94" i="16"/>
  <c r="Z93" i="20"/>
  <c r="R97" i="16"/>
  <c r="Y93" i="20"/>
  <c r="Q97" i="16"/>
  <c r="V71" i="20"/>
  <c r="N75" i="16"/>
  <c r="W71" i="20"/>
  <c r="O75" i="16"/>
  <c r="N74" i="20"/>
  <c r="F78" i="16"/>
  <c r="M74" i="20"/>
  <c r="E78" i="16"/>
  <c r="M73" i="20"/>
  <c r="E77" i="16"/>
  <c r="N73" i="20"/>
  <c r="F77" i="16"/>
  <c r="M76" i="20"/>
  <c r="E80" i="16"/>
  <c r="N76" i="20"/>
  <c r="F80" i="16"/>
  <c r="S63" i="20"/>
  <c r="K67" i="16"/>
  <c r="T63" i="20"/>
  <c r="L67" i="16"/>
  <c r="T49" i="20"/>
  <c r="L53" i="16"/>
  <c r="S49" i="20"/>
  <c r="K53" i="16"/>
  <c r="J67" i="20"/>
  <c r="B71" i="16"/>
  <c r="K67" i="20"/>
  <c r="C71" i="16"/>
  <c r="N53" i="20"/>
  <c r="F57" i="16"/>
  <c r="M53" i="20"/>
  <c r="E57" i="16"/>
  <c r="P48" i="20"/>
  <c r="H52" i="16"/>
  <c r="Q48" i="20"/>
  <c r="I52" i="16"/>
  <c r="V61" i="20"/>
  <c r="N65" i="16"/>
  <c r="W61" i="20"/>
  <c r="O65" i="16"/>
  <c r="P54" i="20"/>
  <c r="H58" i="16"/>
  <c r="Q54" i="20"/>
  <c r="I58" i="16"/>
  <c r="N57" i="20"/>
  <c r="F61" i="16"/>
  <c r="M57" i="20"/>
  <c r="E61" i="16"/>
  <c r="P49" i="20"/>
  <c r="H53" i="16"/>
  <c r="Q49" i="20"/>
  <c r="I53" i="16"/>
  <c r="S67" i="20"/>
  <c r="K71" i="16"/>
  <c r="T67" i="20"/>
  <c r="L71" i="16"/>
  <c r="Q67" i="20"/>
  <c r="I71" i="16"/>
  <c r="P67" i="20"/>
  <c r="H71" i="16"/>
  <c r="V66" i="20"/>
  <c r="N70" i="16"/>
  <c r="W66" i="20"/>
  <c r="O70" i="16"/>
  <c r="L52" i="20"/>
  <c r="D56" i="16"/>
  <c r="J7" i="10"/>
  <c r="AA66" i="20"/>
  <c r="S70" i="16"/>
  <c r="AA53" i="20"/>
  <c r="S57" i="16"/>
  <c r="AA58" i="20"/>
  <c r="S62" i="16"/>
  <c r="AA67" i="20"/>
  <c r="S71" i="16"/>
  <c r="AA57" i="20"/>
  <c r="S61" i="16"/>
  <c r="AA64" i="20"/>
  <c r="S68" i="16"/>
  <c r="AA74" i="20"/>
  <c r="S78" i="16"/>
  <c r="AA76" i="20"/>
  <c r="S80" i="16"/>
  <c r="AA75" i="20"/>
  <c r="S79" i="16"/>
  <c r="V67" i="20"/>
  <c r="N71" i="16"/>
  <c r="W67" i="20"/>
  <c r="O71" i="16"/>
  <c r="P50" i="20"/>
  <c r="H54" i="16"/>
  <c r="Q50" i="20"/>
  <c r="I54" i="16"/>
  <c r="T60" i="20"/>
  <c r="S60" i="20"/>
  <c r="K64" i="16"/>
  <c r="U59" i="20"/>
  <c r="M63" i="16"/>
  <c r="V53" i="20"/>
  <c r="N57" i="16"/>
  <c r="W53" i="20"/>
  <c r="O57" i="16"/>
  <c r="N60" i="20"/>
  <c r="F64" i="16"/>
  <c r="O59" i="20"/>
  <c r="G63" i="16"/>
  <c r="M60" i="20"/>
  <c r="E64" i="16"/>
  <c r="K53" i="20"/>
  <c r="C57" i="16"/>
  <c r="J53" i="20"/>
  <c r="B57" i="16"/>
  <c r="V64" i="20"/>
  <c r="N68" i="16"/>
  <c r="W64" i="20"/>
  <c r="O68" i="16"/>
  <c r="K78" i="20"/>
  <c r="C82" i="16"/>
  <c r="J78" i="20"/>
  <c r="B82" i="16"/>
  <c r="T70" i="20"/>
  <c r="L74" i="16"/>
  <c r="S70" i="20"/>
  <c r="K74" i="16"/>
  <c r="Y87" i="20"/>
  <c r="Q91" i="16"/>
  <c r="Z87" i="20"/>
  <c r="R91" i="16"/>
  <c r="S72" i="20"/>
  <c r="K76" i="16"/>
  <c r="T72" i="20"/>
  <c r="L76" i="16"/>
  <c r="T54" i="20"/>
  <c r="L58" i="16"/>
  <c r="S54" i="20"/>
  <c r="K58" i="16"/>
  <c r="W75" i="20"/>
  <c r="O79" i="16"/>
  <c r="V75" i="20"/>
  <c r="N79" i="16"/>
  <c r="Z84" i="20"/>
  <c r="R88" i="16"/>
  <c r="Y84" i="20"/>
  <c r="Q88" i="16"/>
  <c r="J69" i="20"/>
  <c r="B73" i="16"/>
  <c r="K69" i="20"/>
  <c r="C73" i="16"/>
  <c r="L68" i="20"/>
  <c r="D72" i="16"/>
  <c r="Z89" i="20"/>
  <c r="R93" i="16"/>
  <c r="Y89" i="20"/>
  <c r="Q93" i="16"/>
  <c r="N70" i="20"/>
  <c r="F74" i="16"/>
  <c r="M70" i="20"/>
  <c r="E74" i="16"/>
  <c r="Y88" i="20"/>
  <c r="Q92" i="16"/>
  <c r="Z88" i="20"/>
  <c r="R92" i="16"/>
  <c r="N77" i="20"/>
  <c r="F81" i="16"/>
  <c r="M77" i="20"/>
  <c r="E81" i="16"/>
  <c r="K77" i="20"/>
  <c r="C81" i="16"/>
  <c r="J77" i="20"/>
  <c r="B81" i="16"/>
  <c r="T47" i="20"/>
  <c r="L51" i="16"/>
  <c r="S47" i="20"/>
  <c r="K51" i="16"/>
  <c r="U46" i="20"/>
  <c r="P56" i="20"/>
  <c r="H60" i="16"/>
  <c r="Q56" i="20"/>
  <c r="I60" i="16"/>
  <c r="R68" i="20"/>
  <c r="J72" i="16"/>
  <c r="H7" i="10"/>
  <c r="H57" i="10"/>
  <c r="O21" i="10"/>
  <c r="O30" i="10"/>
  <c r="P25" i="10"/>
  <c r="AA95" i="26"/>
  <c r="AA91" i="26"/>
  <c r="M21" i="10"/>
  <c r="M7" i="10"/>
  <c r="M57" i="10"/>
  <c r="J12" i="9"/>
  <c r="L13" i="10"/>
  <c r="K8" i="10"/>
  <c r="P11" i="10"/>
  <c r="AA81" i="26"/>
  <c r="J57" i="10"/>
  <c r="I7" i="10"/>
  <c r="I57" i="10"/>
  <c r="P31" i="10"/>
  <c r="AA101" i="26"/>
  <c r="K13" i="10"/>
  <c r="P14" i="10"/>
  <c r="AA84" i="26"/>
  <c r="L8" i="10"/>
  <c r="F7" i="10"/>
  <c r="F57" i="10"/>
  <c r="P21" i="10"/>
  <c r="S77" i="26"/>
  <c r="S76" i="26"/>
  <c r="W77" i="26"/>
  <c r="W76" i="26"/>
  <c r="T76" i="26"/>
  <c r="P77" i="26"/>
  <c r="P76" i="26"/>
  <c r="Y79" i="26"/>
  <c r="Z79" i="26"/>
  <c r="AA78" i="26"/>
  <c r="V77" i="26"/>
  <c r="V76" i="26"/>
  <c r="O7" i="10"/>
  <c r="O57" i="10"/>
  <c r="P12" i="9"/>
  <c r="O12" i="9"/>
  <c r="Z101" i="26"/>
  <c r="Z100" i="26"/>
  <c r="Y101" i="26"/>
  <c r="Y100" i="26"/>
  <c r="AA100" i="26"/>
  <c r="Y81" i="26"/>
  <c r="Z81" i="26"/>
  <c r="L7" i="10"/>
  <c r="L57" i="10"/>
  <c r="G12" i="9"/>
  <c r="Y95" i="26"/>
  <c r="Y91" i="26"/>
  <c r="Z95" i="26"/>
  <c r="Z91" i="26"/>
  <c r="Y84" i="26"/>
  <c r="Y83" i="26"/>
  <c r="AA83" i="26"/>
  <c r="Z84" i="26"/>
  <c r="Z83" i="26"/>
  <c r="N79" i="26"/>
  <c r="N78" i="26"/>
  <c r="N77" i="26"/>
  <c r="N76" i="26"/>
  <c r="O78" i="26"/>
  <c r="O77" i="26"/>
  <c r="O76" i="26"/>
  <c r="M79" i="26"/>
  <c r="M78" i="26"/>
  <c r="M77" i="26"/>
  <c r="M76" i="26"/>
  <c r="Q77" i="26"/>
  <c r="Q76" i="26"/>
  <c r="O46" i="20"/>
  <c r="G50" i="16"/>
  <c r="Y70" i="20"/>
  <c r="Q74" i="16"/>
  <c r="Z70" i="20"/>
  <c r="R74" i="16"/>
  <c r="R59" i="20"/>
  <c r="J63" i="16"/>
  <c r="V69" i="20"/>
  <c r="N73" i="16"/>
  <c r="K12" i="9"/>
  <c r="W69" i="20"/>
  <c r="O73" i="16"/>
  <c r="W63" i="20"/>
  <c r="O67" i="16"/>
  <c r="M47" i="20"/>
  <c r="E51" i="16"/>
  <c r="X68" i="20"/>
  <c r="P72" i="16"/>
  <c r="V63" i="20"/>
  <c r="N67" i="16"/>
  <c r="N47" i="20"/>
  <c r="AA52" i="20"/>
  <c r="S56" i="16"/>
  <c r="X59" i="20"/>
  <c r="P63" i="16"/>
  <c r="AA69" i="20"/>
  <c r="S73" i="16"/>
  <c r="P63" i="20"/>
  <c r="H67" i="16"/>
  <c r="L46" i="20"/>
  <c r="D50" i="16"/>
  <c r="U45" i="20"/>
  <c r="M50" i="16"/>
  <c r="T59" i="20"/>
  <c r="L63" i="16"/>
  <c r="L64" i="16"/>
  <c r="Q68" i="20"/>
  <c r="I72" i="16"/>
  <c r="I76" i="16"/>
  <c r="P68" i="20"/>
  <c r="H72" i="16"/>
  <c r="H76" i="16"/>
  <c r="Z79" i="20"/>
  <c r="R83" i="16"/>
  <c r="M59" i="20"/>
  <c r="E63" i="16"/>
  <c r="S46" i="20"/>
  <c r="K50" i="16"/>
  <c r="T68" i="20"/>
  <c r="L72" i="16"/>
  <c r="S68" i="20"/>
  <c r="K72" i="16"/>
  <c r="T46" i="20"/>
  <c r="L50" i="16"/>
  <c r="Y79" i="20"/>
  <c r="Q83" i="16"/>
  <c r="N59" i="20"/>
  <c r="F63" i="16"/>
  <c r="Y53" i="20"/>
  <c r="Q57" i="16"/>
  <c r="Z53" i="20"/>
  <c r="R57" i="16"/>
  <c r="T51" i="20"/>
  <c r="Y55" i="20"/>
  <c r="Q59" i="16"/>
  <c r="Z55" i="20"/>
  <c r="R59" i="16"/>
  <c r="Y60" i="20"/>
  <c r="Q64" i="16"/>
  <c r="Z60" i="20"/>
  <c r="R64" i="16"/>
  <c r="V52" i="20"/>
  <c r="W52" i="20"/>
  <c r="X51" i="20"/>
  <c r="K59" i="20"/>
  <c r="C63" i="16"/>
  <c r="Y61" i="20"/>
  <c r="Q65" i="16"/>
  <c r="Z61" i="20"/>
  <c r="R65" i="16"/>
  <c r="Z73" i="20"/>
  <c r="R77" i="16"/>
  <c r="Y73" i="20"/>
  <c r="Q77" i="16"/>
  <c r="Z77" i="20"/>
  <c r="R81" i="16"/>
  <c r="Y77" i="20"/>
  <c r="Q81" i="16"/>
  <c r="J49" i="20"/>
  <c r="B53" i="16"/>
  <c r="K49" i="20"/>
  <c r="C53" i="16"/>
  <c r="N68" i="20"/>
  <c r="F72" i="16"/>
  <c r="P51" i="20"/>
  <c r="H55" i="16"/>
  <c r="Y62" i="20"/>
  <c r="Q66" i="16"/>
  <c r="Z62" i="20"/>
  <c r="R66" i="16"/>
  <c r="Z76" i="20"/>
  <c r="R80" i="16"/>
  <c r="Y76" i="20"/>
  <c r="Q80" i="16"/>
  <c r="Y64" i="20"/>
  <c r="Q68" i="16"/>
  <c r="Z64" i="20"/>
  <c r="R68" i="16"/>
  <c r="Y67" i="20"/>
  <c r="Q71" i="16"/>
  <c r="Z67" i="20"/>
  <c r="R71" i="16"/>
  <c r="L51" i="20"/>
  <c r="K52" i="20"/>
  <c r="J52" i="20"/>
  <c r="W59" i="20"/>
  <c r="O63" i="16"/>
  <c r="J59" i="20"/>
  <c r="B63" i="16"/>
  <c r="W46" i="20"/>
  <c r="O50" i="16"/>
  <c r="M68" i="20"/>
  <c r="E72" i="16"/>
  <c r="Q46" i="20"/>
  <c r="I50" i="16"/>
  <c r="AA68" i="20"/>
  <c r="S72" i="16"/>
  <c r="K68" i="20"/>
  <c r="C72" i="16"/>
  <c r="Y66" i="20"/>
  <c r="Q70" i="16"/>
  <c r="Z66" i="20"/>
  <c r="R70" i="16"/>
  <c r="S51" i="20"/>
  <c r="K55" i="16"/>
  <c r="Y65" i="20"/>
  <c r="Q69" i="16"/>
  <c r="Z65" i="20"/>
  <c r="R69" i="16"/>
  <c r="Z50" i="20"/>
  <c r="R54" i="16"/>
  <c r="Y50" i="20"/>
  <c r="Q54" i="16"/>
  <c r="Z48" i="20"/>
  <c r="R52" i="16"/>
  <c r="Y48" i="20"/>
  <c r="Q52" i="16"/>
  <c r="V46" i="20"/>
  <c r="N50" i="16"/>
  <c r="Z72" i="20"/>
  <c r="R76" i="16"/>
  <c r="Y72" i="20"/>
  <c r="Q76" i="16"/>
  <c r="Y54" i="20"/>
  <c r="Q58" i="16"/>
  <c r="Z54" i="20"/>
  <c r="R58" i="16"/>
  <c r="N52" i="20"/>
  <c r="O51" i="20"/>
  <c r="M52" i="20"/>
  <c r="Y56" i="20"/>
  <c r="Q60" i="16"/>
  <c r="Z56" i="20"/>
  <c r="R60" i="16"/>
  <c r="Q59" i="20"/>
  <c r="I63" i="16"/>
  <c r="Z71" i="20"/>
  <c r="R75" i="16"/>
  <c r="Y71" i="20"/>
  <c r="Q75" i="16"/>
  <c r="AA49" i="20"/>
  <c r="S53" i="16"/>
  <c r="AA47" i="20"/>
  <c r="S51" i="16"/>
  <c r="AA63" i="20"/>
  <c r="S67" i="16"/>
  <c r="J68" i="20"/>
  <c r="B72" i="16"/>
  <c r="S59" i="20"/>
  <c r="K63" i="16"/>
  <c r="Z75" i="20"/>
  <c r="R79" i="16"/>
  <c r="Y75" i="20"/>
  <c r="Q79" i="16"/>
  <c r="Z74" i="20"/>
  <c r="R78" i="16"/>
  <c r="Y74" i="20"/>
  <c r="Q78" i="16"/>
  <c r="Y57" i="20"/>
  <c r="Q61" i="16"/>
  <c r="Z57" i="20"/>
  <c r="R61" i="16"/>
  <c r="Y58" i="20"/>
  <c r="Q62" i="16"/>
  <c r="Z58" i="20"/>
  <c r="R62" i="16"/>
  <c r="P46" i="20"/>
  <c r="H50" i="16"/>
  <c r="Q51" i="20"/>
  <c r="I55" i="16"/>
  <c r="E12" i="9"/>
  <c r="F12" i="9"/>
  <c r="N12" i="9"/>
  <c r="P8" i="10"/>
  <c r="P13" i="10"/>
  <c r="P30" i="10"/>
  <c r="H12" i="9"/>
  <c r="I12" i="9"/>
  <c r="K7" i="10"/>
  <c r="K57" i="10"/>
  <c r="D12" i="9"/>
  <c r="S12" i="9"/>
  <c r="K46" i="20"/>
  <c r="C50" i="16"/>
  <c r="V59" i="20"/>
  <c r="N63" i="16"/>
  <c r="AA77" i="26"/>
  <c r="AA76" i="26"/>
  <c r="W68" i="20"/>
  <c r="O72" i="16"/>
  <c r="Z69" i="20"/>
  <c r="R73" i="16"/>
  <c r="Z78" i="26"/>
  <c r="Z77" i="26"/>
  <c r="Z76" i="26"/>
  <c r="Y69" i="20"/>
  <c r="Q73" i="16"/>
  <c r="V68" i="20"/>
  <c r="N72" i="16"/>
  <c r="M46" i="20"/>
  <c r="E50" i="16"/>
  <c r="Y78" i="26"/>
  <c r="Y77" i="26"/>
  <c r="Y76" i="26"/>
  <c r="Y52" i="20"/>
  <c r="Q56" i="16"/>
  <c r="R45" i="20"/>
  <c r="J49" i="16"/>
  <c r="J46" i="20"/>
  <c r="B50" i="16"/>
  <c r="Z52" i="20"/>
  <c r="R56" i="16"/>
  <c r="P59" i="20"/>
  <c r="H63" i="16"/>
  <c r="AA51" i="20"/>
  <c r="S55" i="16"/>
  <c r="P7" i="10"/>
  <c r="F51" i="16"/>
  <c r="N46" i="20"/>
  <c r="F50" i="16"/>
  <c r="K51" i="20"/>
  <c r="C55" i="16"/>
  <c r="C56" i="16"/>
  <c r="W51" i="20"/>
  <c r="O55" i="16"/>
  <c r="O56" i="16"/>
  <c r="V51" i="20"/>
  <c r="N55" i="16"/>
  <c r="N56" i="16"/>
  <c r="O45" i="20"/>
  <c r="G55" i="16"/>
  <c r="R44" i="20"/>
  <c r="X45" i="20"/>
  <c r="P55" i="16"/>
  <c r="N51" i="20"/>
  <c r="F55" i="16"/>
  <c r="F56" i="16"/>
  <c r="L45" i="20"/>
  <c r="D55" i="16"/>
  <c r="M51" i="20"/>
  <c r="E56" i="16"/>
  <c r="J51" i="20"/>
  <c r="B55" i="16"/>
  <c r="B56" i="16"/>
  <c r="T45" i="20"/>
  <c r="L49" i="16"/>
  <c r="L55" i="16"/>
  <c r="U44" i="20"/>
  <c r="M49" i="16"/>
  <c r="S45" i="20"/>
  <c r="Z63" i="20"/>
  <c r="Y63" i="20"/>
  <c r="Q67" i="16"/>
  <c r="Z49" i="20"/>
  <c r="R53" i="16"/>
  <c r="Y49" i="20"/>
  <c r="Q53" i="16"/>
  <c r="Q45" i="20"/>
  <c r="AA59" i="20"/>
  <c r="S63" i="16"/>
  <c r="Z47" i="20"/>
  <c r="AA46" i="20"/>
  <c r="S50" i="16"/>
  <c r="Y47" i="20"/>
  <c r="Q51" i="16"/>
  <c r="P57" i="10"/>
  <c r="R12" i="9"/>
  <c r="Q12" i="9"/>
  <c r="B12" i="9"/>
  <c r="C12" i="9"/>
  <c r="I8" i="8"/>
  <c r="T44" i="20"/>
  <c r="Z51" i="20"/>
  <c r="R55" i="16"/>
  <c r="Y51" i="20"/>
  <c r="Q55" i="16"/>
  <c r="Z68" i="20"/>
  <c r="R72" i="16"/>
  <c r="Y68" i="20"/>
  <c r="Q72" i="16"/>
  <c r="Y59" i="20"/>
  <c r="Q63" i="16"/>
  <c r="V45" i="20"/>
  <c r="V44" i="20"/>
  <c r="P45" i="20"/>
  <c r="P44" i="20"/>
  <c r="W45" i="20"/>
  <c r="W44" i="20"/>
  <c r="J48" i="16"/>
  <c r="L48" i="16"/>
  <c r="K45" i="20"/>
  <c r="C49" i="16"/>
  <c r="M48" i="16"/>
  <c r="N45" i="20"/>
  <c r="F49" i="16"/>
  <c r="Z46" i="20"/>
  <c r="R50" i="16"/>
  <c r="R51" i="16"/>
  <c r="L44" i="20"/>
  <c r="D49" i="16"/>
  <c r="X44" i="20"/>
  <c r="P49" i="16"/>
  <c r="O44" i="20"/>
  <c r="G49" i="16"/>
  <c r="Q44" i="20"/>
  <c r="I49" i="16"/>
  <c r="J45" i="20"/>
  <c r="Z59" i="20"/>
  <c r="R63" i="16"/>
  <c r="R67" i="16"/>
  <c r="S44" i="20"/>
  <c r="K49" i="16"/>
  <c r="M45" i="20"/>
  <c r="E55" i="16"/>
  <c r="Y46" i="20"/>
  <c r="Q50" i="16"/>
  <c r="AA45" i="20"/>
  <c r="J8" i="8"/>
  <c r="D8" i="8"/>
  <c r="N8" i="8"/>
  <c r="O32" i="26"/>
  <c r="I3" i="5"/>
  <c r="I4" i="5"/>
  <c r="D3" i="5"/>
  <c r="D4" i="5"/>
  <c r="H49" i="16"/>
  <c r="M32" i="26"/>
  <c r="N32" i="26"/>
  <c r="N49" i="16"/>
  <c r="O49" i="16"/>
  <c r="K44" i="20"/>
  <c r="N44" i="20"/>
  <c r="D48" i="16"/>
  <c r="K48" i="16"/>
  <c r="N48" i="16"/>
  <c r="G48" i="16"/>
  <c r="C48" i="16"/>
  <c r="I48" i="16"/>
  <c r="P48" i="16"/>
  <c r="F48" i="16"/>
  <c r="H48" i="16"/>
  <c r="O48" i="16"/>
  <c r="Y45" i="20"/>
  <c r="Y44" i="20"/>
  <c r="Q48" i="16"/>
  <c r="J44" i="20"/>
  <c r="B49" i="16"/>
  <c r="M44" i="20"/>
  <c r="E49" i="16"/>
  <c r="Z45" i="20"/>
  <c r="AA44" i="20"/>
  <c r="S49" i="16"/>
  <c r="C22" i="8"/>
  <c r="C17" i="8"/>
  <c r="E17" i="8"/>
  <c r="O17" i="8"/>
  <c r="R41" i="26"/>
  <c r="F17" i="8"/>
  <c r="P17" i="8"/>
  <c r="U41" i="26"/>
  <c r="G17" i="8"/>
  <c r="Q17" i="8"/>
  <c r="X41" i="26"/>
  <c r="C18" i="8"/>
  <c r="D18" i="8"/>
  <c r="N18" i="8"/>
  <c r="O42" i="26"/>
  <c r="C19" i="8"/>
  <c r="D19" i="8"/>
  <c r="N19" i="8"/>
  <c r="O43" i="26"/>
  <c r="C20" i="8"/>
  <c r="D20" i="8"/>
  <c r="N20" i="8"/>
  <c r="O44" i="26"/>
  <c r="E20" i="8"/>
  <c r="O20" i="8"/>
  <c r="R44" i="26"/>
  <c r="C21" i="8"/>
  <c r="D21" i="8"/>
  <c r="N21" i="8"/>
  <c r="O45" i="26"/>
  <c r="E21" i="8"/>
  <c r="O21" i="8"/>
  <c r="R45" i="26"/>
  <c r="E16" i="8"/>
  <c r="O16" i="8"/>
  <c r="R40" i="26"/>
  <c r="F16" i="8"/>
  <c r="P16" i="8"/>
  <c r="U40" i="26"/>
  <c r="G16" i="8"/>
  <c r="Q16" i="8"/>
  <c r="C16" i="8"/>
  <c r="T41" i="26"/>
  <c r="S41" i="26"/>
  <c r="P40" i="26"/>
  <c r="Q40" i="26"/>
  <c r="P44" i="26"/>
  <c r="Q44" i="26"/>
  <c r="P45" i="26"/>
  <c r="Q45" i="26"/>
  <c r="N44" i="26"/>
  <c r="M44" i="26"/>
  <c r="M42" i="26"/>
  <c r="N42" i="26"/>
  <c r="P41" i="26"/>
  <c r="Q41" i="26"/>
  <c r="Q15" i="8"/>
  <c r="X39" i="26"/>
  <c r="X40" i="26"/>
  <c r="N45" i="26"/>
  <c r="M45" i="26"/>
  <c r="S40" i="26"/>
  <c r="T40" i="26"/>
  <c r="M43" i="26"/>
  <c r="N43" i="26"/>
  <c r="W41" i="26"/>
  <c r="V41" i="26"/>
  <c r="R36" i="20"/>
  <c r="O15" i="8"/>
  <c r="R39" i="26"/>
  <c r="N15" i="8"/>
  <c r="O39" i="26"/>
  <c r="B48" i="16"/>
  <c r="E48" i="16"/>
  <c r="P15" i="8"/>
  <c r="U39" i="26"/>
  <c r="Q49" i="16"/>
  <c r="S48" i="16"/>
  <c r="S47" i="16"/>
  <c r="Z44" i="20"/>
  <c r="R49" i="16"/>
  <c r="R35" i="20"/>
  <c r="J38" i="16"/>
  <c r="R41" i="20"/>
  <c r="J44" i="16"/>
  <c r="O41" i="20"/>
  <c r="G44" i="16"/>
  <c r="O38" i="20"/>
  <c r="G41" i="16"/>
  <c r="O42" i="20"/>
  <c r="G45" i="16"/>
  <c r="O40" i="20"/>
  <c r="G43" i="16"/>
  <c r="M19" i="8"/>
  <c r="L43" i="26"/>
  <c r="M20" i="8"/>
  <c r="L44" i="26"/>
  <c r="M18" i="8"/>
  <c r="L42" i="26"/>
  <c r="M17" i="8"/>
  <c r="L41" i="26"/>
  <c r="M16" i="8"/>
  <c r="L40" i="26"/>
  <c r="M21" i="8"/>
  <c r="L45" i="26"/>
  <c r="M22" i="8"/>
  <c r="L46" i="26"/>
  <c r="C15" i="8"/>
  <c r="E8" i="8"/>
  <c r="F8" i="8"/>
  <c r="P8" i="8"/>
  <c r="U32" i="26"/>
  <c r="G8" i="8"/>
  <c r="Q8" i="8"/>
  <c r="X32" i="26"/>
  <c r="C8" i="8"/>
  <c r="I25" i="8"/>
  <c r="I26" i="8"/>
  <c r="I27" i="8"/>
  <c r="I24" i="8"/>
  <c r="I51" i="8"/>
  <c r="I50" i="8"/>
  <c r="I48" i="8"/>
  <c r="I47" i="8"/>
  <c r="I45" i="8"/>
  <c r="I44" i="8"/>
  <c r="I43" i="8"/>
  <c r="I41" i="8"/>
  <c r="I39" i="8"/>
  <c r="V32" i="26"/>
  <c r="W32" i="26"/>
  <c r="M39" i="26"/>
  <c r="N39" i="26"/>
  <c r="S32" i="26"/>
  <c r="T32" i="26"/>
  <c r="AA44" i="26"/>
  <c r="J44" i="26"/>
  <c r="Y44" i="26"/>
  <c r="K44" i="26"/>
  <c r="Z44" i="26"/>
  <c r="T39" i="26"/>
  <c r="S39" i="26"/>
  <c r="J40" i="26"/>
  <c r="V40" i="26"/>
  <c r="Y40" i="26"/>
  <c r="K40" i="26"/>
  <c r="AA40" i="26"/>
  <c r="AA46" i="26"/>
  <c r="K46" i="26"/>
  <c r="Z46" i="26"/>
  <c r="J46" i="26"/>
  <c r="Y46" i="26"/>
  <c r="J42" i="26"/>
  <c r="Y42" i="26"/>
  <c r="AA42" i="26"/>
  <c r="K42" i="26"/>
  <c r="Z42" i="26"/>
  <c r="V39" i="26"/>
  <c r="W39" i="26"/>
  <c r="J45" i="26"/>
  <c r="Y45" i="26"/>
  <c r="K45" i="26"/>
  <c r="Z45" i="26"/>
  <c r="AA45" i="26"/>
  <c r="P39" i="26"/>
  <c r="Q39" i="26"/>
  <c r="J43" i="26"/>
  <c r="Y43" i="26"/>
  <c r="AA43" i="26"/>
  <c r="K43" i="26"/>
  <c r="Z43" i="26"/>
  <c r="AA41" i="26"/>
  <c r="J41" i="26"/>
  <c r="Y41" i="26"/>
  <c r="K41" i="26"/>
  <c r="Z41" i="26"/>
  <c r="W40" i="26"/>
  <c r="Q47" i="16"/>
  <c r="L36" i="20"/>
  <c r="J39" i="16"/>
  <c r="P36" i="20"/>
  <c r="H39" i="16"/>
  <c r="Q36" i="20"/>
  <c r="I39" i="16"/>
  <c r="R48" i="16"/>
  <c r="R47" i="16"/>
  <c r="L43" i="20"/>
  <c r="D46" i="16"/>
  <c r="U31" i="20"/>
  <c r="L35" i="20"/>
  <c r="D38" i="16"/>
  <c r="L40" i="20"/>
  <c r="D43" i="16"/>
  <c r="W37" i="20"/>
  <c r="O40" i="16"/>
  <c r="M42" i="20"/>
  <c r="N42" i="20"/>
  <c r="F45" i="16"/>
  <c r="M41" i="20"/>
  <c r="N41" i="20"/>
  <c r="F44" i="16"/>
  <c r="Q41" i="20"/>
  <c r="I44" i="16"/>
  <c r="P41" i="20"/>
  <c r="L37" i="20"/>
  <c r="D40" i="16"/>
  <c r="X29" i="20"/>
  <c r="L38" i="20"/>
  <c r="D41" i="16"/>
  <c r="N40" i="20"/>
  <c r="F43" i="16"/>
  <c r="M40" i="20"/>
  <c r="N38" i="20"/>
  <c r="F41" i="16"/>
  <c r="M38" i="20"/>
  <c r="Q35" i="20"/>
  <c r="I38" i="16"/>
  <c r="P35" i="20"/>
  <c r="L42" i="20"/>
  <c r="D45" i="16"/>
  <c r="L41" i="20"/>
  <c r="D44" i="16"/>
  <c r="J45" i="8"/>
  <c r="G45" i="8"/>
  <c r="Q45" i="8"/>
  <c r="X69" i="26"/>
  <c r="J50" i="8"/>
  <c r="E50" i="8"/>
  <c r="O50" i="8"/>
  <c r="R74" i="26"/>
  <c r="J51" i="8"/>
  <c r="G51" i="8"/>
  <c r="Q51" i="8"/>
  <c r="X75" i="26"/>
  <c r="J41" i="8"/>
  <c r="C41" i="8"/>
  <c r="J24" i="8"/>
  <c r="G24" i="8"/>
  <c r="Q24" i="8"/>
  <c r="X48" i="26"/>
  <c r="J44" i="8"/>
  <c r="C44" i="8"/>
  <c r="J26" i="8"/>
  <c r="E26" i="8"/>
  <c r="O26" i="8"/>
  <c r="R50" i="26"/>
  <c r="J39" i="8"/>
  <c r="G39" i="8"/>
  <c r="Q39" i="8"/>
  <c r="X63" i="26"/>
  <c r="J25" i="8"/>
  <c r="E25" i="8"/>
  <c r="O25" i="8"/>
  <c r="R49" i="26"/>
  <c r="J47" i="8"/>
  <c r="G47" i="8"/>
  <c r="Q47" i="8"/>
  <c r="X71" i="26"/>
  <c r="J43" i="8"/>
  <c r="C43" i="8"/>
  <c r="J48" i="8"/>
  <c r="G48" i="8"/>
  <c r="Q48" i="8"/>
  <c r="X72" i="26"/>
  <c r="J27" i="8"/>
  <c r="D27" i="8"/>
  <c r="N27" i="8"/>
  <c r="O51" i="26"/>
  <c r="M15" i="8"/>
  <c r="L39" i="26"/>
  <c r="M8" i="8"/>
  <c r="L32" i="26"/>
  <c r="D44" i="8"/>
  <c r="N44" i="8"/>
  <c r="O68" i="26"/>
  <c r="G44" i="8"/>
  <c r="Q44" i="8"/>
  <c r="X68" i="26"/>
  <c r="E44" i="8"/>
  <c r="O44" i="8"/>
  <c r="R68" i="26"/>
  <c r="D50" i="8"/>
  <c r="N50" i="8"/>
  <c r="O74" i="26"/>
  <c r="C50" i="8"/>
  <c r="F50" i="8"/>
  <c r="P50" i="8"/>
  <c r="U74" i="26"/>
  <c r="G26" i="8"/>
  <c r="Q26" i="8"/>
  <c r="X50" i="26"/>
  <c r="F41" i="8"/>
  <c r="F47" i="8"/>
  <c r="D47" i="8"/>
  <c r="C47" i="8"/>
  <c r="C48" i="8"/>
  <c r="C39" i="8"/>
  <c r="I37" i="8"/>
  <c r="I33" i="8"/>
  <c r="I29" i="8"/>
  <c r="J29" i="8"/>
  <c r="I14" i="8"/>
  <c r="I13" i="8"/>
  <c r="I12" i="8"/>
  <c r="I11" i="8"/>
  <c r="I9" i="8"/>
  <c r="D45" i="8"/>
  <c r="N45" i="8"/>
  <c r="O69" i="26"/>
  <c r="D24" i="8"/>
  <c r="N24" i="8"/>
  <c r="O48" i="26"/>
  <c r="C25" i="8"/>
  <c r="D39" i="8"/>
  <c r="D38" i="8"/>
  <c r="C45" i="8"/>
  <c r="D48" i="8"/>
  <c r="N48" i="8"/>
  <c r="O72" i="26"/>
  <c r="V48" i="26"/>
  <c r="W48" i="26"/>
  <c r="V72" i="26"/>
  <c r="W72" i="26"/>
  <c r="P49" i="26"/>
  <c r="Q49" i="26"/>
  <c r="G27" i="8"/>
  <c r="Q27" i="8"/>
  <c r="X51" i="26"/>
  <c r="V63" i="26"/>
  <c r="W63" i="26"/>
  <c r="N69" i="26"/>
  <c r="M69" i="26"/>
  <c r="N72" i="26"/>
  <c r="M72" i="26"/>
  <c r="W69" i="26"/>
  <c r="V69" i="26"/>
  <c r="P68" i="26"/>
  <c r="Q68" i="26"/>
  <c r="F48" i="8"/>
  <c r="P48" i="8"/>
  <c r="U72" i="26"/>
  <c r="V68" i="26"/>
  <c r="W68" i="26"/>
  <c r="N48" i="26"/>
  <c r="M48" i="26"/>
  <c r="M74" i="26"/>
  <c r="N74" i="26"/>
  <c r="M51" i="26"/>
  <c r="N51" i="26"/>
  <c r="F45" i="8"/>
  <c r="P45" i="8"/>
  <c r="U69" i="26"/>
  <c r="E24" i="8"/>
  <c r="O24" i="8"/>
  <c r="R48" i="26"/>
  <c r="V50" i="26"/>
  <c r="W50" i="26"/>
  <c r="J32" i="26"/>
  <c r="Y32" i="26"/>
  <c r="AA32" i="26"/>
  <c r="K32" i="26"/>
  <c r="Z32" i="26"/>
  <c r="E45" i="8"/>
  <c r="O45" i="8"/>
  <c r="R69" i="26"/>
  <c r="F39" i="8"/>
  <c r="P39" i="8"/>
  <c r="U63" i="26"/>
  <c r="E48" i="8"/>
  <c r="O48" i="8"/>
  <c r="R72" i="26"/>
  <c r="C24" i="8"/>
  <c r="C26" i="8"/>
  <c r="C27" i="8"/>
  <c r="C23" i="8"/>
  <c r="T74" i="26"/>
  <c r="S74" i="26"/>
  <c r="G38" i="8"/>
  <c r="P50" i="26"/>
  <c r="Q50" i="26"/>
  <c r="V75" i="26"/>
  <c r="W75" i="26"/>
  <c r="E39" i="8"/>
  <c r="D25" i="8"/>
  <c r="N25" i="8"/>
  <c r="O49" i="26"/>
  <c r="F24" i="8"/>
  <c r="P24" i="8"/>
  <c r="U48" i="26"/>
  <c r="G41" i="8"/>
  <c r="N68" i="26"/>
  <c r="M68" i="26"/>
  <c r="J39" i="26"/>
  <c r="Y39" i="26"/>
  <c r="AA39" i="26"/>
  <c r="K39" i="26"/>
  <c r="Z39" i="26"/>
  <c r="V71" i="26"/>
  <c r="W71" i="26"/>
  <c r="Q74" i="26"/>
  <c r="P74" i="26"/>
  <c r="Z40" i="26"/>
  <c r="M34" i="16"/>
  <c r="S31" i="20"/>
  <c r="K34" i="16"/>
  <c r="T31" i="20"/>
  <c r="L34" i="16"/>
  <c r="D26" i="8"/>
  <c r="N26" i="8"/>
  <c r="O50" i="26"/>
  <c r="E51" i="8"/>
  <c r="O51" i="8"/>
  <c r="F51" i="8"/>
  <c r="P51" i="8"/>
  <c r="U75" i="26"/>
  <c r="D51" i="8"/>
  <c r="N51" i="8"/>
  <c r="O75" i="26"/>
  <c r="G43" i="8"/>
  <c r="G42" i="8"/>
  <c r="E47" i="8"/>
  <c r="O47" i="8"/>
  <c r="G50" i="8"/>
  <c r="G49" i="8"/>
  <c r="F44" i="8"/>
  <c r="P44" i="8"/>
  <c r="U68" i="26"/>
  <c r="J43" i="20"/>
  <c r="B46" i="16"/>
  <c r="K36" i="20"/>
  <c r="J36" i="20"/>
  <c r="AA36" i="20"/>
  <c r="E38" i="21"/>
  <c r="D39" i="16"/>
  <c r="C51" i="8"/>
  <c r="F26" i="8"/>
  <c r="P26" i="8"/>
  <c r="U50" i="26"/>
  <c r="K43" i="20"/>
  <c r="C46" i="16"/>
  <c r="AA29" i="20"/>
  <c r="E31" i="21"/>
  <c r="E43" i="16"/>
  <c r="E45" i="16"/>
  <c r="J32" i="16"/>
  <c r="P32" i="16"/>
  <c r="E41" i="16"/>
  <c r="E44" i="16"/>
  <c r="H44" i="16"/>
  <c r="H38" i="16"/>
  <c r="K37" i="20"/>
  <c r="C40" i="16"/>
  <c r="J37" i="20"/>
  <c r="J35" i="20"/>
  <c r="K35" i="20"/>
  <c r="C38" i="16"/>
  <c r="K42" i="20"/>
  <c r="C45" i="16"/>
  <c r="J42" i="20"/>
  <c r="K38" i="20"/>
  <c r="C41" i="16"/>
  <c r="J38" i="20"/>
  <c r="W29" i="20"/>
  <c r="O32" i="16"/>
  <c r="V29" i="20"/>
  <c r="K40" i="20"/>
  <c r="C43" i="16"/>
  <c r="J40" i="20"/>
  <c r="P29" i="20"/>
  <c r="Q29" i="20"/>
  <c r="J41" i="20"/>
  <c r="Y41" i="20"/>
  <c r="D43" i="21"/>
  <c r="K41" i="20"/>
  <c r="AA41" i="20"/>
  <c r="E43" i="21"/>
  <c r="I34" i="16"/>
  <c r="Q38" i="8"/>
  <c r="X62" i="26"/>
  <c r="J37" i="8"/>
  <c r="C37" i="8"/>
  <c r="M37" i="8"/>
  <c r="L61" i="26"/>
  <c r="J11" i="8"/>
  <c r="D11" i="8"/>
  <c r="N11" i="8"/>
  <c r="O35" i="26"/>
  <c r="J33" i="8"/>
  <c r="D33" i="8"/>
  <c r="N33" i="8"/>
  <c r="O57" i="26"/>
  <c r="E27" i="8"/>
  <c r="O27" i="8"/>
  <c r="R51" i="26"/>
  <c r="D43" i="8"/>
  <c r="N43" i="8"/>
  <c r="O67" i="26"/>
  <c r="E43" i="8"/>
  <c r="O43" i="8"/>
  <c r="R67" i="26"/>
  <c r="D41" i="8"/>
  <c r="D40" i="8"/>
  <c r="G25" i="8"/>
  <c r="Q25" i="8"/>
  <c r="J14" i="8"/>
  <c r="C14" i="8"/>
  <c r="R8" i="8"/>
  <c r="E41" i="8"/>
  <c r="E40" i="8"/>
  <c r="F25" i="8"/>
  <c r="P25" i="8"/>
  <c r="U49" i="26"/>
  <c r="J9" i="8"/>
  <c r="G9" i="8"/>
  <c r="J12" i="8"/>
  <c r="D12" i="8"/>
  <c r="N12" i="8"/>
  <c r="O36" i="26"/>
  <c r="F27" i="8"/>
  <c r="P27" i="8"/>
  <c r="U51" i="26"/>
  <c r="F43" i="8"/>
  <c r="P43" i="8"/>
  <c r="J13" i="8"/>
  <c r="F13" i="8"/>
  <c r="P13" i="8"/>
  <c r="U37" i="26"/>
  <c r="M45" i="8"/>
  <c r="L69" i="26"/>
  <c r="F38" i="8"/>
  <c r="Q46" i="8"/>
  <c r="X70" i="26"/>
  <c r="P49" i="8"/>
  <c r="U73" i="26"/>
  <c r="N49" i="8"/>
  <c r="O73" i="26"/>
  <c r="E38" i="8"/>
  <c r="O39" i="8"/>
  <c r="R63" i="26"/>
  <c r="C38" i="8"/>
  <c r="M39" i="8"/>
  <c r="L63" i="26"/>
  <c r="M27" i="8"/>
  <c r="L51" i="26"/>
  <c r="M48" i="8"/>
  <c r="L72" i="26"/>
  <c r="C42" i="8"/>
  <c r="M43" i="8"/>
  <c r="L67" i="26"/>
  <c r="M47" i="8"/>
  <c r="L71" i="26"/>
  <c r="P47" i="8"/>
  <c r="U71" i="26"/>
  <c r="C40" i="8"/>
  <c r="M41" i="8"/>
  <c r="L65" i="26"/>
  <c r="C49" i="8"/>
  <c r="M50" i="8"/>
  <c r="L74" i="26"/>
  <c r="C36" i="8"/>
  <c r="D46" i="8"/>
  <c r="N47" i="8"/>
  <c r="O71" i="26"/>
  <c r="G40" i="8"/>
  <c r="Q41" i="8"/>
  <c r="X65" i="26"/>
  <c r="F40" i="8"/>
  <c r="P41" i="8"/>
  <c r="U65" i="26"/>
  <c r="M26" i="8"/>
  <c r="L50" i="26"/>
  <c r="Q50" i="8"/>
  <c r="X74" i="26"/>
  <c r="M25" i="8"/>
  <c r="L49" i="26"/>
  <c r="M51" i="8"/>
  <c r="L75" i="26"/>
  <c r="M24" i="8"/>
  <c r="L48" i="26"/>
  <c r="N41" i="8"/>
  <c r="O65" i="26"/>
  <c r="M44" i="8"/>
  <c r="L68" i="26"/>
  <c r="C46" i="8"/>
  <c r="D42" i="8"/>
  <c r="G46" i="8"/>
  <c r="F49" i="8"/>
  <c r="D49" i="8"/>
  <c r="G11" i="8"/>
  <c r="Q11" i="8"/>
  <c r="X35" i="26"/>
  <c r="C11" i="8"/>
  <c r="F11" i="8"/>
  <c r="P11" i="8"/>
  <c r="U35" i="26"/>
  <c r="E11" i="8"/>
  <c r="O11" i="8"/>
  <c r="R35" i="26"/>
  <c r="G29" i="8"/>
  <c r="Q29" i="8"/>
  <c r="X53" i="26"/>
  <c r="C29" i="8"/>
  <c r="E29" i="8"/>
  <c r="O29" i="8"/>
  <c r="R53" i="26"/>
  <c r="F29" i="8"/>
  <c r="P29" i="8"/>
  <c r="U53" i="26"/>
  <c r="D29" i="8"/>
  <c r="N29" i="8"/>
  <c r="O53" i="26"/>
  <c r="C33" i="8"/>
  <c r="E33" i="8"/>
  <c r="O33" i="8"/>
  <c r="R57" i="26"/>
  <c r="F12" i="8"/>
  <c r="P12" i="8"/>
  <c r="U36" i="26"/>
  <c r="E12" i="8"/>
  <c r="O12" i="8"/>
  <c r="R36" i="26"/>
  <c r="G12" i="8"/>
  <c r="Q12" i="8"/>
  <c r="X36" i="26"/>
  <c r="C12" i="8"/>
  <c r="G13" i="8"/>
  <c r="Q13" i="8"/>
  <c r="X37" i="26"/>
  <c r="G14" i="8"/>
  <c r="Q14" i="8"/>
  <c r="X38" i="26"/>
  <c r="D37" i="8"/>
  <c r="E37" i="8"/>
  <c r="F37" i="8"/>
  <c r="I1" i="6"/>
  <c r="I32" i="6"/>
  <c r="I31" i="6"/>
  <c r="I30" i="6"/>
  <c r="I28" i="6"/>
  <c r="I24" i="6"/>
  <c r="I20" i="6"/>
  <c r="I19" i="6"/>
  <c r="I17" i="6"/>
  <c r="I16" i="6"/>
  <c r="I15" i="6"/>
  <c r="I14" i="6"/>
  <c r="I8" i="6"/>
  <c r="I9" i="6"/>
  <c r="I10" i="6"/>
  <c r="I11" i="6"/>
  <c r="I12" i="6"/>
  <c r="I7" i="6"/>
  <c r="F32" i="5"/>
  <c r="G32" i="5"/>
  <c r="H32" i="5"/>
  <c r="I32" i="5"/>
  <c r="J32" i="5"/>
  <c r="K32" i="5"/>
  <c r="L32" i="5"/>
  <c r="M32" i="5"/>
  <c r="E32" i="5"/>
  <c r="D32" i="5"/>
  <c r="D31" i="5"/>
  <c r="E30" i="5"/>
  <c r="F30" i="5"/>
  <c r="G30" i="5"/>
  <c r="H30" i="5"/>
  <c r="I30" i="5"/>
  <c r="J30" i="5"/>
  <c r="K30" i="5"/>
  <c r="L30" i="5"/>
  <c r="M30" i="5"/>
  <c r="D30" i="5"/>
  <c r="F15" i="5"/>
  <c r="E22" i="8"/>
  <c r="G15" i="5"/>
  <c r="F22" i="8"/>
  <c r="H15" i="5"/>
  <c r="G22" i="8"/>
  <c r="E15" i="5"/>
  <c r="D22" i="8"/>
  <c r="J4" i="5"/>
  <c r="H13" i="5"/>
  <c r="J3" i="5"/>
  <c r="J2" i="5"/>
  <c r="E4" i="5"/>
  <c r="E2" i="5"/>
  <c r="E3" i="5"/>
  <c r="D23" i="8"/>
  <c r="N39" i="8"/>
  <c r="O63" i="26"/>
  <c r="AA63" i="26"/>
  <c r="N23" i="8"/>
  <c r="O47" i="26"/>
  <c r="G37" i="8"/>
  <c r="G36" i="8"/>
  <c r="C9" i="8"/>
  <c r="N42" i="8"/>
  <c r="O66" i="26"/>
  <c r="O23" i="8"/>
  <c r="R47" i="26"/>
  <c r="N36" i="26"/>
  <c r="M36" i="26"/>
  <c r="M35" i="26"/>
  <c r="N35" i="26"/>
  <c r="T63" i="26"/>
  <c r="S63" i="26"/>
  <c r="M53" i="26"/>
  <c r="N53" i="26"/>
  <c r="J71" i="26"/>
  <c r="K71" i="26"/>
  <c r="T49" i="26"/>
  <c r="S49" i="26"/>
  <c r="W62" i="26"/>
  <c r="V62" i="26"/>
  <c r="O46" i="8"/>
  <c r="R70" i="26"/>
  <c r="R71" i="26"/>
  <c r="O49" i="8"/>
  <c r="R73" i="26"/>
  <c r="R75" i="26"/>
  <c r="S48" i="26"/>
  <c r="T48" i="26"/>
  <c r="T69" i="26"/>
  <c r="S69" i="26"/>
  <c r="W53" i="26"/>
  <c r="V53" i="26"/>
  <c r="K61" i="26"/>
  <c r="J61" i="26"/>
  <c r="M63" i="26"/>
  <c r="N63" i="26"/>
  <c r="P51" i="26"/>
  <c r="Q51" i="26"/>
  <c r="V36" i="26"/>
  <c r="W36" i="26"/>
  <c r="T53" i="26"/>
  <c r="S53" i="26"/>
  <c r="F23" i="8"/>
  <c r="J75" i="26"/>
  <c r="K75" i="26"/>
  <c r="AA75" i="26"/>
  <c r="AA51" i="26"/>
  <c r="K51" i="26"/>
  <c r="J51" i="26"/>
  <c r="T73" i="26"/>
  <c r="S73" i="26"/>
  <c r="K69" i="26"/>
  <c r="J69" i="26"/>
  <c r="AA69" i="26"/>
  <c r="T51" i="26"/>
  <c r="S51" i="26"/>
  <c r="M57" i="26"/>
  <c r="N57" i="26"/>
  <c r="T68" i="26"/>
  <c r="S68" i="26"/>
  <c r="M50" i="26"/>
  <c r="N50" i="26"/>
  <c r="N49" i="26"/>
  <c r="M49" i="26"/>
  <c r="Q69" i="26"/>
  <c r="P69" i="26"/>
  <c r="T72" i="26"/>
  <c r="S72" i="26"/>
  <c r="V51" i="26"/>
  <c r="W51" i="26"/>
  <c r="M66" i="26"/>
  <c r="N66" i="26"/>
  <c r="J65" i="26"/>
  <c r="K65" i="26"/>
  <c r="N73" i="26"/>
  <c r="M73" i="26"/>
  <c r="Q23" i="8"/>
  <c r="X47" i="26"/>
  <c r="X49" i="26"/>
  <c r="W38" i="26"/>
  <c r="V38" i="26"/>
  <c r="Q35" i="26"/>
  <c r="P35" i="26"/>
  <c r="M65" i="26"/>
  <c r="N65" i="26"/>
  <c r="K67" i="26"/>
  <c r="J67" i="26"/>
  <c r="P36" i="26"/>
  <c r="Q36" i="26"/>
  <c r="Q53" i="26"/>
  <c r="P53" i="26"/>
  <c r="J48" i="26"/>
  <c r="AA48" i="26"/>
  <c r="K48" i="26"/>
  <c r="T65" i="26"/>
  <c r="S65" i="26"/>
  <c r="M71" i="26"/>
  <c r="N71" i="26"/>
  <c r="T71" i="26"/>
  <c r="S71" i="26"/>
  <c r="K63" i="26"/>
  <c r="J63" i="26"/>
  <c r="P63" i="26"/>
  <c r="Q63" i="26"/>
  <c r="V70" i="26"/>
  <c r="W70" i="26"/>
  <c r="Q67" i="26"/>
  <c r="P67" i="26"/>
  <c r="T50" i="26"/>
  <c r="S50" i="26"/>
  <c r="M75" i="26"/>
  <c r="N75" i="26"/>
  <c r="T36" i="26"/>
  <c r="S36" i="26"/>
  <c r="P47" i="26"/>
  <c r="Q47" i="26"/>
  <c r="V65" i="26"/>
  <c r="W65" i="26"/>
  <c r="M47" i="26"/>
  <c r="N47" i="26"/>
  <c r="P42" i="8"/>
  <c r="U66" i="26"/>
  <c r="U67" i="26"/>
  <c r="P57" i="26"/>
  <c r="Q57" i="26"/>
  <c r="V35" i="26"/>
  <c r="W35" i="26"/>
  <c r="AA50" i="26"/>
  <c r="J50" i="26"/>
  <c r="Y50" i="26"/>
  <c r="K50" i="26"/>
  <c r="T35" i="26"/>
  <c r="S35" i="26"/>
  <c r="AA49" i="26"/>
  <c r="J49" i="26"/>
  <c r="K49" i="26"/>
  <c r="J74" i="26"/>
  <c r="K74" i="26"/>
  <c r="W74" i="26"/>
  <c r="Z74" i="26"/>
  <c r="AA74" i="26"/>
  <c r="W37" i="26"/>
  <c r="V37" i="26"/>
  <c r="G33" i="8"/>
  <c r="Q33" i="8"/>
  <c r="X57" i="26"/>
  <c r="E42" i="8"/>
  <c r="J68" i="26"/>
  <c r="K68" i="26"/>
  <c r="Z68" i="26"/>
  <c r="AA68" i="26"/>
  <c r="O42" i="8"/>
  <c r="R66" i="26"/>
  <c r="V74" i="26"/>
  <c r="F46" i="8"/>
  <c r="J72" i="26"/>
  <c r="K72" i="26"/>
  <c r="AA72" i="26"/>
  <c r="T37" i="26"/>
  <c r="S37" i="26"/>
  <c r="M67" i="26"/>
  <c r="N67" i="26"/>
  <c r="S75" i="26"/>
  <c r="T75" i="26"/>
  <c r="P72" i="26"/>
  <c r="Q72" i="26"/>
  <c r="P48" i="26"/>
  <c r="Q48" i="26"/>
  <c r="S39" i="16"/>
  <c r="X43" i="20"/>
  <c r="P46" i="16"/>
  <c r="R43" i="20"/>
  <c r="J46" i="16"/>
  <c r="F33" i="8"/>
  <c r="P33" i="8"/>
  <c r="U57" i="26"/>
  <c r="E49" i="8"/>
  <c r="Q43" i="8"/>
  <c r="O41" i="8"/>
  <c r="R65" i="26"/>
  <c r="AA65" i="26"/>
  <c r="Y36" i="20"/>
  <c r="B39" i="16"/>
  <c r="F42" i="8"/>
  <c r="G23" i="8"/>
  <c r="E46" i="8"/>
  <c r="E23" i="8"/>
  <c r="C39" i="16"/>
  <c r="Z36" i="20"/>
  <c r="R39" i="16"/>
  <c r="Z41" i="20"/>
  <c r="R44" i="16"/>
  <c r="C44" i="16"/>
  <c r="B43" i="16"/>
  <c r="B41" i="16"/>
  <c r="Q44" i="16"/>
  <c r="B44" i="16"/>
  <c r="B38" i="16"/>
  <c r="B45" i="16"/>
  <c r="B40" i="16"/>
  <c r="F55" i="18"/>
  <c r="B8" i="8"/>
  <c r="H34" i="16"/>
  <c r="I32" i="16"/>
  <c r="N32" i="16"/>
  <c r="S44" i="16"/>
  <c r="H32" i="16"/>
  <c r="I6" i="6"/>
  <c r="O32" i="20"/>
  <c r="G35" i="16"/>
  <c r="I29" i="6"/>
  <c r="I18" i="6"/>
  <c r="O31" i="20"/>
  <c r="G34" i="16"/>
  <c r="R32" i="20"/>
  <c r="E14" i="8"/>
  <c r="O14" i="8"/>
  <c r="R38" i="26"/>
  <c r="D9" i="8"/>
  <c r="D7" i="8"/>
  <c r="C13" i="8"/>
  <c r="C10" i="8"/>
  <c r="E13" i="8"/>
  <c r="O13" i="8"/>
  <c r="R37" i="26"/>
  <c r="Q49" i="8"/>
  <c r="X73" i="26"/>
  <c r="P40" i="8"/>
  <c r="U64" i="26"/>
  <c r="N46" i="8"/>
  <c r="O70" i="26"/>
  <c r="P46" i="8"/>
  <c r="U70" i="26"/>
  <c r="R48" i="8"/>
  <c r="B48" i="8"/>
  <c r="P23" i="8"/>
  <c r="U47" i="26"/>
  <c r="R25" i="8"/>
  <c r="S18" i="5"/>
  <c r="F14" i="8"/>
  <c r="P14" i="8"/>
  <c r="U38" i="26"/>
  <c r="E9" i="8"/>
  <c r="E7" i="8"/>
  <c r="F9" i="8"/>
  <c r="P9" i="8"/>
  <c r="U33" i="26"/>
  <c r="D13" i="8"/>
  <c r="N13" i="8"/>
  <c r="O37" i="26"/>
  <c r="N40" i="8"/>
  <c r="O64" i="26"/>
  <c r="R24" i="8"/>
  <c r="R51" i="8"/>
  <c r="O38" i="8"/>
  <c r="R62" i="26"/>
  <c r="R45" i="8"/>
  <c r="R26" i="8"/>
  <c r="R27" i="8"/>
  <c r="N38" i="8"/>
  <c r="O62" i="26"/>
  <c r="J18" i="5"/>
  <c r="D14" i="8"/>
  <c r="N14" i="8"/>
  <c r="O38" i="26"/>
  <c r="R44" i="8"/>
  <c r="Q40" i="8"/>
  <c r="X64" i="26"/>
  <c r="P38" i="8"/>
  <c r="U62" i="26"/>
  <c r="M38" i="8"/>
  <c r="L62" i="26"/>
  <c r="M40" i="8"/>
  <c r="L64" i="26"/>
  <c r="M36" i="8"/>
  <c r="L60" i="26"/>
  <c r="R50" i="8"/>
  <c r="M46" i="8"/>
  <c r="L70" i="26"/>
  <c r="R47" i="8"/>
  <c r="M23" i="8"/>
  <c r="L47" i="26"/>
  <c r="M29" i="8"/>
  <c r="L53" i="26"/>
  <c r="E36" i="8"/>
  <c r="O37" i="8"/>
  <c r="R61" i="26"/>
  <c r="F7" i="8"/>
  <c r="M11" i="8"/>
  <c r="L35" i="26"/>
  <c r="M49" i="8"/>
  <c r="L73" i="26"/>
  <c r="D36" i="8"/>
  <c r="N37" i="8"/>
  <c r="O61" i="26"/>
  <c r="M14" i="8"/>
  <c r="L38" i="26"/>
  <c r="G7" i="8"/>
  <c r="Q9" i="8"/>
  <c r="X33" i="26"/>
  <c r="Q10" i="8"/>
  <c r="X34" i="26"/>
  <c r="F36" i="8"/>
  <c r="P37" i="8"/>
  <c r="U61" i="26"/>
  <c r="C7" i="8"/>
  <c r="M9" i="8"/>
  <c r="L33" i="26"/>
  <c r="M12" i="8"/>
  <c r="L36" i="26"/>
  <c r="M33" i="8"/>
  <c r="L57" i="26"/>
  <c r="P10" i="8"/>
  <c r="U34" i="26"/>
  <c r="M42" i="8"/>
  <c r="L66" i="26"/>
  <c r="F10" i="8"/>
  <c r="G10" i="8"/>
  <c r="O18" i="5"/>
  <c r="H14" i="5"/>
  <c r="G21" i="8"/>
  <c r="G20" i="8"/>
  <c r="G11" i="5"/>
  <c r="T19" i="5"/>
  <c r="L17" i="5"/>
  <c r="S17" i="5"/>
  <c r="O17" i="5"/>
  <c r="I19" i="5"/>
  <c r="S19" i="5"/>
  <c r="O19" i="5"/>
  <c r="I17" i="5"/>
  <c r="K17" i="5"/>
  <c r="R17" i="5"/>
  <c r="I18" i="5"/>
  <c r="R18" i="5"/>
  <c r="N18" i="5"/>
  <c r="L19" i="5"/>
  <c r="R19" i="5"/>
  <c r="N19" i="5"/>
  <c r="N17" i="5"/>
  <c r="J17" i="5"/>
  <c r="Q17" i="5"/>
  <c r="L18" i="5"/>
  <c r="Q18" i="5"/>
  <c r="M18" i="5"/>
  <c r="K19" i="5"/>
  <c r="Q19" i="5"/>
  <c r="M19" i="5"/>
  <c r="M17" i="5"/>
  <c r="T17" i="5"/>
  <c r="P17" i="5"/>
  <c r="K18" i="5"/>
  <c r="P18" i="5"/>
  <c r="T18" i="5"/>
  <c r="J19" i="5"/>
  <c r="P19" i="5"/>
  <c r="F11" i="5"/>
  <c r="G13" i="5"/>
  <c r="F20" i="8"/>
  <c r="H11" i="5"/>
  <c r="E9" i="5"/>
  <c r="D16" i="8"/>
  <c r="B49" i="4"/>
  <c r="B48" i="4"/>
  <c r="B46" i="4"/>
  <c r="B45" i="4"/>
  <c r="B43" i="4"/>
  <c r="B42" i="4"/>
  <c r="B41" i="4"/>
  <c r="B39" i="4"/>
  <c r="B38" i="4"/>
  <c r="B37" i="4"/>
  <c r="B36" i="4"/>
  <c r="B35" i="4"/>
  <c r="B34" i="4"/>
  <c r="B33" i="4"/>
  <c r="B32" i="4"/>
  <c r="B31" i="4"/>
  <c r="B30" i="4"/>
  <c r="B29" i="4"/>
  <c r="B28" i="4"/>
  <c r="B27" i="4"/>
  <c r="B26" i="4"/>
  <c r="B25" i="4"/>
  <c r="B23" i="4"/>
  <c r="B22" i="4"/>
  <c r="B21" i="4"/>
  <c r="B20" i="4"/>
  <c r="B10" i="4"/>
  <c r="B9" i="4"/>
  <c r="B8" i="4"/>
  <c r="B7" i="4"/>
  <c r="B5" i="4"/>
  <c r="B4" i="4"/>
  <c r="B15" i="4"/>
  <c r="B12" i="4"/>
  <c r="B13" i="4"/>
  <c r="B16" i="4"/>
  <c r="B17" i="4"/>
  <c r="B18" i="4"/>
  <c r="B14" i="4"/>
  <c r="N43" i="3"/>
  <c r="M43" i="3"/>
  <c r="L43" i="3"/>
  <c r="K43" i="3"/>
  <c r="J43" i="3"/>
  <c r="R41" i="8"/>
  <c r="B41" i="8"/>
  <c r="Q37" i="8"/>
  <c r="X61" i="26"/>
  <c r="AA61" i="26"/>
  <c r="Y68" i="26"/>
  <c r="M13" i="8"/>
  <c r="L37" i="26"/>
  <c r="O40" i="8"/>
  <c r="R64" i="26"/>
  <c r="AA64" i="26"/>
  <c r="N10" i="8"/>
  <c r="O34" i="26"/>
  <c r="R39" i="8"/>
  <c r="R38" i="8"/>
  <c r="B38" i="8"/>
  <c r="T33" i="26"/>
  <c r="S33" i="26"/>
  <c r="N64" i="26"/>
  <c r="M64" i="26"/>
  <c r="R43" i="8"/>
  <c r="X67" i="26"/>
  <c r="W57" i="26"/>
  <c r="V57" i="26"/>
  <c r="Z63" i="26"/>
  <c r="V47" i="26"/>
  <c r="W47" i="26"/>
  <c r="Q70" i="26"/>
  <c r="P70" i="26"/>
  <c r="W33" i="26"/>
  <c r="V33" i="26"/>
  <c r="S38" i="26"/>
  <c r="T38" i="26"/>
  <c r="W73" i="26"/>
  <c r="V73" i="26"/>
  <c r="T61" i="26"/>
  <c r="S61" i="26"/>
  <c r="AA47" i="26"/>
  <c r="J47" i="26"/>
  <c r="K47" i="26"/>
  <c r="K60" i="26"/>
  <c r="J60" i="26"/>
  <c r="Q62" i="26"/>
  <c r="P62" i="26"/>
  <c r="M37" i="26"/>
  <c r="N37" i="26"/>
  <c r="T70" i="26"/>
  <c r="S70" i="26"/>
  <c r="Q37" i="26"/>
  <c r="P37" i="26"/>
  <c r="Y74" i="26"/>
  <c r="Y48" i="26"/>
  <c r="Y69" i="26"/>
  <c r="Y51" i="26"/>
  <c r="Q75" i="26"/>
  <c r="Z75" i="26"/>
  <c r="P75" i="26"/>
  <c r="Y75" i="26"/>
  <c r="T34" i="26"/>
  <c r="S34" i="26"/>
  <c r="M34" i="26"/>
  <c r="N34" i="26"/>
  <c r="V64" i="26"/>
  <c r="W64" i="26"/>
  <c r="P64" i="26"/>
  <c r="Q64" i="26"/>
  <c r="AA57" i="26"/>
  <c r="K57" i="26"/>
  <c r="J57" i="26"/>
  <c r="K53" i="26"/>
  <c r="Z53" i="26"/>
  <c r="AA53" i="26"/>
  <c r="J53" i="26"/>
  <c r="Y53" i="26"/>
  <c r="D10" i="8"/>
  <c r="K35" i="26"/>
  <c r="Z35" i="26"/>
  <c r="J35" i="26"/>
  <c r="Y35" i="26"/>
  <c r="AA35" i="26"/>
  <c r="AA37" i="26"/>
  <c r="J37" i="26"/>
  <c r="K37" i="26"/>
  <c r="T62" i="26"/>
  <c r="S62" i="26"/>
  <c r="Q39" i="16"/>
  <c r="D38" i="21"/>
  <c r="T57" i="26"/>
  <c r="S57" i="26"/>
  <c r="Z72" i="26"/>
  <c r="T67" i="26"/>
  <c r="S67" i="26"/>
  <c r="Y63" i="26"/>
  <c r="Z69" i="26"/>
  <c r="Z51" i="26"/>
  <c r="P73" i="26"/>
  <c r="Q73" i="26"/>
  <c r="M62" i="26"/>
  <c r="N62" i="26"/>
  <c r="Q38" i="26"/>
  <c r="P38" i="26"/>
  <c r="K73" i="26"/>
  <c r="Z73" i="26"/>
  <c r="J73" i="26"/>
  <c r="AA73" i="26"/>
  <c r="AA62" i="26"/>
  <c r="J62" i="26"/>
  <c r="Y62" i="26"/>
  <c r="K62" i="26"/>
  <c r="K36" i="26"/>
  <c r="Z36" i="26"/>
  <c r="J36" i="26"/>
  <c r="Y36" i="26"/>
  <c r="AA36" i="26"/>
  <c r="K38" i="26"/>
  <c r="AA38" i="26"/>
  <c r="J38" i="26"/>
  <c r="P61" i="26"/>
  <c r="Q61" i="26"/>
  <c r="M38" i="26"/>
  <c r="N38" i="26"/>
  <c r="M70" i="26"/>
  <c r="N70" i="26"/>
  <c r="E10" i="8"/>
  <c r="J66" i="26"/>
  <c r="K66" i="26"/>
  <c r="J33" i="26"/>
  <c r="K33" i="26"/>
  <c r="V34" i="26"/>
  <c r="W34" i="26"/>
  <c r="M61" i="26"/>
  <c r="N61" i="26"/>
  <c r="O10" i="8"/>
  <c r="R34" i="26"/>
  <c r="V61" i="26"/>
  <c r="J70" i="26"/>
  <c r="AA70" i="26"/>
  <c r="K70" i="26"/>
  <c r="K64" i="26"/>
  <c r="J64" i="26"/>
  <c r="Q42" i="8"/>
  <c r="X66" i="26"/>
  <c r="AA66" i="26"/>
  <c r="T47" i="26"/>
  <c r="S47" i="26"/>
  <c r="S64" i="26"/>
  <c r="T64" i="26"/>
  <c r="I5" i="6"/>
  <c r="J5" i="6"/>
  <c r="R39" i="20"/>
  <c r="P39" i="20"/>
  <c r="P65" i="26"/>
  <c r="Y65" i="26"/>
  <c r="Q65" i="26"/>
  <c r="Z65" i="26"/>
  <c r="Y72" i="26"/>
  <c r="P66" i="26"/>
  <c r="Q66" i="26"/>
  <c r="Z50" i="26"/>
  <c r="T66" i="26"/>
  <c r="S66" i="26"/>
  <c r="Z48" i="26"/>
  <c r="AA67" i="26"/>
  <c r="V49" i="26"/>
  <c r="Y49" i="26"/>
  <c r="W49" i="26"/>
  <c r="Z49" i="26"/>
  <c r="P71" i="26"/>
  <c r="Y71" i="26"/>
  <c r="Q71" i="26"/>
  <c r="Z71" i="26"/>
  <c r="AA71" i="26"/>
  <c r="R42" i="8"/>
  <c r="B42" i="8"/>
  <c r="F57" i="18"/>
  <c r="B43" i="8"/>
  <c r="B44" i="4"/>
  <c r="N9" i="8"/>
  <c r="O33" i="26"/>
  <c r="X39" i="20"/>
  <c r="P7" i="8"/>
  <c r="U31" i="26"/>
  <c r="L33" i="20"/>
  <c r="D36" i="16"/>
  <c r="F59" i="18"/>
  <c r="B45" i="8"/>
  <c r="U43" i="20"/>
  <c r="M46" i="16"/>
  <c r="Q39" i="20"/>
  <c r="L32" i="20"/>
  <c r="AA32" i="20"/>
  <c r="E34" i="21"/>
  <c r="L34" i="20"/>
  <c r="D37" i="16"/>
  <c r="L31" i="20"/>
  <c r="J31" i="20"/>
  <c r="O9" i="8"/>
  <c r="R33" i="26"/>
  <c r="AA33" i="26"/>
  <c r="R46" i="8"/>
  <c r="B47" i="8"/>
  <c r="R40" i="8"/>
  <c r="B40" i="8"/>
  <c r="F77" i="18"/>
  <c r="F58" i="18"/>
  <c r="B44" i="8"/>
  <c r="F17" i="18"/>
  <c r="B27" i="8"/>
  <c r="U39" i="20"/>
  <c r="R49" i="8"/>
  <c r="B49" i="8"/>
  <c r="F78" i="18"/>
  <c r="B50" i="8"/>
  <c r="F14" i="18"/>
  <c r="B24" i="8"/>
  <c r="F16" i="18"/>
  <c r="B26" i="8"/>
  <c r="F35" i="18"/>
  <c r="B51" i="8"/>
  <c r="F15" i="18"/>
  <c r="B25" i="8"/>
  <c r="J35" i="16"/>
  <c r="AA31" i="20"/>
  <c r="E33" i="21"/>
  <c r="D34" i="16"/>
  <c r="R33" i="20"/>
  <c r="J36" i="16"/>
  <c r="P43" i="20"/>
  <c r="Q43" i="20"/>
  <c r="I46" i="16"/>
  <c r="S20" i="5"/>
  <c r="S21" i="5"/>
  <c r="L30" i="20"/>
  <c r="P32" i="20"/>
  <c r="Q32" i="20"/>
  <c r="I35" i="16"/>
  <c r="Q42" i="20"/>
  <c r="I45" i="16"/>
  <c r="P42" i="20"/>
  <c r="N32" i="20"/>
  <c r="F35" i="16"/>
  <c r="M32" i="20"/>
  <c r="O33" i="20"/>
  <c r="G36" i="16"/>
  <c r="W43" i="20"/>
  <c r="O46" i="16"/>
  <c r="V43" i="20"/>
  <c r="N31" i="20"/>
  <c r="F34" i="16"/>
  <c r="M31" i="20"/>
  <c r="J32" i="20"/>
  <c r="AA42" i="20"/>
  <c r="E44" i="21"/>
  <c r="O34" i="20"/>
  <c r="G37" i="16"/>
  <c r="R34" i="20"/>
  <c r="J37" i="16"/>
  <c r="O34" i="16"/>
  <c r="N36" i="8"/>
  <c r="O60" i="26"/>
  <c r="R29" i="8"/>
  <c r="N7" i="8"/>
  <c r="O31" i="26"/>
  <c r="R12" i="8"/>
  <c r="R14" i="8"/>
  <c r="R11" i="8"/>
  <c r="Q7" i="8"/>
  <c r="X31" i="26"/>
  <c r="Q36" i="8"/>
  <c r="X60" i="26"/>
  <c r="R22" i="8"/>
  <c r="B22" i="8"/>
  <c r="R33" i="8"/>
  <c r="P36" i="8"/>
  <c r="O36" i="8"/>
  <c r="R60" i="26"/>
  <c r="R13" i="8"/>
  <c r="R23" i="8"/>
  <c r="B23" i="8"/>
  <c r="M7" i="8"/>
  <c r="L31" i="26"/>
  <c r="R9" i="8"/>
  <c r="M10" i="8"/>
  <c r="L34" i="26"/>
  <c r="J20" i="5"/>
  <c r="J21" i="5"/>
  <c r="L20" i="5"/>
  <c r="L21" i="5"/>
  <c r="R20" i="5"/>
  <c r="R21" i="5"/>
  <c r="P20" i="5"/>
  <c r="P21" i="5"/>
  <c r="N20" i="5"/>
  <c r="N21" i="5"/>
  <c r="O20" i="5"/>
  <c r="O21" i="5"/>
  <c r="F12" i="5"/>
  <c r="E18" i="8"/>
  <c r="H12" i="5"/>
  <c r="G18" i="8"/>
  <c r="G12" i="5"/>
  <c r="F19" i="8"/>
  <c r="F18" i="8"/>
  <c r="E10" i="5"/>
  <c r="D16" i="5"/>
  <c r="D21" i="5"/>
  <c r="G14" i="5"/>
  <c r="F21" i="8"/>
  <c r="T20" i="5"/>
  <c r="T21" i="5"/>
  <c r="K20" i="5"/>
  <c r="K21" i="5"/>
  <c r="I20" i="5"/>
  <c r="I21" i="5"/>
  <c r="M20" i="5"/>
  <c r="M21" i="5"/>
  <c r="Q20" i="5"/>
  <c r="Q21" i="5"/>
  <c r="B3" i="4"/>
  <c r="B47" i="4"/>
  <c r="B11" i="4"/>
  <c r="B40" i="4"/>
  <c r="B19" i="4"/>
  <c r="B24" i="4"/>
  <c r="B6" i="4"/>
  <c r="O7" i="8"/>
  <c r="R31" i="26"/>
  <c r="Q31" i="26"/>
  <c r="K31" i="20"/>
  <c r="C34" i="16"/>
  <c r="F18" i="18"/>
  <c r="J42" i="16"/>
  <c r="B39" i="8"/>
  <c r="Y61" i="26"/>
  <c r="Y38" i="26"/>
  <c r="Y47" i="26"/>
  <c r="W61" i="26"/>
  <c r="Z61" i="26"/>
  <c r="Z57" i="26"/>
  <c r="R37" i="8"/>
  <c r="F76" i="18"/>
  <c r="Z38" i="26"/>
  <c r="Z62" i="26"/>
  <c r="Y73" i="26"/>
  <c r="Z37" i="26"/>
  <c r="P34" i="26"/>
  <c r="Q34" i="26"/>
  <c r="K34" i="26"/>
  <c r="Z34" i="26"/>
  <c r="AA34" i="26"/>
  <c r="J34" i="26"/>
  <c r="Y34" i="26"/>
  <c r="M31" i="26"/>
  <c r="N31" i="26"/>
  <c r="Y64" i="26"/>
  <c r="K34" i="20"/>
  <c r="C37" i="16"/>
  <c r="P33" i="26"/>
  <c r="M33" i="26"/>
  <c r="Y33" i="26"/>
  <c r="Q33" i="26"/>
  <c r="Z64" i="26"/>
  <c r="Y37" i="26"/>
  <c r="Y70" i="26"/>
  <c r="V67" i="26"/>
  <c r="Y67" i="26"/>
  <c r="W67" i="26"/>
  <c r="Z67" i="26"/>
  <c r="P31" i="26"/>
  <c r="P60" i="26"/>
  <c r="Q60" i="26"/>
  <c r="V60" i="26"/>
  <c r="W60" i="26"/>
  <c r="N60" i="26"/>
  <c r="M60" i="26"/>
  <c r="D35" i="16"/>
  <c r="AA39" i="20"/>
  <c r="E41" i="21"/>
  <c r="K31" i="26"/>
  <c r="J31" i="26"/>
  <c r="V31" i="26"/>
  <c r="W31" i="26"/>
  <c r="K32" i="20"/>
  <c r="C35" i="16"/>
  <c r="N33" i="26"/>
  <c r="Z33" i="26"/>
  <c r="V66" i="26"/>
  <c r="Y66" i="26"/>
  <c r="W66" i="26"/>
  <c r="Z66" i="26"/>
  <c r="Z70" i="26"/>
  <c r="Y57" i="26"/>
  <c r="Z47" i="26"/>
  <c r="AA31" i="26"/>
  <c r="T31" i="26"/>
  <c r="S31" i="26"/>
  <c r="U60" i="26"/>
  <c r="U37" i="20"/>
  <c r="T37" i="20"/>
  <c r="L40" i="16"/>
  <c r="Y31" i="20"/>
  <c r="D33" i="21"/>
  <c r="J34" i="20"/>
  <c r="B37" i="16"/>
  <c r="K33" i="20"/>
  <c r="C36" i="16"/>
  <c r="R36" i="8"/>
  <c r="B36" i="8"/>
  <c r="R10" i="8"/>
  <c r="B10" i="8"/>
  <c r="F74" i="18"/>
  <c r="B13" i="8"/>
  <c r="F72" i="18"/>
  <c r="B11" i="8"/>
  <c r="F28" i="18"/>
  <c r="B29" i="8"/>
  <c r="J33" i="20"/>
  <c r="B36" i="16"/>
  <c r="P42" i="16"/>
  <c r="W39" i="20"/>
  <c r="O42" i="16"/>
  <c r="V39" i="20"/>
  <c r="N42" i="16"/>
  <c r="F75" i="18"/>
  <c r="B14" i="8"/>
  <c r="F73" i="18"/>
  <c r="B12" i="8"/>
  <c r="M42" i="16"/>
  <c r="T39" i="20"/>
  <c r="L42" i="16"/>
  <c r="S39" i="20"/>
  <c r="K42" i="16"/>
  <c r="H42" i="16"/>
  <c r="O30" i="20"/>
  <c r="AA30" i="20"/>
  <c r="E32" i="21"/>
  <c r="F32" i="18"/>
  <c r="B33" i="8"/>
  <c r="F60" i="18"/>
  <c r="B46" i="8"/>
  <c r="I42" i="16"/>
  <c r="R28" i="20"/>
  <c r="R7" i="8"/>
  <c r="B7" i="8"/>
  <c r="F56" i="18"/>
  <c r="B9" i="8"/>
  <c r="B35" i="16"/>
  <c r="B34" i="16"/>
  <c r="E34" i="16"/>
  <c r="E35" i="16"/>
  <c r="D33" i="16"/>
  <c r="L28" i="20"/>
  <c r="L101" i="20"/>
  <c r="N34" i="16"/>
  <c r="N46" i="16"/>
  <c r="H35" i="16"/>
  <c r="H45" i="16"/>
  <c r="S45" i="16"/>
  <c r="S34" i="16"/>
  <c r="H46" i="16"/>
  <c r="AA33" i="20"/>
  <c r="E35" i="21"/>
  <c r="AA34" i="20"/>
  <c r="E36" i="21"/>
  <c r="M33" i="20"/>
  <c r="N33" i="20"/>
  <c r="F36" i="16"/>
  <c r="Q37" i="20"/>
  <c r="P37" i="20"/>
  <c r="K30" i="20"/>
  <c r="J30" i="20"/>
  <c r="W33" i="20"/>
  <c r="O36" i="16"/>
  <c r="V33" i="20"/>
  <c r="P34" i="20"/>
  <c r="Q34" i="20"/>
  <c r="I37" i="16"/>
  <c r="N34" i="20"/>
  <c r="F37" i="16"/>
  <c r="M34" i="20"/>
  <c r="Z31" i="20"/>
  <c r="V35" i="20"/>
  <c r="W35" i="20"/>
  <c r="O38" i="16"/>
  <c r="P33" i="20"/>
  <c r="Q33" i="20"/>
  <c r="I36" i="16"/>
  <c r="V32" i="20"/>
  <c r="W32" i="20"/>
  <c r="O35" i="16"/>
  <c r="T43" i="20"/>
  <c r="S43" i="20"/>
  <c r="Y43" i="20"/>
  <c r="D45" i="21"/>
  <c r="T42" i="20"/>
  <c r="L45" i="16"/>
  <c r="S42" i="20"/>
  <c r="K45" i="16"/>
  <c r="W42" i="20"/>
  <c r="O45" i="16"/>
  <c r="V42" i="20"/>
  <c r="AA43" i="20"/>
  <c r="E45" i="21"/>
  <c r="V34" i="20"/>
  <c r="W34" i="20"/>
  <c r="O37" i="16"/>
  <c r="R20" i="8"/>
  <c r="R16" i="8"/>
  <c r="F23" i="22"/>
  <c r="F15" i="8"/>
  <c r="H16" i="5"/>
  <c r="H21" i="5"/>
  <c r="G19" i="8"/>
  <c r="E16" i="5"/>
  <c r="E21" i="5"/>
  <c r="D17" i="8"/>
  <c r="G16" i="5"/>
  <c r="G21" i="5"/>
  <c r="F16" i="5"/>
  <c r="F21" i="5"/>
  <c r="E19" i="8"/>
  <c r="B50" i="4"/>
  <c r="I24" i="3"/>
  <c r="J24" i="3"/>
  <c r="I25" i="3"/>
  <c r="L25" i="3"/>
  <c r="I23" i="3"/>
  <c r="L23" i="3"/>
  <c r="P19" i="3"/>
  <c r="I49" i="3"/>
  <c r="M49" i="3"/>
  <c r="J53" i="3"/>
  <c r="K53" i="3"/>
  <c r="L53" i="3"/>
  <c r="J50" i="3"/>
  <c r="K50" i="3"/>
  <c r="L50" i="3"/>
  <c r="J46" i="3"/>
  <c r="K46" i="3"/>
  <c r="L46" i="3"/>
  <c r="N46" i="3"/>
  <c r="J44" i="3"/>
  <c r="K44" i="3"/>
  <c r="L44" i="3"/>
  <c r="N44" i="3"/>
  <c r="J42" i="3"/>
  <c r="K42" i="3"/>
  <c r="L42" i="3"/>
  <c r="M42" i="3"/>
  <c r="N42" i="3"/>
  <c r="J39" i="3"/>
  <c r="K39" i="3"/>
  <c r="L39" i="3"/>
  <c r="M39" i="3"/>
  <c r="N39" i="3"/>
  <c r="J37" i="3"/>
  <c r="K37" i="3"/>
  <c r="L37" i="3"/>
  <c r="N37" i="3"/>
  <c r="J27" i="3"/>
  <c r="K27" i="3"/>
  <c r="L27" i="3"/>
  <c r="J9" i="3"/>
  <c r="K9" i="3"/>
  <c r="L9" i="3"/>
  <c r="N9" i="3"/>
  <c r="J6" i="3"/>
  <c r="K6" i="3"/>
  <c r="L6" i="3"/>
  <c r="N6" i="3"/>
  <c r="P15" i="3"/>
  <c r="I30" i="3"/>
  <c r="N30" i="3"/>
  <c r="I53" i="3"/>
  <c r="I50" i="3"/>
  <c r="I44" i="3"/>
  <c r="I42" i="3"/>
  <c r="I39" i="3"/>
  <c r="I37" i="3"/>
  <c r="I9" i="3"/>
  <c r="I6" i="3"/>
  <c r="I19" i="3"/>
  <c r="I20" i="3"/>
  <c r="I15" i="3"/>
  <c r="N55" i="3"/>
  <c r="N53" i="3"/>
  <c r="M55" i="3"/>
  <c r="M54" i="3"/>
  <c r="N52" i="3"/>
  <c r="N50" i="3"/>
  <c r="M51" i="3"/>
  <c r="M50" i="3"/>
  <c r="M48" i="3"/>
  <c r="M47" i="3"/>
  <c r="M45" i="3"/>
  <c r="M44" i="3"/>
  <c r="M38" i="3"/>
  <c r="M37" i="3"/>
  <c r="N34" i="3"/>
  <c r="M34" i="3"/>
  <c r="M27" i="3"/>
  <c r="N29" i="3"/>
  <c r="M13" i="3"/>
  <c r="M12" i="3"/>
  <c r="M11" i="3"/>
  <c r="M10" i="3"/>
  <c r="M8" i="3"/>
  <c r="M7" i="3"/>
  <c r="N2" i="3"/>
  <c r="M2" i="3"/>
  <c r="L2" i="3"/>
  <c r="K2" i="3"/>
  <c r="J2" i="3"/>
  <c r="B37" i="8"/>
  <c r="S42" i="16"/>
  <c r="Y31" i="26"/>
  <c r="AA37" i="20"/>
  <c r="E39" i="21"/>
  <c r="S37" i="20"/>
  <c r="K40" i="16"/>
  <c r="Z31" i="26"/>
  <c r="M40" i="16"/>
  <c r="T60" i="26"/>
  <c r="AA60" i="26"/>
  <c r="S60" i="26"/>
  <c r="F79" i="18"/>
  <c r="O28" i="20"/>
  <c r="O101" i="20"/>
  <c r="Z39" i="20"/>
  <c r="R42" i="16"/>
  <c r="Y39" i="20"/>
  <c r="F43" i="18"/>
  <c r="B16" i="8"/>
  <c r="Y37" i="20"/>
  <c r="D39" i="21"/>
  <c r="M30" i="20"/>
  <c r="E33" i="16"/>
  <c r="N30" i="20"/>
  <c r="F33" i="16"/>
  <c r="G33" i="16"/>
  <c r="D31" i="16"/>
  <c r="D105" i="16"/>
  <c r="F13" i="18"/>
  <c r="F19" i="18"/>
  <c r="B20" i="8"/>
  <c r="J31" i="16"/>
  <c r="R101" i="20"/>
  <c r="Y42" i="20"/>
  <c r="D44" i="21"/>
  <c r="Z43" i="20"/>
  <c r="L46" i="16"/>
  <c r="E37" i="16"/>
  <c r="C33" i="16"/>
  <c r="K28" i="20"/>
  <c r="E36" i="16"/>
  <c r="K46" i="16"/>
  <c r="B33" i="16"/>
  <c r="J28" i="20"/>
  <c r="J101" i="20"/>
  <c r="N45" i="16"/>
  <c r="Q46" i="16"/>
  <c r="N38" i="16"/>
  <c r="H40" i="16"/>
  <c r="S37" i="16"/>
  <c r="R34" i="16"/>
  <c r="Z37" i="20"/>
  <c r="I40" i="16"/>
  <c r="N37" i="16"/>
  <c r="H36" i="16"/>
  <c r="N36" i="16"/>
  <c r="Q34" i="16"/>
  <c r="R46" i="16"/>
  <c r="H37" i="16"/>
  <c r="S36" i="16"/>
  <c r="S46" i="16"/>
  <c r="N35" i="16"/>
  <c r="Z42" i="20"/>
  <c r="P37" i="3"/>
  <c r="P50" i="3"/>
  <c r="S40" i="20"/>
  <c r="K43" i="16"/>
  <c r="T40" i="20"/>
  <c r="L43" i="16"/>
  <c r="S32" i="20"/>
  <c r="Y32" i="20"/>
  <c r="D34" i="21"/>
  <c r="T32" i="20"/>
  <c r="L35" i="16"/>
  <c r="S35" i="20"/>
  <c r="Y35" i="20"/>
  <c r="D37" i="21"/>
  <c r="T35" i="20"/>
  <c r="AA35" i="20"/>
  <c r="E37" i="21"/>
  <c r="P42" i="3"/>
  <c r="P44" i="3"/>
  <c r="T34" i="20"/>
  <c r="S34" i="20"/>
  <c r="Y34" i="20"/>
  <c r="D36" i="21"/>
  <c r="T33" i="20"/>
  <c r="S33" i="20"/>
  <c r="Y33" i="20"/>
  <c r="D35" i="21"/>
  <c r="I16" i="3"/>
  <c r="R21" i="8"/>
  <c r="R18" i="8"/>
  <c r="I17" i="3"/>
  <c r="I18" i="3"/>
  <c r="K25" i="3"/>
  <c r="I31" i="3"/>
  <c r="I32" i="3"/>
  <c r="I32" i="8"/>
  <c r="I30" i="8"/>
  <c r="E15" i="8"/>
  <c r="G15" i="8"/>
  <c r="D15" i="8"/>
  <c r="D22" i="5"/>
  <c r="K24" i="3"/>
  <c r="M24" i="3"/>
  <c r="L24" i="3"/>
  <c r="J23" i="3"/>
  <c r="K23" i="3"/>
  <c r="N23" i="3"/>
  <c r="M23" i="3"/>
  <c r="N25" i="3"/>
  <c r="J25" i="3"/>
  <c r="M25" i="3"/>
  <c r="N24" i="3"/>
  <c r="I46" i="3"/>
  <c r="M9" i="3"/>
  <c r="P9" i="3"/>
  <c r="M53" i="3"/>
  <c r="P53" i="3"/>
  <c r="M46" i="3"/>
  <c r="P46" i="3"/>
  <c r="M6" i="3"/>
  <c r="P6" i="3"/>
  <c r="G31" i="16"/>
  <c r="I35" i="3"/>
  <c r="I34" i="8"/>
  <c r="Q42" i="16"/>
  <c r="D41" i="21"/>
  <c r="S40" i="16"/>
  <c r="Y60" i="26"/>
  <c r="Z60" i="26"/>
  <c r="C31" i="16"/>
  <c r="K101" i="20"/>
  <c r="F24" i="18"/>
  <c r="F25" i="18"/>
  <c r="B18" i="8"/>
  <c r="F50" i="18"/>
  <c r="B21" i="8"/>
  <c r="K38" i="16"/>
  <c r="B105" i="16"/>
  <c r="B109" i="16"/>
  <c r="B31" i="16"/>
  <c r="Z33" i="20"/>
  <c r="L36" i="16"/>
  <c r="Q37" i="16"/>
  <c r="K37" i="16"/>
  <c r="Q36" i="16"/>
  <c r="K36" i="16"/>
  <c r="Z34" i="20"/>
  <c r="R37" i="16"/>
  <c r="L37" i="16"/>
  <c r="Z35" i="20"/>
  <c r="R38" i="16"/>
  <c r="L38" i="16"/>
  <c r="K35" i="16"/>
  <c r="Q38" i="16"/>
  <c r="Q40" i="16"/>
  <c r="S38" i="16"/>
  <c r="S35" i="16"/>
  <c r="R45" i="16"/>
  <c r="R40" i="16"/>
  <c r="R36" i="16"/>
  <c r="Q45" i="16"/>
  <c r="Z32" i="20"/>
  <c r="T30" i="20"/>
  <c r="L33" i="16"/>
  <c r="S30" i="20"/>
  <c r="J32" i="8"/>
  <c r="J30" i="8"/>
  <c r="I14" i="3"/>
  <c r="N14" i="3"/>
  <c r="O57" i="3"/>
  <c r="N31" i="3"/>
  <c r="I31" i="8"/>
  <c r="J34" i="8"/>
  <c r="R17" i="8"/>
  <c r="F27" i="22"/>
  <c r="R19" i="8"/>
  <c r="N35" i="3"/>
  <c r="I36" i="3"/>
  <c r="C31" i="21"/>
  <c r="F34" i="22"/>
  <c r="F42" i="22"/>
  <c r="F46" i="18"/>
  <c r="B19" i="8"/>
  <c r="C105" i="16"/>
  <c r="C109" i="16"/>
  <c r="D109" i="16"/>
  <c r="F51" i="18"/>
  <c r="B17" i="8"/>
  <c r="R15" i="8"/>
  <c r="B15" i="8"/>
  <c r="K33" i="16"/>
  <c r="R35" i="16"/>
  <c r="Q35" i="16"/>
  <c r="J105" i="16"/>
  <c r="Q40" i="20"/>
  <c r="I43" i="16"/>
  <c r="P40" i="20"/>
  <c r="AA40" i="20"/>
  <c r="E42" i="21"/>
  <c r="Q30" i="20"/>
  <c r="P30" i="20"/>
  <c r="V30" i="20"/>
  <c r="W30" i="20"/>
  <c r="G105" i="16"/>
  <c r="N29" i="20"/>
  <c r="M29" i="20"/>
  <c r="Y29" i="20"/>
  <c r="D31" i="21"/>
  <c r="W40" i="20"/>
  <c r="O43" i="16"/>
  <c r="V40" i="20"/>
  <c r="C30" i="8"/>
  <c r="D30" i="8"/>
  <c r="G30" i="8"/>
  <c r="E30" i="8"/>
  <c r="F30" i="8"/>
  <c r="N36" i="3"/>
  <c r="N27" i="3"/>
  <c r="P27" i="3"/>
  <c r="I35" i="8"/>
  <c r="D32" i="8"/>
  <c r="N32" i="8"/>
  <c r="O56" i="26"/>
  <c r="E32" i="8"/>
  <c r="O32" i="8"/>
  <c r="R56" i="26"/>
  <c r="C32" i="8"/>
  <c r="F32" i="8"/>
  <c r="P32" i="8"/>
  <c r="U56" i="26"/>
  <c r="G32" i="8"/>
  <c r="Q32" i="8"/>
  <c r="X56" i="26"/>
  <c r="F34" i="8"/>
  <c r="P34" i="8"/>
  <c r="U58" i="26"/>
  <c r="C34" i="8"/>
  <c r="E34" i="8"/>
  <c r="O34" i="8"/>
  <c r="R58" i="26"/>
  <c r="D34" i="8"/>
  <c r="N34" i="8"/>
  <c r="O58" i="26"/>
  <c r="G34" i="8"/>
  <c r="Q34" i="8"/>
  <c r="X58" i="26"/>
  <c r="J31" i="8"/>
  <c r="I27" i="3"/>
  <c r="Y40" i="20"/>
  <c r="D42" i="21"/>
  <c r="T58" i="26"/>
  <c r="S58" i="26"/>
  <c r="V58" i="26"/>
  <c r="W58" i="26"/>
  <c r="P56" i="26"/>
  <c r="Q56" i="26"/>
  <c r="M58" i="26"/>
  <c r="N58" i="26"/>
  <c r="V56" i="26"/>
  <c r="W56" i="26"/>
  <c r="N56" i="26"/>
  <c r="M56" i="26"/>
  <c r="Q58" i="26"/>
  <c r="P58" i="26"/>
  <c r="S56" i="26"/>
  <c r="T56" i="26"/>
  <c r="B31" i="21"/>
  <c r="B52" i="21"/>
  <c r="C52" i="21"/>
  <c r="Y30" i="20"/>
  <c r="D32" i="21"/>
  <c r="F66" i="18"/>
  <c r="F32" i="16"/>
  <c r="N28" i="20"/>
  <c r="E32" i="16"/>
  <c r="M28" i="20"/>
  <c r="M101" i="20"/>
  <c r="N33" i="16"/>
  <c r="S43" i="16"/>
  <c r="H33" i="16"/>
  <c r="P28" i="20"/>
  <c r="P101" i="20"/>
  <c r="O33" i="16"/>
  <c r="I33" i="16"/>
  <c r="Q28" i="20"/>
  <c r="N43" i="16"/>
  <c r="S32" i="16"/>
  <c r="S33" i="16"/>
  <c r="H43" i="16"/>
  <c r="Z29" i="20"/>
  <c r="Z30" i="20"/>
  <c r="Z40" i="20"/>
  <c r="C31" i="8"/>
  <c r="E31" i="8"/>
  <c r="O31" i="8"/>
  <c r="R55" i="26"/>
  <c r="F31" i="8"/>
  <c r="P31" i="8"/>
  <c r="U55" i="26"/>
  <c r="D31" i="8"/>
  <c r="N31" i="8"/>
  <c r="O55" i="26"/>
  <c r="G31" i="8"/>
  <c r="Q31" i="8"/>
  <c r="X55" i="26"/>
  <c r="M32" i="8"/>
  <c r="L56" i="26"/>
  <c r="J35" i="8"/>
  <c r="Q30" i="8"/>
  <c r="X54" i="26"/>
  <c r="O30" i="8"/>
  <c r="R54" i="26"/>
  <c r="M34" i="8"/>
  <c r="L58" i="26"/>
  <c r="N30" i="8"/>
  <c r="O54" i="26"/>
  <c r="P30" i="8"/>
  <c r="U54" i="26"/>
  <c r="M30" i="8"/>
  <c r="L54" i="26"/>
  <c r="I26" i="3"/>
  <c r="K26" i="3"/>
  <c r="K22" i="3"/>
  <c r="K56" i="3"/>
  <c r="J58" i="26"/>
  <c r="Y58" i="26"/>
  <c r="AA58" i="26"/>
  <c r="K58" i="26"/>
  <c r="Z58" i="26"/>
  <c r="J56" i="26"/>
  <c r="Y56" i="26"/>
  <c r="K56" i="26"/>
  <c r="Z56" i="26"/>
  <c r="AA56" i="26"/>
  <c r="V55" i="26"/>
  <c r="W55" i="26"/>
  <c r="P55" i="26"/>
  <c r="Q55" i="26"/>
  <c r="J54" i="26"/>
  <c r="K54" i="26"/>
  <c r="AA54" i="26"/>
  <c r="Q54" i="26"/>
  <c r="P54" i="26"/>
  <c r="M54" i="26"/>
  <c r="S54" i="26"/>
  <c r="V54" i="26"/>
  <c r="Y54" i="26"/>
  <c r="T54" i="26"/>
  <c r="W54" i="26"/>
  <c r="M55" i="26"/>
  <c r="N55" i="26"/>
  <c r="N54" i="26"/>
  <c r="T55" i="26"/>
  <c r="S55" i="26"/>
  <c r="I31" i="16"/>
  <c r="Q101" i="20"/>
  <c r="I105" i="16"/>
  <c r="I109" i="16"/>
  <c r="F31" i="16"/>
  <c r="N101" i="20"/>
  <c r="E105" i="16"/>
  <c r="E109" i="16"/>
  <c r="E31" i="16"/>
  <c r="Q32" i="16"/>
  <c r="H31" i="16"/>
  <c r="R43" i="16"/>
  <c r="R33" i="16"/>
  <c r="Q33" i="16"/>
  <c r="R32" i="16"/>
  <c r="Q43" i="16"/>
  <c r="R34" i="8"/>
  <c r="R32" i="8"/>
  <c r="M31" i="8"/>
  <c r="L55" i="26"/>
  <c r="R30" i="8"/>
  <c r="C35" i="8"/>
  <c r="D35" i="8"/>
  <c r="E35" i="8"/>
  <c r="F35" i="8"/>
  <c r="P35" i="8"/>
  <c r="U59" i="26"/>
  <c r="G35" i="8"/>
  <c r="J26" i="3"/>
  <c r="J22" i="3"/>
  <c r="M26" i="3"/>
  <c r="M22" i="3"/>
  <c r="M56" i="3"/>
  <c r="I22" i="3"/>
  <c r="I56" i="3"/>
  <c r="L26" i="3"/>
  <c r="L22" i="3"/>
  <c r="L56" i="3"/>
  <c r="N26" i="3"/>
  <c r="N22" i="3"/>
  <c r="N56" i="3"/>
  <c r="Z54" i="26"/>
  <c r="T59" i="26"/>
  <c r="S59" i="26"/>
  <c r="AA55" i="26"/>
  <c r="K55" i="26"/>
  <c r="Z55" i="26"/>
  <c r="J55" i="26"/>
  <c r="Y55" i="26"/>
  <c r="F36" i="18"/>
  <c r="B34" i="8"/>
  <c r="F105" i="16"/>
  <c r="F109" i="16"/>
  <c r="G109" i="16"/>
  <c r="F29" i="18"/>
  <c r="B30" i="8"/>
  <c r="F31" i="18"/>
  <c r="B32" i="8"/>
  <c r="H105" i="16"/>
  <c r="H109" i="16"/>
  <c r="J109" i="16"/>
  <c r="Q35" i="8"/>
  <c r="X59" i="26"/>
  <c r="G28" i="8"/>
  <c r="G52" i="8"/>
  <c r="M35" i="8"/>
  <c r="L59" i="26"/>
  <c r="C28" i="8"/>
  <c r="R31" i="8"/>
  <c r="O35" i="8"/>
  <c r="R59" i="26"/>
  <c r="E28" i="8"/>
  <c r="E52" i="8"/>
  <c r="N35" i="8"/>
  <c r="O59" i="26"/>
  <c r="D28" i="8"/>
  <c r="D52" i="8"/>
  <c r="P28" i="8"/>
  <c r="U52" i="26"/>
  <c r="M28" i="8"/>
  <c r="L52" i="26"/>
  <c r="F28" i="8"/>
  <c r="F52" i="8"/>
  <c r="P22" i="3"/>
  <c r="O58" i="3"/>
  <c r="J56" i="3"/>
  <c r="O56" i="3"/>
  <c r="T52" i="26"/>
  <c r="T30" i="26"/>
  <c r="T133" i="26"/>
  <c r="S52" i="26"/>
  <c r="U30" i="26"/>
  <c r="U133" i="26"/>
  <c r="Q59" i="26"/>
  <c r="P59" i="26"/>
  <c r="V59" i="26"/>
  <c r="W59" i="26"/>
  <c r="M59" i="26"/>
  <c r="N59" i="26"/>
  <c r="J52" i="26"/>
  <c r="J30" i="26"/>
  <c r="J133" i="26"/>
  <c r="K52" i="26"/>
  <c r="N28" i="8"/>
  <c r="O52" i="26"/>
  <c r="O28" i="8"/>
  <c r="R52" i="26"/>
  <c r="Q28" i="8"/>
  <c r="X52" i="26"/>
  <c r="AA52" i="26"/>
  <c r="AA30" i="26"/>
  <c r="AA133" i="26"/>
  <c r="L30" i="26"/>
  <c r="L133" i="26"/>
  <c r="J59" i="26"/>
  <c r="AA59" i="26"/>
  <c r="K59" i="26"/>
  <c r="Z59" i="26"/>
  <c r="U38" i="20"/>
  <c r="F30" i="18"/>
  <c r="B31" i="8"/>
  <c r="M41" i="16"/>
  <c r="U28" i="20"/>
  <c r="S38" i="20"/>
  <c r="T38" i="20"/>
  <c r="P52" i="8"/>
  <c r="M10" i="9"/>
  <c r="R35" i="8"/>
  <c r="M52" i="8"/>
  <c r="D10" i="9"/>
  <c r="C52" i="8"/>
  <c r="O59" i="3"/>
  <c r="N52" i="26"/>
  <c r="N30" i="26"/>
  <c r="N133" i="26"/>
  <c r="M52" i="26"/>
  <c r="M30" i="26"/>
  <c r="M133" i="26"/>
  <c r="O30" i="26"/>
  <c r="O133" i="26"/>
  <c r="Y59" i="26"/>
  <c r="K30" i="26"/>
  <c r="K133" i="26"/>
  <c r="V52" i="26"/>
  <c r="V30" i="26"/>
  <c r="V133" i="26"/>
  <c r="W52" i="26"/>
  <c r="W30" i="26"/>
  <c r="W133" i="26"/>
  <c r="X30" i="26"/>
  <c r="X133" i="26"/>
  <c r="S30" i="26"/>
  <c r="S133" i="26"/>
  <c r="P52" i="26"/>
  <c r="P30" i="26"/>
  <c r="P133" i="26"/>
  <c r="Q52" i="26"/>
  <c r="Q30" i="26"/>
  <c r="Q133" i="26"/>
  <c r="R30" i="26"/>
  <c r="R133" i="26"/>
  <c r="M31" i="16"/>
  <c r="U101" i="20"/>
  <c r="M105" i="16"/>
  <c r="X38" i="20"/>
  <c r="X28" i="20"/>
  <c r="X101" i="20"/>
  <c r="R28" i="8"/>
  <c r="F37" i="18"/>
  <c r="F38" i="18"/>
  <c r="F81" i="18"/>
  <c r="B35" i="8"/>
  <c r="P41" i="16"/>
  <c r="L41" i="16"/>
  <c r="T28" i="20"/>
  <c r="K41" i="16"/>
  <c r="S28" i="20"/>
  <c r="S101" i="20"/>
  <c r="Q52" i="8"/>
  <c r="P10" i="9"/>
  <c r="N52" i="8"/>
  <c r="G10" i="9"/>
  <c r="O52" i="8"/>
  <c r="J10" i="9"/>
  <c r="L10" i="9"/>
  <c r="L13" i="9"/>
  <c r="K10" i="9"/>
  <c r="K13" i="9"/>
  <c r="M13" i="9"/>
  <c r="B10" i="9"/>
  <c r="B13" i="9"/>
  <c r="C10" i="9"/>
  <c r="C13" i="9"/>
  <c r="D13" i="9"/>
  <c r="Y52" i="26"/>
  <c r="Y30" i="26"/>
  <c r="Y133" i="26"/>
  <c r="Z52" i="26"/>
  <c r="Z30" i="26"/>
  <c r="Z133" i="26"/>
  <c r="W38" i="20"/>
  <c r="Z38" i="20"/>
  <c r="Z28" i="20"/>
  <c r="AA38" i="20"/>
  <c r="E40" i="21"/>
  <c r="V38" i="20"/>
  <c r="Y38" i="20"/>
  <c r="R52" i="8"/>
  <c r="B52" i="8"/>
  <c r="B28" i="8"/>
  <c r="L31" i="16"/>
  <c r="T101" i="20"/>
  <c r="L105" i="16"/>
  <c r="L109" i="16"/>
  <c r="K31" i="16"/>
  <c r="P31" i="16"/>
  <c r="P105" i="16"/>
  <c r="F10" i="9"/>
  <c r="F13" i="9"/>
  <c r="E10" i="9"/>
  <c r="E13" i="9"/>
  <c r="G13" i="9"/>
  <c r="O10" i="9"/>
  <c r="O13" i="9"/>
  <c r="S10" i="9"/>
  <c r="N10" i="9"/>
  <c r="N13" i="9"/>
  <c r="P13" i="9"/>
  <c r="I10" i="9"/>
  <c r="I13" i="9"/>
  <c r="H10" i="9"/>
  <c r="H13" i="9"/>
  <c r="J13" i="9"/>
  <c r="S41" i="16"/>
  <c r="W28" i="20"/>
  <c r="W101" i="20"/>
  <c r="O105" i="16"/>
  <c r="O109" i="16"/>
  <c r="O41" i="16"/>
  <c r="Y28" i="20"/>
  <c r="D40" i="21"/>
  <c r="AA28" i="20"/>
  <c r="N41" i="16"/>
  <c r="Y101" i="20"/>
  <c r="V28" i="20"/>
  <c r="V101" i="20"/>
  <c r="R31" i="16"/>
  <c r="Z101" i="20"/>
  <c r="O31" i="16"/>
  <c r="K105" i="16"/>
  <c r="K109" i="16"/>
  <c r="M109" i="16"/>
  <c r="R41" i="16"/>
  <c r="Q41" i="16"/>
  <c r="R10" i="9"/>
  <c r="R13" i="9"/>
  <c r="Q10" i="9"/>
  <c r="Q13" i="9"/>
  <c r="S13" i="9"/>
  <c r="S31" i="16"/>
  <c r="S30" i="16"/>
  <c r="E30" i="21"/>
  <c r="E52" i="21"/>
  <c r="AA101" i="20"/>
  <c r="S105" i="16"/>
  <c r="R30" i="16"/>
  <c r="Q31" i="16"/>
  <c r="Q30" i="16"/>
  <c r="D30" i="21"/>
  <c r="D52" i="21"/>
  <c r="Q105" i="16"/>
  <c r="Q109" i="16"/>
  <c r="N31" i="16"/>
  <c r="N105" i="16"/>
  <c r="N109" i="16"/>
  <c r="P109" i="16"/>
  <c r="R105" i="16"/>
  <c r="R109" i="16"/>
  <c r="S109" i="1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tras100d</author>
  </authors>
  <commentList>
    <comment ref="A46" authorId="0" shapeId="0" xr:uid="{118B6C30-885A-431B-9935-2E0C27D3B4D1}">
      <text>
        <r>
          <rPr>
            <b/>
            <sz val="9"/>
            <color indexed="81"/>
            <rFont val="Tahoma"/>
            <family val="2"/>
          </rPr>
          <t>tras100d:</t>
        </r>
        <r>
          <rPr>
            <sz val="9"/>
            <color indexed="81"/>
            <rFont val="Tahoma"/>
            <family val="2"/>
          </rPr>
          <t xml:space="preserve">
Los costos para el 2do año consideran el Estudio de Impacto Ambiental, como parte del diseño de los estudios previos a la obra. Los soguientes años, los costos están asociados a medidas de mitigación de impactos ambientales, y se prevé que sean asumidos por el contratista que ejecutará las obras civiles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Cristina San Román</author>
  </authors>
  <commentList>
    <comment ref="D2" authorId="0" shapeId="0" xr:uid="{5F05D8CC-6BDA-B941-B9F2-5F588DF99BAF}">
      <text>
        <r>
          <rPr>
            <b/>
            <sz val="10"/>
            <color rgb="FF000000"/>
            <rFont val="Tahoma"/>
            <family val="2"/>
          </rPr>
          <t>Cristina San Román: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Envío ME 09.10.18</t>
        </r>
      </text>
    </comment>
    <comment ref="I2" authorId="0" shapeId="0" xr:uid="{4B2AAF8C-9259-1B46-8500-A0D846355288}">
      <text>
        <r>
          <rPr>
            <b/>
            <sz val="10"/>
            <color rgb="FF000000"/>
            <rFont val="Tahoma"/>
            <family val="2"/>
          </rPr>
          <t>Cristina San Román: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Envío ME 09.10.18</t>
        </r>
      </text>
    </comment>
  </commentList>
</comments>
</file>

<file path=xl/sharedStrings.xml><?xml version="1.0" encoding="utf-8"?>
<sst xmlns="http://schemas.openxmlformats.org/spreadsheetml/2006/main" count="1759" uniqueCount="491">
  <si>
    <t>PROGRAMA DE INVERSIÓN PARA LA TRANSFORMACIÓN DE LAS REDES DE SALUD</t>
  </si>
  <si>
    <t>PE-L1228</t>
  </si>
  <si>
    <t xml:space="preserve">Plan de Ejecución Plurianual (PEP) </t>
  </si>
  <si>
    <t>(US$)</t>
  </si>
  <si>
    <t>Producto asociado</t>
  </si>
  <si>
    <t>Componentes</t>
  </si>
  <si>
    <t>Cantidad</t>
  </si>
  <si>
    <t>Costo unitario (US$)</t>
  </si>
  <si>
    <t>Metas de producto</t>
  </si>
  <si>
    <t>Inversión (US$)</t>
  </si>
  <si>
    <t>Total (US$)</t>
  </si>
  <si>
    <t>Año 1</t>
  </si>
  <si>
    <t>Año 2</t>
  </si>
  <si>
    <t>Año 3</t>
  </si>
  <si>
    <t>Año 4</t>
  </si>
  <si>
    <t>Año 5</t>
  </si>
  <si>
    <t>BID</t>
  </si>
  <si>
    <t>Local</t>
  </si>
  <si>
    <t>Total</t>
  </si>
  <si>
    <t>Componente 1: Modernización del modelo de prestación de servicios de salud</t>
  </si>
  <si>
    <t>Modelo de atención con énfasis en el nuevo patrón de carga de enfermedad</t>
  </si>
  <si>
    <t>Guías clínicas y protocolos de atención a enfermedades crónicas no transmisibles diseñados: diabetes, cáncer de mama, enfermedades mentales e hipertensión.</t>
  </si>
  <si>
    <t>Profesionales de la salud (médicos, enfermeros) capacitados en la aplicación de guías y protocolos</t>
  </si>
  <si>
    <t>Modelos de organización, gestión y financiamiento de las RIS</t>
  </si>
  <si>
    <t>Plan de desarrollo de competencias del recurso humano elaborado y validado por el MINSA</t>
  </si>
  <si>
    <t>Guía de atención en salud con enfoque de género revisado y fortalecido</t>
  </si>
  <si>
    <t>Estrategia de sensibilización sobre el nuevo modelo RIS para los actores del sistema</t>
  </si>
  <si>
    <t>Talleres para sensibilización sobre la implementación del nuevo modelo RIS</t>
  </si>
  <si>
    <t>Componente 2: Adecuada y eficiente oferta en los establecimientos de salud en áreas priorizadas</t>
  </si>
  <si>
    <t>EESS de 12 horas diseñados</t>
  </si>
  <si>
    <t>EESS de 12 horas remodelados</t>
  </si>
  <si>
    <t>EESS de 12 horas equipados</t>
  </si>
  <si>
    <t>EESS de 12 horas operando</t>
  </si>
  <si>
    <t>EESS de 24 horas diseñados</t>
  </si>
  <si>
    <t>EESS de 24 horas remodelados</t>
  </si>
  <si>
    <t>EESS de 24 horas equipados</t>
  </si>
  <si>
    <t>EESS de 24 horas operando</t>
  </si>
  <si>
    <t>Componente 3: Mejoramiento de los servicios médicos de apoyo</t>
  </si>
  <si>
    <t>Central de Servicios Médicos de Apoyo diseñada</t>
  </si>
  <si>
    <t>Central de Servicios Médicos de Apoyo construida</t>
  </si>
  <si>
    <t>Manual operativo con reglas de funcionamiendo de la central SMA elaborado</t>
  </si>
  <si>
    <t>Central de Servicios Médicos de Apoyo, equipamiento de laboratorio instalado</t>
  </si>
  <si>
    <t>Central de Servicios Médicos de Apoyo, equipamiento de lectura de imágenes instalado</t>
  </si>
  <si>
    <t>Central de Servicios Médicos de Apoyo, equipamiento de banco de sangre instalado</t>
  </si>
  <si>
    <t>Central de Servicios Médicos de Apoyo, equipamiento de atención prehospitalaria instalado</t>
  </si>
  <si>
    <t>Central de Servicios Médicos de Apoyo, equipamiento complementario instalado</t>
  </si>
  <si>
    <t>Diseño de los servicios de la central con sus protocolos funcionales de la red complementados</t>
  </si>
  <si>
    <t>Profesionales de SMA capacitados</t>
  </si>
  <si>
    <t>Población con conocimiento sobre los servicios médicos de apoyo</t>
  </si>
  <si>
    <t>Puesta en marcha de la central de SMA</t>
  </si>
  <si>
    <t>IPRESS creada</t>
  </si>
  <si>
    <t>IPRESS en funcionamiento</t>
  </si>
  <si>
    <t>Equipos médicos hospitalarios reemplazados</t>
  </si>
  <si>
    <t>Administración del Programa</t>
  </si>
  <si>
    <t>Personal</t>
  </si>
  <si>
    <t>Coordinación del Programa</t>
  </si>
  <si>
    <t>Director del Proyecto</t>
  </si>
  <si>
    <t>Coordinador BID</t>
  </si>
  <si>
    <t>Especialista en Planeamiento, M&amp;E</t>
  </si>
  <si>
    <t>Asistente administrativo</t>
  </si>
  <si>
    <t>Coordinación Administrativa</t>
  </si>
  <si>
    <t>Especialista senior de tesorería</t>
  </si>
  <si>
    <t>Especialista senior en adquisiciones y contrataciones</t>
  </si>
  <si>
    <t>Especialista senior en presupuesto y contabilidad</t>
  </si>
  <si>
    <t>Especialista senior en gestión ambiental</t>
  </si>
  <si>
    <t>Asesor legal</t>
  </si>
  <si>
    <t>Asistente financiero</t>
  </si>
  <si>
    <t>Áreas temáticas</t>
  </si>
  <si>
    <t>Especialista en patología clínica y anatomía patológica</t>
  </si>
  <si>
    <t>Especialista en bancos de sangre y hemocentros</t>
  </si>
  <si>
    <t>Especialista en urgencias y emergencias</t>
  </si>
  <si>
    <t>Especialista en diagnóstico por imágenes</t>
  </si>
  <si>
    <t>Economistas</t>
  </si>
  <si>
    <t>Ingenieros civiles</t>
  </si>
  <si>
    <t>Arquitectos</t>
  </si>
  <si>
    <t>Especialistas en equipamiento biomédico</t>
  </si>
  <si>
    <t>Gastos operativos</t>
  </si>
  <si>
    <t>Alquiler de local</t>
  </si>
  <si>
    <t>Servicio de luz</t>
  </si>
  <si>
    <t>Servicio de agua</t>
  </si>
  <si>
    <t>Otros servicios</t>
  </si>
  <si>
    <t>Servicio de vigilancia</t>
  </si>
  <si>
    <t>Personal de limpieza</t>
  </si>
  <si>
    <t>Servicio de internet y teléfono</t>
  </si>
  <si>
    <t>Servicios de movilidad</t>
  </si>
  <si>
    <t>Pasajes y viáticos</t>
  </si>
  <si>
    <t>Impresiones y toner</t>
  </si>
  <si>
    <t>Gastos equipamiento y acondicionamiento del local</t>
  </si>
  <si>
    <t>Computadoras</t>
  </si>
  <si>
    <t>Monitores CAD</t>
  </si>
  <si>
    <t>Impresoras</t>
  </si>
  <si>
    <t>Servidor</t>
  </si>
  <si>
    <t>Escáner</t>
  </si>
  <si>
    <t>Fotocopiadora</t>
  </si>
  <si>
    <t>Multimedia</t>
  </si>
  <si>
    <t>Cámara fotográfica</t>
  </si>
  <si>
    <t>Materiales varios</t>
  </si>
  <si>
    <t>Escritorios</t>
  </si>
  <si>
    <t>Mesas para reuniones</t>
  </si>
  <si>
    <t>Sillas</t>
  </si>
  <si>
    <t>Esrantes</t>
  </si>
  <si>
    <t>Licencias informáticas</t>
  </si>
  <si>
    <t>Acondicionamiento local</t>
  </si>
  <si>
    <t>Auditoría, monitoreo y evaluación</t>
  </si>
  <si>
    <t>Auditorías administrativas/financieras</t>
  </si>
  <si>
    <t>Diseño de instrumentos - encuesta</t>
  </si>
  <si>
    <t>Levantamiento de información</t>
  </si>
  <si>
    <t>Procesamiento de información e informe - línea de base</t>
  </si>
  <si>
    <t>Evaluación de impacto</t>
  </si>
  <si>
    <t>TOTAL PROGRAMA</t>
  </si>
  <si>
    <t>Presupuesto Detallado (US$)</t>
  </si>
  <si>
    <t>Diseño de expedientes técnicos para la adecuación, optimización y/o expansión en establecimientos de salud de 12 horas</t>
  </si>
  <si>
    <t>Diseño de expedientes técnicos para la adecuación, optimización y/o expansión en establecimientos de salud de 24 horas</t>
  </si>
  <si>
    <t>Servicio de supervisión de obras para la adecuación, optimización y/o expansión en establecimientos de salud de 12 horas</t>
  </si>
  <si>
    <t>Servicio de supervisión de obras para la adecuación, optimización y/o expansión en establecimientos de salud de 24 horas</t>
  </si>
  <si>
    <t>Obras de adecuación, optimización y/o expansión en establecimientos de salud de 12 horas</t>
  </si>
  <si>
    <t>Obras de adecuación, optimización y/o expansión en establecimientos de salud de 24 horas</t>
  </si>
  <si>
    <t>Elaboración de estudios ambientales para obras físicas de adecuación, optimización y/o expansión en establecimientos de salud de 12 horas</t>
  </si>
  <si>
    <t>Elaboración de estudios ambientales para obras físicas de adecuación, optimización y/o expansión en establecimientos de salud de 24 horas</t>
  </si>
  <si>
    <t>Adquisición de equipamiento biomédico para establecimientos de salud de 12 horas</t>
  </si>
  <si>
    <t>Adquisición de equipamiento biomédico para establecimientos de salud de 24 horas</t>
  </si>
  <si>
    <t>C1: Adecuado y eficiente modelo de operación de los servicios médicos de apoyo</t>
  </si>
  <si>
    <t>Diseño del modelo de operación de los servicios médicos de apoyo</t>
  </si>
  <si>
    <t>Diseño del sistema de logística para el transporte de unidades de laboratorio y sangre</t>
  </si>
  <si>
    <t>C2: Adecuado y eficiente modelo de prestación de los servicios médicos de apoyo</t>
  </si>
  <si>
    <t>Diseño de documentos técnicos para la prestación en los laboratorios clínicos</t>
  </si>
  <si>
    <t>Diseño de documentos técnicos para la prestación de servicios de diagnóstico por imágenes</t>
  </si>
  <si>
    <t>Diseño de documentos técnicos para la prestación de servicios de atención pre hospitalaria</t>
  </si>
  <si>
    <t>Diseño de documentos técnicos para la captación de donantes</t>
  </si>
  <si>
    <t>C3: Oferta física de servicios médicos de apoyo eficiente, integrada y con enfoque de red</t>
  </si>
  <si>
    <t>Estudios definitivos</t>
  </si>
  <si>
    <t>Supervisión de estudios definitivos</t>
  </si>
  <si>
    <t>Construcción de infraestructura centralizada para los servicios médicos de apoyo</t>
  </si>
  <si>
    <t>Supervisión de obra</t>
  </si>
  <si>
    <t>20, 21, 22, 23, 24</t>
  </si>
  <si>
    <t>Adquisición de equipamiento para los servicios médicos de apoyo centralizados</t>
  </si>
  <si>
    <t>20, 21, 22, 23, 25</t>
  </si>
  <si>
    <t>Supervisión equipameinto</t>
  </si>
  <si>
    <t>17 y 22</t>
  </si>
  <si>
    <t>Mitigación impactos ambientales</t>
  </si>
  <si>
    <t>C4: Suficiente equipamiento de diagnóstico por imágenes en los EESS</t>
  </si>
  <si>
    <t>Adquisición de equipamiento para el diagnóstico por imágenes en Lima Metropolitana - tomógrafos</t>
  </si>
  <si>
    <t>Adquisición de equipamiento para el diagnóstico por imágenes en Lima Metropolitana - resonadores</t>
  </si>
  <si>
    <t>Adquisición de equipamiento para el diagnóstico por imágenes en Lima Metropolitana - mamógrafos</t>
  </si>
  <si>
    <t>Adquisición de equipamiento para el diagnóstico por imágenes en Lima Metropolitana - rayos X</t>
  </si>
  <si>
    <t>C5: Suficientes recursos humanos especializados para la prestación de servicios médicos de apoyo</t>
  </si>
  <si>
    <t>Pasantía internacional Médicos Patólogos Clínicos (2 meses)</t>
  </si>
  <si>
    <t>Pasantía internacional Tecnólogos Médicos (2 meses)</t>
  </si>
  <si>
    <t>Pasantía internacional Técnicos (2 meses)</t>
  </si>
  <si>
    <t>Pasanía internacional para Méditos Hematólogos</t>
  </si>
  <si>
    <t>Pasantía nacional Médicos Radiólogos (1 mes)</t>
  </si>
  <si>
    <t>Capacitación para recursos humanos en la central de atención pre hospitalaria de despacho de ambulancias</t>
  </si>
  <si>
    <t>Capacitación para recursos humanos para la atención pre hospitalaria en ambulancias</t>
  </si>
  <si>
    <t>C6: Suficientes unidades móviles adecuadamente equipadas para la atención pre hospitalaria</t>
  </si>
  <si>
    <t>Diseño de estándares para tercerización de servicios de ambulancias equipadas para la atención prehospitalaria</t>
  </si>
  <si>
    <t>C7: Adecuada trazabilidad de las unidades de sangre y muestras de laboratorio</t>
  </si>
  <si>
    <t>Adquisición de equipamiento para la trazabilidad</t>
  </si>
  <si>
    <t>C8: Población con adecuado conocimiento sobre la atención de urgencias y emergencias</t>
  </si>
  <si>
    <t>Diseño de Campañas de sensibilización sobre el uso adecuado de la atención pre hospitalaria</t>
  </si>
  <si>
    <t>C9: Población con adecuado conocimiento sobre los beneficios de la donación voluntaria de sangre</t>
  </si>
  <si>
    <t>Diseño de estrategia de captación de donantes recurrentes</t>
  </si>
  <si>
    <t>Diseño de Campañas de sensibilización para la donación voluntaria</t>
  </si>
  <si>
    <t>Diseño de estándares para tercerización de unidades móviles de captación de donantes</t>
  </si>
  <si>
    <t xml:space="preserve">C10: Población con adecuado conocimiento sobre la oferta de servicios médicos de apoyo </t>
  </si>
  <si>
    <t>Diseño de sistema de consulta de disponibilidad de servicios médicos de apoyo en Lima Metropolitana</t>
  </si>
  <si>
    <t>Implementación de sistema de consulta de disponibilidad de servicios médicos de apoyo en Lima Metropolitana</t>
  </si>
  <si>
    <t>Gestión del cambio</t>
  </si>
  <si>
    <t>Diseño de estrategia de sensibilización sobre el nuevo modelo centralizado para los actores del sistema</t>
  </si>
  <si>
    <t>Talleres para sensibilización sobre la implementación del nuevo modelo centralizado</t>
  </si>
  <si>
    <t>Procesamiento de información e informe - impacto</t>
  </si>
  <si>
    <t>Plan de Financiamiento (US$)</t>
  </si>
  <si>
    <t>Financiamiento Componente 1</t>
  </si>
  <si>
    <t>Financiamiento Componente 2</t>
  </si>
  <si>
    <t>Financiamiento Componente 3</t>
  </si>
  <si>
    <t>Financiamiento Administración del Programa</t>
  </si>
  <si>
    <t>Financiamiento Auditoría, monitoreo y evaluación</t>
  </si>
  <si>
    <t>Línea de base del proyecto</t>
  </si>
  <si>
    <t>Evaluación de medio término</t>
  </si>
  <si>
    <t>TOTAL</t>
  </si>
  <si>
    <t xml:space="preserve">BID </t>
  </si>
  <si>
    <t>Financiamiento Total Programa</t>
  </si>
  <si>
    <t>PROGRAMA DE "CREACIÓN DE REDES INTEGRADAS DE SALUD"</t>
  </si>
  <si>
    <t>PLAN DE ADQUISICIONES</t>
  </si>
  <si>
    <t>Ref</t>
  </si>
  <si>
    <t>Componente</t>
  </si>
  <si>
    <t>Producto</t>
  </si>
  <si>
    <t>Descripción del contrato</t>
  </si>
  <si>
    <t>Costo Estimado (US$)</t>
  </si>
  <si>
    <t>Método de Adquisición</t>
  </si>
  <si>
    <t>Revisión Ex-ante o Ex-post</t>
  </si>
  <si>
    <t>Fuente de financiamiento</t>
  </si>
  <si>
    <t>Precalificación SI/NO</t>
  </si>
  <si>
    <t>Fechas Estimadas</t>
  </si>
  <si>
    <t>Estado: Pendiente, en Proceso, Adjudicado, o Cancelado</t>
  </si>
  <si>
    <t>% BID</t>
  </si>
  <si>
    <t>% Local/Otro</t>
  </si>
  <si>
    <t>Publicación Anuncio Específico de Adquisición</t>
  </si>
  <si>
    <t>Terminación Contrato</t>
  </si>
  <si>
    <t>1. BIENES</t>
  </si>
  <si>
    <t>Sub Total Bienes</t>
  </si>
  <si>
    <t>2. OBRAS</t>
  </si>
  <si>
    <t>Sub Total Obras</t>
  </si>
  <si>
    <t>3. SERVICIOS DIFERENTES A CONSULTORÍAS</t>
  </si>
  <si>
    <t>SDC-007</t>
  </si>
  <si>
    <t>C1</t>
  </si>
  <si>
    <t>Talleres para sensibilización y gestión del cambio sobre la implementación del nuevo modelo RIS</t>
  </si>
  <si>
    <t>SBCC-LPI</t>
  </si>
  <si>
    <t>Ex - ante</t>
  </si>
  <si>
    <t>No</t>
  </si>
  <si>
    <t>Previsto</t>
  </si>
  <si>
    <t>Sub Total Servicios Diferentes a Consultorías</t>
  </si>
  <si>
    <t>4. SERVICIOS DE CONSULTORÍA - FIRMAS CONSULTORAS</t>
  </si>
  <si>
    <t>C-001</t>
  </si>
  <si>
    <t>C2</t>
  </si>
  <si>
    <t>Expediente técnico para construcción EESS 12 horas</t>
  </si>
  <si>
    <t>SBCC</t>
  </si>
  <si>
    <t>C-002</t>
  </si>
  <si>
    <t>Expediente técnico para construcción EESS 24 horas</t>
  </si>
  <si>
    <t>C-003</t>
  </si>
  <si>
    <t>C3</t>
  </si>
  <si>
    <t>Expediente técnico para construcción Central SMA</t>
  </si>
  <si>
    <t>C-007</t>
  </si>
  <si>
    <t>Estudios ambientales para construcción de EESS 12 horas</t>
  </si>
  <si>
    <t>Ex - post</t>
  </si>
  <si>
    <t>C-008</t>
  </si>
  <si>
    <t>Estudios ambientales para construcción de EESS 24 horas</t>
  </si>
  <si>
    <t>C-009</t>
  </si>
  <si>
    <t>Estudios ambientales para construcción de Central SMA</t>
  </si>
  <si>
    <t>C-011</t>
  </si>
  <si>
    <t>Supervisión Expediente Técnico de la Central SMA</t>
  </si>
  <si>
    <t>SBC</t>
  </si>
  <si>
    <t>C-012</t>
  </si>
  <si>
    <t>C-013</t>
  </si>
  <si>
    <t>C-021</t>
  </si>
  <si>
    <t>M&amp;E y Auditoria</t>
  </si>
  <si>
    <t>Auditorias administrativas/financieras</t>
  </si>
  <si>
    <t>C-022</t>
  </si>
  <si>
    <t>SCC</t>
  </si>
  <si>
    <t>C-023</t>
  </si>
  <si>
    <t>C-024</t>
  </si>
  <si>
    <t>Sub Total Servicios de Consultorías Individual - Firmas Consultoras</t>
  </si>
  <si>
    <t>5. SERVICIOS DE CONSULTORÍA INDIVIDUAL</t>
  </si>
  <si>
    <t>C-025</t>
  </si>
  <si>
    <t>CCIN</t>
  </si>
  <si>
    <t>ex - ante</t>
  </si>
  <si>
    <t>C-026</t>
  </si>
  <si>
    <t>C-027</t>
  </si>
  <si>
    <t>ex - post</t>
  </si>
  <si>
    <t>Sub Total Servicios de Consultorías Individual</t>
  </si>
  <si>
    <t>TOTAL PLAN DE ADQUISICIONES DEL PROYECTO</t>
  </si>
  <si>
    <r>
      <t>Firmas Consultoras:</t>
    </r>
    <r>
      <rPr>
        <sz val="10"/>
        <rFont val="Calibri"/>
        <family val="2"/>
        <scheme val="minor"/>
      </rPr>
      <t xml:space="preserve"> SBCC: Selección Basada en la Calidad y el Costo; SBC: Selección Basada en la Calidad; SBPF: Selección Basada en Presupuesto Fijo; SBMC: Selección Basada en el Menor Costo; SCC: Selección Basada en las Calificaciones de los Consultores; SD: Selección Directa</t>
    </r>
  </si>
  <si>
    <r>
      <t>Consultores Individuales:</t>
    </r>
    <r>
      <rPr>
        <sz val="10"/>
        <rFont val="Calibri"/>
        <family val="2"/>
        <scheme val="minor"/>
      </rPr>
      <t xml:space="preserve"> CCIN: Selección basada en la Comparación de Calificaciones Consultor Individual Nacional; CCII: Selección basada en la Comparación de Calificaciones Consultor Individual Internacional.</t>
    </r>
  </si>
  <si>
    <t>B-001</t>
  </si>
  <si>
    <t>Adquisición de equipamiento para los EESS 12 horas</t>
  </si>
  <si>
    <t>LPI</t>
  </si>
  <si>
    <t>B-002</t>
  </si>
  <si>
    <t>Adquisición de equipamiento para los EESS 24 horas</t>
  </si>
  <si>
    <t>B-003</t>
  </si>
  <si>
    <t>Adquisición de equipamiento para la Central SMA</t>
  </si>
  <si>
    <t>B-004</t>
  </si>
  <si>
    <t>Adquisición de tomógrafos para EESS</t>
  </si>
  <si>
    <t>B-005</t>
  </si>
  <si>
    <t>Adquisición de resonadores magnéticos para EESS</t>
  </si>
  <si>
    <t>B-006</t>
  </si>
  <si>
    <t>Adquisición de mamógrafos para EESS</t>
  </si>
  <si>
    <t>B-007</t>
  </si>
  <si>
    <t>Adquisición de rayos X para EESS</t>
  </si>
  <si>
    <t>B-008</t>
  </si>
  <si>
    <t>CP</t>
  </si>
  <si>
    <t>O-001</t>
  </si>
  <si>
    <t>Obras para la construcción  y/o reacondicionamiento de EESS 12 horas</t>
  </si>
  <si>
    <t>O-002</t>
  </si>
  <si>
    <t>Obras para la construcción y/o reacondicionamiento de EESS 24 horas</t>
  </si>
  <si>
    <t>O-003</t>
  </si>
  <si>
    <t>Obras para la construcción de Central SMA</t>
  </si>
  <si>
    <t>SDC-001</t>
  </si>
  <si>
    <t>SDC-002</t>
  </si>
  <si>
    <t>SDC-003</t>
  </si>
  <si>
    <t>SDC-004</t>
  </si>
  <si>
    <t>Pasanía internacional para Médicos Hematólogos</t>
  </si>
  <si>
    <t>SDC-005</t>
  </si>
  <si>
    <t>SDC-006</t>
  </si>
  <si>
    <t>Capacitación a profesionales de la salud (médicos, enfermeros) en la aplicación de guías y protocolos</t>
  </si>
  <si>
    <t>SDC-008</t>
  </si>
  <si>
    <t>SDC-009</t>
  </si>
  <si>
    <t>SDC-010</t>
  </si>
  <si>
    <t>C-004</t>
  </si>
  <si>
    <t>Supervisión para construcción de EESS 12 horas</t>
  </si>
  <si>
    <t>C-005</t>
  </si>
  <si>
    <t>Supervisión para construcción de EESS 24 horas</t>
  </si>
  <si>
    <t>C-006</t>
  </si>
  <si>
    <t>Supervisión para construcción de Central SMA</t>
  </si>
  <si>
    <t>C-010</t>
  </si>
  <si>
    <t>Supervisión equipamiento Central SMA</t>
  </si>
  <si>
    <t>C-014</t>
  </si>
  <si>
    <t>C-015</t>
  </si>
  <si>
    <t>C-016</t>
  </si>
  <si>
    <t>C-017</t>
  </si>
  <si>
    <t>C-018</t>
  </si>
  <si>
    <t>C-019</t>
  </si>
  <si>
    <t>C-020</t>
  </si>
  <si>
    <t>Diseño e implementación de sistema de consulta de disponibilidad de servicios médicos de apoyo en Lima Metropolitana</t>
  </si>
  <si>
    <t>C-028</t>
  </si>
  <si>
    <t>C-029</t>
  </si>
  <si>
    <t>C-030</t>
  </si>
  <si>
    <t>C-031</t>
  </si>
  <si>
    <t>C-032</t>
  </si>
  <si>
    <t>C-033</t>
  </si>
  <si>
    <t>C-034</t>
  </si>
  <si>
    <t xml:space="preserve">PE-L1228 </t>
  </si>
  <si>
    <t>Resumen de costos (US$)</t>
  </si>
  <si>
    <t>COMPONENTES</t>
  </si>
  <si>
    <t>Monitoreo, Evaluación y Auditoría</t>
  </si>
  <si>
    <t xml:space="preserve">Administración </t>
  </si>
  <si>
    <t>PLAN OPERATIVO ANUAL</t>
  </si>
  <si>
    <t>Leyenda</t>
  </si>
  <si>
    <t>Licitación</t>
  </si>
  <si>
    <t>Ejecución</t>
  </si>
  <si>
    <t>Total desembolsos BID a 18 meses BID (US$)</t>
  </si>
  <si>
    <t>Total desembolsos a 18 meses (US$)</t>
  </si>
  <si>
    <t>Total BID (US$)</t>
  </si>
  <si>
    <t>Total Programa (US$)</t>
  </si>
  <si>
    <t>TOTAL PROGRAMA BID</t>
  </si>
  <si>
    <t>COSTOS DE AUDITORÍA, MONITOREO Y EVALUACIÓN</t>
  </si>
  <si>
    <t>Total auditoría, monitoreo y evaluación</t>
  </si>
  <si>
    <t>COSTOS DE ADMINISTRACIÓN DEL PROGRAMA</t>
  </si>
  <si>
    <t>T.C.</t>
  </si>
  <si>
    <t>Costo unitario</t>
  </si>
  <si>
    <t>Costo anual</t>
  </si>
  <si>
    <t xml:space="preserve">Costos en S/. </t>
  </si>
  <si>
    <t>Costos en US$</t>
  </si>
  <si>
    <t>TOTAL (US$)</t>
  </si>
  <si>
    <t xml:space="preserve">S/. </t>
  </si>
  <si>
    <t>Meses</t>
  </si>
  <si>
    <t>cantidad</t>
  </si>
  <si>
    <t>costo</t>
  </si>
  <si>
    <t>12h</t>
  </si>
  <si>
    <t>factor de ajuste</t>
  </si>
  <si>
    <t>24h</t>
  </si>
  <si>
    <t>equipamiento</t>
  </si>
  <si>
    <t>TOTAL ADMINISTRACIÓN DEL PROGRAMA</t>
  </si>
  <si>
    <t>1 director proyecto</t>
  </si>
  <si>
    <t>bid y bm</t>
  </si>
  <si>
    <t>1 coordinador bid</t>
  </si>
  <si>
    <t>bid</t>
  </si>
  <si>
    <t>1 especialista adquisiciones</t>
  </si>
  <si>
    <t>gestión financieraa</t>
  </si>
  <si>
    <t>gestión social ambiental</t>
  </si>
  <si>
    <t>especialistas técnicos</t>
  </si>
  <si>
    <t>sma</t>
  </si>
  <si>
    <t>(civil, arquitecto, economista, equipador)</t>
  </si>
  <si>
    <t>COSTOS DEL COMPONENTE 1. MODERNIZACIÓN DEL MODELO DE PRESTACIÓN DE SERVICIOS DE SALUD</t>
  </si>
  <si>
    <t>Componente 1</t>
  </si>
  <si>
    <t>Unid. de medida</t>
  </si>
  <si>
    <t>Documento técnico</t>
  </si>
  <si>
    <t>Talleres</t>
  </si>
  <si>
    <t>Total Componente 1</t>
  </si>
  <si>
    <t>COSTOS DEL COMPONENTE 2. ADECUACION DE LA  OFERTA EN LOS ESTABLECIMIENTOS DE SALUD EN ÁREAS PRIORIZADAS</t>
  </si>
  <si>
    <t>et</t>
  </si>
  <si>
    <t>sup</t>
  </si>
  <si>
    <t>equip</t>
  </si>
  <si>
    <t>Componente 2</t>
  </si>
  <si>
    <t>ambient</t>
  </si>
  <si>
    <t>obras</t>
  </si>
  <si>
    <t>COSTOS DEL COMPONENTE 3. MEJORAMIENTO DE LOS SERVICIOS MÉDICOS DE APOYO</t>
  </si>
  <si>
    <t>Componente 3</t>
  </si>
  <si>
    <t>Total (S/.)</t>
  </si>
  <si>
    <t>Inversión anual (S/)</t>
  </si>
  <si>
    <t>Indicador de meta</t>
  </si>
  <si>
    <t>Costos unitarios (USD)</t>
  </si>
  <si>
    <t>Costos unitarios (S/)</t>
  </si>
  <si>
    <t xml:space="preserve">T.C. </t>
  </si>
  <si>
    <t>Inversión anual (US$)</t>
  </si>
  <si>
    <t>Informe técnico</t>
  </si>
  <si>
    <t>Estudio definitivo</t>
  </si>
  <si>
    <t>Supervisión</t>
  </si>
  <si>
    <t>Edificio</t>
  </si>
  <si>
    <t>Equipamientos</t>
  </si>
  <si>
    <t>Adecuaciones</t>
  </si>
  <si>
    <t>Tomógrafos</t>
  </si>
  <si>
    <t>Resonadores magnéticos</t>
  </si>
  <si>
    <t>Mamógrafos</t>
  </si>
  <si>
    <t>Rayos X</t>
  </si>
  <si>
    <t>Pasantía internacional</t>
  </si>
  <si>
    <t>Pasantía nacional</t>
  </si>
  <si>
    <t>Sistemas para trazabilidad</t>
  </si>
  <si>
    <t>Sistema</t>
  </si>
  <si>
    <t>Acciones</t>
  </si>
  <si>
    <t>Número (metas)</t>
  </si>
  <si>
    <t>Componente 1: Adecuado y eficiente modelo de operación de los servicios médicos de apoyo</t>
  </si>
  <si>
    <t>Componente 2: Adecuado y eficiente modelo de prestación de los servicios médicos de apoyo</t>
  </si>
  <si>
    <t>Componente 3: Oferta física de servicios médicos de apoyo eficiente, integrada y con enfoque de red</t>
  </si>
  <si>
    <t>Adecuaciones ambientales</t>
  </si>
  <si>
    <t>Componente 4: Suficiente equipamiento de diagnóstico por imágenes en los EESS</t>
  </si>
  <si>
    <t>Componente 5: Suficientes recursos humanos especializados para la prestación de servicios médicos de apoyo</t>
  </si>
  <si>
    <t>Componente 6: Suficientes unidades móviles adecuadamente equipadas para la atención pre hospitalaria</t>
  </si>
  <si>
    <t>Componente 7: Adecuada trazabilidad de las unidades de sangre y muestras de laboratorio</t>
  </si>
  <si>
    <t>Componente 8: Población con adecuado conocimiento sobre la atención de urgencias y emergencias</t>
  </si>
  <si>
    <t>Componente 9: Población con adecuado conocimiento sobre los beneficios de la donación voluntaria de sangre</t>
  </si>
  <si>
    <t xml:space="preserve">Componente 10: Población con adecuado conocimiento sobre la oferta de servicios médicos de apoyo </t>
  </si>
  <si>
    <t>Ejemplo: capacitaciones</t>
  </si>
  <si>
    <t>capacitaciones a 50 personas</t>
  </si>
  <si>
    <t>Responsable</t>
  </si>
  <si>
    <t>Precio unitario (Dólares)</t>
  </si>
  <si>
    <t>Monto de inversión</t>
  </si>
  <si>
    <t>Precio unitario (Soles)</t>
  </si>
  <si>
    <t>SE, GF</t>
  </si>
  <si>
    <t>SE</t>
  </si>
  <si>
    <t>GF</t>
  </si>
  <si>
    <t>ME</t>
  </si>
  <si>
    <t>ET</t>
  </si>
  <si>
    <t>Supervisión de ET</t>
  </si>
  <si>
    <t>reposición equipos María Auxiliadora</t>
  </si>
  <si>
    <t>reposición de equipos Dos de Mayo</t>
  </si>
  <si>
    <t xml:space="preserve">Capacitación para recursos humanos en procesamiento a escala de muestras de laboratorio </t>
  </si>
  <si>
    <t>Capacitación para recursos humanos en procesamiento a escala de muestras de sangre</t>
  </si>
  <si>
    <t>Capacitación para recursos humanos en la lectura de imágenes especializadas en la central</t>
  </si>
  <si>
    <t>Componente 7: Información ordenada, sistematizada e interconectada de los servicios médicos de apoyo con el sistema nacional de salud</t>
  </si>
  <si>
    <t>incliudo en componente 3</t>
  </si>
  <si>
    <t>Adquisición de hardware</t>
  </si>
  <si>
    <t>Adquisición de software</t>
  </si>
  <si>
    <t>Componente 8: Adecuada trazabilidad de las unidades de sangre y muestras de laboratorio</t>
  </si>
  <si>
    <t>Componente 9: Población con adecuado conocimiento sobre la atención de urgencias y emergencias</t>
  </si>
  <si>
    <r>
      <rPr>
        <sz val="10"/>
        <color rgb="FFFF0000"/>
        <rFont val="Arial Narrow"/>
        <family val="2"/>
      </rPr>
      <t xml:space="preserve">Diseño de </t>
    </r>
    <r>
      <rPr>
        <sz val="10"/>
        <color theme="1"/>
        <rFont val="Arial Narrow"/>
        <family val="2"/>
      </rPr>
      <t>Campañas de sensibilización sobre el uso adecuado de la atención pre hospitalaria</t>
    </r>
  </si>
  <si>
    <t>Componente 10: Población con adecuado conocimiento sobre los beneficios de la donación voluntaria de sangre</t>
  </si>
  <si>
    <r>
      <rPr>
        <sz val="10"/>
        <color rgb="FFFF0000"/>
        <rFont val="Arial Narrow"/>
        <family val="2"/>
      </rPr>
      <t xml:space="preserve">Diseño de </t>
    </r>
    <r>
      <rPr>
        <sz val="10"/>
        <color theme="1"/>
        <rFont val="Arial Narrow"/>
        <family val="2"/>
      </rPr>
      <t>Campañas de sensibilización para la donación voluntaria</t>
    </r>
  </si>
  <si>
    <t xml:space="preserve">Componente 11: Población con adecuado conocimiento sobre la oferta de servicios médicos de apoyo </t>
  </si>
  <si>
    <r>
      <rPr>
        <sz val="10"/>
        <color rgb="FFFF0000"/>
        <rFont val="Arial Narrow"/>
        <family val="2"/>
      </rPr>
      <t xml:space="preserve">Diseño </t>
    </r>
    <r>
      <rPr>
        <sz val="10"/>
        <color theme="1"/>
        <rFont val="Arial Narrow"/>
        <family val="2"/>
      </rPr>
      <t>de sistema de consulta de disponibilidad de servicios médicos de apoyo en Lima Metropolitana</t>
    </r>
  </si>
  <si>
    <t>infra+eq central</t>
  </si>
  <si>
    <t>equipos hospitales</t>
  </si>
  <si>
    <t>soft</t>
  </si>
  <si>
    <t>Costo de inversión (USD)</t>
  </si>
  <si>
    <t>Expediente técnico</t>
  </si>
  <si>
    <t>Supervisión de expediente técnico</t>
  </si>
  <si>
    <t>COSTO DE INVERSION PROYECTO CENTRAL DE SERVICIOS MEDICOS DE APOYO</t>
  </si>
  <si>
    <t>Soles</t>
  </si>
  <si>
    <t>Dólares</t>
  </si>
  <si>
    <t>TC</t>
  </si>
  <si>
    <t>Monto infraestructura ME</t>
  </si>
  <si>
    <t>Monto equipamiento ME</t>
  </si>
  <si>
    <t>En USD</t>
  </si>
  <si>
    <t>Inversión</t>
  </si>
  <si>
    <t>Operación y mantenimiento</t>
  </si>
  <si>
    <t>Elaboración de estudios definitivos</t>
  </si>
  <si>
    <t>Construcción de infraestructura centralizada</t>
  </si>
  <si>
    <t>Adquisición de equipamiento para la central</t>
  </si>
  <si>
    <t>Supervisión de equipamiento</t>
  </si>
  <si>
    <t>Total inversión</t>
  </si>
  <si>
    <t>Mantenimiento de infraestuctura</t>
  </si>
  <si>
    <t>Mantenimiento de equipamiento para la central</t>
  </si>
  <si>
    <t>Operación de la central</t>
  </si>
  <si>
    <t>Total operación y mantenimiento</t>
  </si>
  <si>
    <t>Flujo total</t>
  </si>
  <si>
    <t>INSN - SB inversión</t>
  </si>
  <si>
    <t>soles</t>
  </si>
  <si>
    <t>INSN - SB operación</t>
  </si>
  <si>
    <t>INSN - SB manitemiento</t>
  </si>
  <si>
    <t>INSN - SB</t>
  </si>
  <si>
    <t>Devengado</t>
  </si>
  <si>
    <t>Para central</t>
  </si>
  <si>
    <t>5.3 Bienes y servicios</t>
  </si>
  <si>
    <t>Bienes</t>
  </si>
  <si>
    <t>Alimentos y bebidas</t>
  </si>
  <si>
    <t>Vestuarios y textiles</t>
  </si>
  <si>
    <t>Combstibles y otros</t>
  </si>
  <si>
    <t>Materiales y útiles</t>
  </si>
  <si>
    <t>Repuestos y accesorios</t>
  </si>
  <si>
    <t>Enseres</t>
  </si>
  <si>
    <t>Suministros médicos</t>
  </si>
  <si>
    <t>Materiales y útiles de enseñanza</t>
  </si>
  <si>
    <t>Suministros uso agropecuario</t>
  </si>
  <si>
    <t>Suministros para mantenimiento y reparación</t>
  </si>
  <si>
    <t>Compra de otros bienes</t>
  </si>
  <si>
    <t>Servicios</t>
  </si>
  <si>
    <t>Viajes</t>
  </si>
  <si>
    <t>Servicios básicos, TIC, publicidad</t>
  </si>
  <si>
    <t>Energía, agua, gas</t>
  </si>
  <si>
    <t>Telefonía e internet</t>
  </si>
  <si>
    <t>Publicidad, impresiones, etc</t>
  </si>
  <si>
    <t>Mantenimiento, reacondicionamiento</t>
  </si>
  <si>
    <t>Edificaciones, oficinas, estructuras</t>
  </si>
  <si>
    <t>Vehículos</t>
  </si>
  <si>
    <t>Maquinarias y equipos</t>
  </si>
  <si>
    <t>Alquileres de muebles y enseres</t>
  </si>
  <si>
    <t>Servicios administrativos, financieros y seguros</t>
  </si>
  <si>
    <t>Servicios administrativos</t>
  </si>
  <si>
    <t>Servicios financieros</t>
  </si>
  <si>
    <t>Seguros</t>
  </si>
  <si>
    <t>Servicios de salud</t>
  </si>
  <si>
    <t>Servicios profesionales y técnicos</t>
  </si>
  <si>
    <t>CAS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</si>
</sst>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(* #,##0.00_);_(* \(#,##0.00\);_(* &quot;-&quot;??_);_(@_)"/>
    <numFmt numFmtId="164" formatCode="_-* #,##0.00_-;\-* #,##0.00_-;_-* &quot;-&quot;??_-;_-@_-"/>
    <numFmt numFmtId="165" formatCode="_-* #,##0_-;\-* #,##0_-;_-* &quot;-&quot;??_-;_-@_-"/>
    <numFmt numFmtId="166" formatCode="_ * #,##0.00_ ;_ * \-#,##0.00_ ;_ * &quot;-&quot;??_ ;_ @_ "/>
    <numFmt numFmtId="167" formatCode="0.0%"/>
    <numFmt numFmtId="168" formatCode="_(* #,##0_);_(* \(#,##0\);_(* &quot;-&quot;??_);_(@_)"/>
    <numFmt numFmtId="169" formatCode="_(* #,##0.0_);_(* \(#,##0.0\);_(* &quot;-&quot;?_);_(@_)"/>
    <numFmt numFmtId="170" formatCode="0.0000%"/>
  </numFmts>
  <fonts count="34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sz val="10"/>
      <color rgb="FFFF0000"/>
      <name val="Arial Narrow"/>
      <family val="2"/>
    </font>
    <font>
      <b/>
      <sz val="10"/>
      <color theme="0"/>
      <name val="Arial Narrow"/>
      <family val="2"/>
    </font>
    <font>
      <sz val="12"/>
      <color theme="1"/>
      <name val="Cambria"/>
      <family val="1"/>
    </font>
    <font>
      <sz val="12"/>
      <color rgb="FF000000"/>
      <name val="Cambria"/>
      <family val="1"/>
    </font>
    <font>
      <b/>
      <sz val="12"/>
      <color theme="1"/>
      <name val="Cambria"/>
      <family val="1"/>
    </font>
    <font>
      <b/>
      <sz val="8"/>
      <color theme="1"/>
      <name val="Arial"/>
      <family val="2"/>
    </font>
    <font>
      <b/>
      <sz val="12"/>
      <color theme="0"/>
      <name val="Cambria"/>
      <family val="1"/>
    </font>
    <font>
      <b/>
      <sz val="12"/>
      <color rgb="FF000000"/>
      <name val="Cambria"/>
      <family val="1"/>
    </font>
    <font>
      <sz val="10"/>
      <color rgb="FF000000"/>
      <name val="Tahoma"/>
      <family val="2"/>
    </font>
    <font>
      <b/>
      <sz val="10"/>
      <color rgb="FF000000"/>
      <name val="Tahoma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7"/>
      <color theme="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u/>
      <sz val="16"/>
      <color theme="1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0000"/>
        <bgColor indexed="64"/>
      </patternFill>
    </fill>
    <fill>
      <patternFill patternType="solid">
        <fgColor rgb="FFFF0000"/>
        <bgColor rgb="FF000000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-0.249977111117893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6">
    <xf numFmtId="0" fontId="0" fillId="0" borderId="0"/>
    <xf numFmtId="164" fontId="2" fillId="0" borderId="0" applyFont="0" applyFill="0" applyBorder="0" applyAlignment="0" applyProtection="0"/>
    <xf numFmtId="166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 applyBorder="0"/>
  </cellStyleXfs>
  <cellXfs count="354">
    <xf numFmtId="0" fontId="0" fillId="0" borderId="0" xfId="0"/>
    <xf numFmtId="0" fontId="4" fillId="2" borderId="0" xfId="0" applyFont="1" applyFill="1" applyAlignment="1">
      <alignment vertical="top"/>
    </xf>
    <xf numFmtId="0" fontId="4" fillId="2" borderId="0" xfId="0" applyFont="1" applyFill="1" applyAlignment="1">
      <alignment horizontal="center" vertical="top"/>
    </xf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vertical="top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/>
    </xf>
    <xf numFmtId="165" fontId="4" fillId="2" borderId="1" xfId="1" applyNumberFormat="1" applyFont="1" applyFill="1" applyBorder="1" applyAlignment="1">
      <alignment vertical="top"/>
    </xf>
    <xf numFmtId="165" fontId="4" fillId="3" borderId="1" xfId="1" applyNumberFormat="1" applyFont="1" applyFill="1" applyBorder="1" applyAlignment="1">
      <alignment vertical="top"/>
    </xf>
    <xf numFmtId="168" fontId="4" fillId="2" borderId="1" xfId="1" applyNumberFormat="1" applyFont="1" applyFill="1" applyBorder="1" applyAlignment="1">
      <alignment vertical="top"/>
    </xf>
    <xf numFmtId="165" fontId="4" fillId="3" borderId="1" xfId="0" applyNumberFormat="1" applyFont="1" applyFill="1" applyBorder="1" applyAlignment="1">
      <alignment vertical="top"/>
    </xf>
    <xf numFmtId="168" fontId="4" fillId="4" borderId="1" xfId="1" applyNumberFormat="1" applyFont="1" applyFill="1" applyBorder="1" applyAlignment="1">
      <alignment vertical="top"/>
    </xf>
    <xf numFmtId="0" fontId="4" fillId="4" borderId="1" xfId="0" applyFont="1" applyFill="1" applyBorder="1" applyAlignment="1">
      <alignment vertical="top"/>
    </xf>
    <xf numFmtId="165" fontId="4" fillId="4" borderId="1" xfId="1" applyNumberFormat="1" applyFont="1" applyFill="1" applyBorder="1" applyAlignment="1">
      <alignment vertical="top"/>
    </xf>
    <xf numFmtId="165" fontId="4" fillId="2" borderId="0" xfId="0" applyNumberFormat="1" applyFont="1" applyFill="1" applyAlignment="1">
      <alignment vertical="top"/>
    </xf>
    <xf numFmtId="169" fontId="4" fillId="2" borderId="0" xfId="0" applyNumberFormat="1" applyFont="1" applyFill="1" applyAlignment="1">
      <alignment vertical="top"/>
    </xf>
    <xf numFmtId="168" fontId="4" fillId="2" borderId="1" xfId="0" applyNumberFormat="1" applyFont="1" applyFill="1" applyBorder="1" applyAlignment="1">
      <alignment vertical="top"/>
    </xf>
    <xf numFmtId="0" fontId="5" fillId="3" borderId="1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vertical="top"/>
    </xf>
    <xf numFmtId="165" fontId="5" fillId="3" borderId="1" xfId="0" applyNumberFormat="1" applyFont="1" applyFill="1" applyBorder="1" applyAlignment="1">
      <alignment vertical="top"/>
    </xf>
    <xf numFmtId="165" fontId="5" fillId="2" borderId="0" xfId="0" applyNumberFormat="1" applyFont="1" applyFill="1" applyAlignment="1">
      <alignment vertical="top"/>
    </xf>
    <xf numFmtId="0" fontId="5" fillId="2" borderId="0" xfId="0" applyFont="1" applyFill="1" applyAlignment="1">
      <alignment vertical="top"/>
    </xf>
    <xf numFmtId="165" fontId="5" fillId="3" borderId="1" xfId="1" applyNumberFormat="1" applyFont="1" applyFill="1" applyBorder="1" applyAlignment="1">
      <alignment vertical="top"/>
    </xf>
    <xf numFmtId="168" fontId="5" fillId="3" borderId="1" xfId="0" applyNumberFormat="1" applyFont="1" applyFill="1" applyBorder="1" applyAlignment="1">
      <alignment horizontal="left" vertical="top" wrapText="1"/>
    </xf>
    <xf numFmtId="168" fontId="4" fillId="2" borderId="1" xfId="1" applyNumberFormat="1" applyFont="1" applyFill="1" applyBorder="1" applyAlignment="1">
      <alignment horizontal="left" vertical="top" wrapText="1"/>
    </xf>
    <xf numFmtId="0" fontId="7" fillId="5" borderId="1" xfId="0" applyFont="1" applyFill="1" applyBorder="1" applyAlignment="1">
      <alignment vertical="top"/>
    </xf>
    <xf numFmtId="168" fontId="7" fillId="5" borderId="1" xfId="0" applyNumberFormat="1" applyFont="1" applyFill="1" applyBorder="1" applyAlignment="1">
      <alignment vertical="top"/>
    </xf>
    <xf numFmtId="164" fontId="4" fillId="2" borderId="0" xfId="1" applyFont="1" applyFill="1" applyAlignment="1">
      <alignment vertical="top"/>
    </xf>
    <xf numFmtId="43" fontId="4" fillId="2" borderId="0" xfId="0" applyNumberFormat="1" applyFont="1" applyFill="1" applyAlignment="1">
      <alignment vertical="top"/>
    </xf>
    <xf numFmtId="0" fontId="8" fillId="2" borderId="0" xfId="0" applyFont="1" applyFill="1"/>
    <xf numFmtId="165" fontId="9" fillId="6" borderId="0" xfId="1" applyNumberFormat="1" applyFont="1" applyFill="1"/>
    <xf numFmtId="168" fontId="8" fillId="2" borderId="0" xfId="0" applyNumberFormat="1" applyFont="1" applyFill="1"/>
    <xf numFmtId="0" fontId="10" fillId="2" borderId="0" xfId="0" applyFont="1" applyFill="1"/>
    <xf numFmtId="0" fontId="10" fillId="2" borderId="0" xfId="0" applyFont="1" applyFill="1" applyAlignment="1">
      <alignment horizontal="center"/>
    </xf>
    <xf numFmtId="9" fontId="8" fillId="2" borderId="0" xfId="0" applyNumberFormat="1" applyFont="1" applyFill="1"/>
    <xf numFmtId="165" fontId="9" fillId="2" borderId="0" xfId="1" applyNumberFormat="1" applyFont="1" applyFill="1"/>
    <xf numFmtId="168" fontId="10" fillId="2" borderId="0" xfId="0" applyNumberFormat="1" applyFont="1" applyFill="1"/>
    <xf numFmtId="9" fontId="8" fillId="4" borderId="0" xfId="0" applyNumberFormat="1" applyFont="1" applyFill="1"/>
    <xf numFmtId="0" fontId="8" fillId="4" borderId="0" xfId="0" applyFont="1" applyFill="1"/>
    <xf numFmtId="168" fontId="8" fillId="4" borderId="0" xfId="0" applyNumberFormat="1" applyFont="1" applyFill="1"/>
    <xf numFmtId="0" fontId="11" fillId="0" borderId="0" xfId="0" applyFont="1"/>
    <xf numFmtId="9" fontId="8" fillId="2" borderId="0" xfId="4" applyFont="1" applyFill="1"/>
    <xf numFmtId="167" fontId="8" fillId="2" borderId="0" xfId="4" applyNumberFormat="1" applyFont="1" applyFill="1"/>
    <xf numFmtId="0" fontId="12" fillId="9" borderId="0" xfId="0" applyFont="1" applyFill="1"/>
    <xf numFmtId="168" fontId="12" fillId="9" borderId="0" xfId="0" applyNumberFormat="1" applyFont="1" applyFill="1"/>
    <xf numFmtId="168" fontId="9" fillId="10" borderId="0" xfId="0" applyNumberFormat="1" applyFont="1" applyFill="1"/>
    <xf numFmtId="0" fontId="8" fillId="11" borderId="0" xfId="0" applyFont="1" applyFill="1"/>
    <xf numFmtId="168" fontId="9" fillId="12" borderId="0" xfId="0" applyNumberFormat="1" applyFont="1" applyFill="1"/>
    <xf numFmtId="168" fontId="13" fillId="10" borderId="0" xfId="0" applyNumberFormat="1" applyFont="1" applyFill="1"/>
    <xf numFmtId="10" fontId="10" fillId="2" borderId="0" xfId="4" applyNumberFormat="1" applyFont="1" applyFill="1"/>
    <xf numFmtId="10" fontId="8" fillId="2" borderId="0" xfId="0" applyNumberFormat="1" applyFont="1" applyFill="1"/>
    <xf numFmtId="0" fontId="10" fillId="2" borderId="5" xfId="0" applyFont="1" applyFill="1" applyBorder="1"/>
    <xf numFmtId="168" fontId="10" fillId="2" borderId="5" xfId="0" applyNumberFormat="1" applyFont="1" applyFill="1" applyBorder="1"/>
    <xf numFmtId="0" fontId="10" fillId="7" borderId="5" xfId="0" applyFont="1" applyFill="1" applyBorder="1" applyAlignment="1">
      <alignment horizontal="center"/>
    </xf>
    <xf numFmtId="0" fontId="10" fillId="8" borderId="5" xfId="0" applyFont="1" applyFill="1" applyBorder="1" applyAlignment="1">
      <alignment horizontal="center"/>
    </xf>
    <xf numFmtId="0" fontId="10" fillId="2" borderId="6" xfId="0" applyFont="1" applyFill="1" applyBorder="1"/>
    <xf numFmtId="0" fontId="8" fillId="2" borderId="6" xfId="0" applyFont="1" applyFill="1" applyBorder="1"/>
    <xf numFmtId="0" fontId="4" fillId="4" borderId="1" xfId="0" applyFont="1" applyFill="1" applyBorder="1" applyAlignment="1">
      <alignment horizontal="left" vertical="top" wrapText="1"/>
    </xf>
    <xf numFmtId="165" fontId="8" fillId="2" borderId="0" xfId="1" applyNumberFormat="1" applyFont="1" applyFill="1"/>
    <xf numFmtId="165" fontId="5" fillId="2" borderId="1" xfId="0" applyNumberFormat="1" applyFont="1" applyFill="1" applyBorder="1" applyAlignment="1">
      <alignment vertical="top"/>
    </xf>
    <xf numFmtId="165" fontId="0" fillId="0" borderId="0" xfId="1" applyNumberFormat="1" applyFont="1"/>
    <xf numFmtId="0" fontId="17" fillId="0" borderId="0" xfId="0" applyFont="1"/>
    <xf numFmtId="0" fontId="17" fillId="0" borderId="0" xfId="0" applyFont="1" applyAlignment="1">
      <alignment vertical="center"/>
    </xf>
    <xf numFmtId="0" fontId="17" fillId="0" borderId="0" xfId="0" applyFont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0" borderId="1" xfId="0" applyFont="1" applyBorder="1"/>
    <xf numFmtId="165" fontId="17" fillId="0" borderId="1" xfId="1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/>
    </xf>
    <xf numFmtId="165" fontId="17" fillId="0" borderId="1" xfId="0" applyNumberFormat="1" applyFont="1" applyBorder="1"/>
    <xf numFmtId="165" fontId="17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vertical="center"/>
    </xf>
    <xf numFmtId="9" fontId="17" fillId="0" borderId="0" xfId="0" applyNumberFormat="1" applyFont="1" applyAlignment="1">
      <alignment horizontal="center" vertical="center"/>
    </xf>
    <xf numFmtId="9" fontId="17" fillId="0" borderId="0" xfId="0" applyNumberFormat="1" applyFont="1"/>
    <xf numFmtId="0" fontId="20" fillId="0" borderId="1" xfId="0" applyFont="1" applyBorder="1" applyAlignment="1">
      <alignment vertical="center"/>
    </xf>
    <xf numFmtId="0" fontId="18" fillId="0" borderId="1" xfId="0" applyFont="1" applyBorder="1" applyAlignment="1">
      <alignment horizontal="left" vertical="center" indent="1"/>
    </xf>
    <xf numFmtId="0" fontId="17" fillId="0" borderId="1" xfId="0" applyFont="1" applyBorder="1" applyAlignment="1">
      <alignment horizontal="left" vertical="center" indent="1"/>
    </xf>
    <xf numFmtId="165" fontId="20" fillId="0" borderId="1" xfId="0" applyNumberFormat="1" applyFont="1" applyBorder="1"/>
    <xf numFmtId="0" fontId="20" fillId="14" borderId="1" xfId="0" applyFont="1" applyFill="1" applyBorder="1" applyAlignment="1">
      <alignment vertical="center"/>
    </xf>
    <xf numFmtId="0" fontId="20" fillId="14" borderId="1" xfId="0" applyFont="1" applyFill="1" applyBorder="1" applyAlignment="1">
      <alignment horizontal="center" vertical="center"/>
    </xf>
    <xf numFmtId="165" fontId="20" fillId="14" borderId="1" xfId="0" applyNumberFormat="1" applyFont="1" applyFill="1" applyBorder="1" applyAlignment="1">
      <alignment horizontal="center" vertical="center"/>
    </xf>
    <xf numFmtId="0" fontId="20" fillId="6" borderId="1" xfId="0" applyFont="1" applyFill="1" applyBorder="1" applyAlignment="1">
      <alignment vertical="center"/>
    </xf>
    <xf numFmtId="0" fontId="16" fillId="6" borderId="1" xfId="0" applyFont="1" applyFill="1" applyBorder="1" applyAlignment="1">
      <alignment vertical="center"/>
    </xf>
    <xf numFmtId="0" fontId="16" fillId="6" borderId="1" xfId="0" applyFont="1" applyFill="1" applyBorder="1" applyAlignment="1">
      <alignment horizontal="center" vertical="center"/>
    </xf>
    <xf numFmtId="165" fontId="16" fillId="6" borderId="1" xfId="0" applyNumberFormat="1" applyFont="1" applyFill="1" applyBorder="1"/>
    <xf numFmtId="165" fontId="16" fillId="6" borderId="7" xfId="0" applyNumberFormat="1" applyFont="1" applyFill="1" applyBorder="1"/>
    <xf numFmtId="165" fontId="17" fillId="0" borderId="2" xfId="0" applyNumberFormat="1" applyFont="1" applyBorder="1"/>
    <xf numFmtId="165" fontId="16" fillId="6" borderId="10" xfId="0" applyNumberFormat="1" applyFont="1" applyFill="1" applyBorder="1"/>
    <xf numFmtId="165" fontId="20" fillId="6" borderId="1" xfId="0" applyNumberFormat="1" applyFont="1" applyFill="1" applyBorder="1" applyAlignment="1">
      <alignment vertical="center"/>
    </xf>
    <xf numFmtId="0" fontId="17" fillId="0" borderId="1" xfId="0" applyFont="1" applyBorder="1" applyAlignment="1">
      <alignment vertical="center" wrapText="1"/>
    </xf>
    <xf numFmtId="0" fontId="17" fillId="2" borderId="0" xfId="0" applyFont="1" applyFill="1" applyAlignment="1">
      <alignment vertical="top"/>
    </xf>
    <xf numFmtId="0" fontId="20" fillId="2" borderId="0" xfId="0" applyFont="1" applyFill="1" applyAlignment="1">
      <alignment vertical="top"/>
    </xf>
    <xf numFmtId="0" fontId="17" fillId="2" borderId="1" xfId="0" applyFont="1" applyFill="1" applyBorder="1" applyAlignment="1">
      <alignment horizontal="left" vertical="top" wrapText="1"/>
    </xf>
    <xf numFmtId="165" fontId="17" fillId="2" borderId="1" xfId="1" applyNumberFormat="1" applyFont="1" applyFill="1" applyBorder="1" applyAlignment="1">
      <alignment vertical="top"/>
    </xf>
    <xf numFmtId="0" fontId="17" fillId="2" borderId="1" xfId="0" applyFont="1" applyFill="1" applyBorder="1" applyAlignment="1">
      <alignment vertical="top"/>
    </xf>
    <xf numFmtId="165" fontId="17" fillId="2" borderId="0" xfId="1" applyNumberFormat="1" applyFont="1" applyFill="1" applyAlignment="1">
      <alignment vertical="top"/>
    </xf>
    <xf numFmtId="0" fontId="17" fillId="2" borderId="0" xfId="0" applyFont="1" applyFill="1" applyAlignment="1">
      <alignment horizontal="center" vertical="center"/>
    </xf>
    <xf numFmtId="0" fontId="20" fillId="17" borderId="1" xfId="0" applyFont="1" applyFill="1" applyBorder="1" applyAlignment="1">
      <alignment horizontal="left" vertical="top" wrapText="1"/>
    </xf>
    <xf numFmtId="165" fontId="20" fillId="17" borderId="1" xfId="0" applyNumberFormat="1" applyFont="1" applyFill="1" applyBorder="1" applyAlignment="1">
      <alignment vertical="top"/>
    </xf>
    <xf numFmtId="0" fontId="20" fillId="17" borderId="1" xfId="0" applyFont="1" applyFill="1" applyBorder="1" applyAlignment="1">
      <alignment vertical="top"/>
    </xf>
    <xf numFmtId="0" fontId="20" fillId="17" borderId="0" xfId="0" applyFont="1" applyFill="1" applyAlignment="1">
      <alignment vertical="top"/>
    </xf>
    <xf numFmtId="165" fontId="17" fillId="2" borderId="2" xfId="1" applyNumberFormat="1" applyFont="1" applyFill="1" applyBorder="1" applyAlignment="1">
      <alignment vertical="top"/>
    </xf>
    <xf numFmtId="165" fontId="20" fillId="6" borderId="10" xfId="0" applyNumberFormat="1" applyFont="1" applyFill="1" applyBorder="1" applyAlignment="1">
      <alignment vertical="center"/>
    </xf>
    <xf numFmtId="165" fontId="16" fillId="2" borderId="1" xfId="0" applyNumberFormat="1" applyFont="1" applyFill="1" applyBorder="1" applyAlignment="1">
      <alignment vertical="top"/>
    </xf>
    <xf numFmtId="0" fontId="1" fillId="2" borderId="0" xfId="0" applyFont="1" applyFill="1" applyAlignment="1">
      <alignment vertical="top"/>
    </xf>
    <xf numFmtId="165" fontId="16" fillId="6" borderId="1" xfId="0" applyNumberFormat="1" applyFont="1" applyFill="1" applyBorder="1" applyAlignment="1">
      <alignment vertical="center"/>
    </xf>
    <xf numFmtId="165" fontId="16" fillId="6" borderId="7" xfId="0" applyNumberFormat="1" applyFont="1" applyFill="1" applyBorder="1" applyAlignment="1">
      <alignment vertical="center"/>
    </xf>
    <xf numFmtId="165" fontId="16" fillId="6" borderId="10" xfId="0" applyNumberFormat="1" applyFont="1" applyFill="1" applyBorder="1" applyAlignment="1">
      <alignment vertical="center"/>
    </xf>
    <xf numFmtId="9" fontId="0" fillId="0" borderId="0" xfId="0" applyNumberFormat="1"/>
    <xf numFmtId="0" fontId="21" fillId="0" borderId="0" xfId="0" applyFont="1"/>
    <xf numFmtId="9" fontId="0" fillId="0" borderId="0" xfId="0" applyNumberFormat="1" applyFont="1"/>
    <xf numFmtId="165" fontId="0" fillId="0" borderId="0" xfId="0" applyNumberFormat="1"/>
    <xf numFmtId="0" fontId="0" fillId="0" borderId="1" xfId="0" applyBorder="1"/>
    <xf numFmtId="165" fontId="17" fillId="0" borderId="1" xfId="0" applyNumberFormat="1" applyFont="1" applyBorder="1" applyAlignment="1">
      <alignment vertical="center"/>
    </xf>
    <xf numFmtId="165" fontId="17" fillId="0" borderId="2" xfId="1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165" fontId="20" fillId="6" borderId="12" xfId="0" applyNumberFormat="1" applyFont="1" applyFill="1" applyBorder="1" applyAlignment="1">
      <alignment vertical="center"/>
    </xf>
    <xf numFmtId="0" fontId="20" fillId="14" borderId="1" xfId="0" applyFont="1" applyFill="1" applyBorder="1" applyAlignment="1">
      <alignment vertical="center" wrapText="1"/>
    </xf>
    <xf numFmtId="0" fontId="20" fillId="14" borderId="1" xfId="0" applyFont="1" applyFill="1" applyBorder="1" applyAlignment="1">
      <alignment horizontal="center" vertical="center" wrapText="1"/>
    </xf>
    <xf numFmtId="165" fontId="20" fillId="14" borderId="1" xfId="0" applyNumberFormat="1" applyFont="1" applyFill="1" applyBorder="1" applyAlignment="1">
      <alignment vertical="center"/>
    </xf>
    <xf numFmtId="165" fontId="20" fillId="17" borderId="1" xfId="0" applyNumberFormat="1" applyFont="1" applyFill="1" applyBorder="1" applyAlignment="1">
      <alignment vertical="center"/>
    </xf>
    <xf numFmtId="0" fontId="23" fillId="0" borderId="0" xfId="0" applyFont="1"/>
    <xf numFmtId="165" fontId="17" fillId="0" borderId="2" xfId="0" applyNumberFormat="1" applyFont="1" applyBorder="1" applyAlignment="1">
      <alignment vertical="center"/>
    </xf>
    <xf numFmtId="165" fontId="22" fillId="3" borderId="10" xfId="0" applyNumberFormat="1" applyFont="1" applyFill="1" applyBorder="1" applyAlignment="1">
      <alignment horizontal="left" vertical="top" wrapText="1"/>
    </xf>
    <xf numFmtId="0" fontId="20" fillId="17" borderId="1" xfId="0" applyFont="1" applyFill="1" applyBorder="1" applyAlignment="1">
      <alignment horizontal="left" vertical="center" wrapText="1"/>
    </xf>
    <xf numFmtId="165" fontId="22" fillId="3" borderId="3" xfId="0" applyNumberFormat="1" applyFont="1" applyFill="1" applyBorder="1" applyAlignment="1">
      <alignment horizontal="left" vertical="top" wrapText="1"/>
    </xf>
    <xf numFmtId="165" fontId="22" fillId="3" borderId="4" xfId="0" applyNumberFormat="1" applyFont="1" applyFill="1" applyBorder="1" applyAlignment="1">
      <alignment horizontal="left" vertical="top" wrapText="1"/>
    </xf>
    <xf numFmtId="0" fontId="24" fillId="13" borderId="9" xfId="0" applyFont="1" applyFill="1" applyBorder="1" applyAlignment="1">
      <alignment horizontal="center" vertical="center"/>
    </xf>
    <xf numFmtId="0" fontId="16" fillId="15" borderId="1" xfId="0" applyFont="1" applyFill="1" applyBorder="1" applyAlignment="1">
      <alignment vertical="center"/>
    </xf>
    <xf numFmtId="0" fontId="0" fillId="0" borderId="1" xfId="0" applyBorder="1" applyAlignment="1">
      <alignment vertical="center" wrapText="1"/>
    </xf>
    <xf numFmtId="165" fontId="0" fillId="0" borderId="1" xfId="1" applyNumberFormat="1" applyFont="1" applyBorder="1" applyAlignment="1">
      <alignment vertical="center"/>
    </xf>
    <xf numFmtId="165" fontId="0" fillId="0" borderId="1" xfId="1" applyNumberFormat="1" applyFont="1" applyBorder="1" applyAlignment="1">
      <alignment horizontal="center" vertical="center"/>
    </xf>
    <xf numFmtId="165" fontId="0" fillId="0" borderId="2" xfId="1" applyNumberFormat="1" applyFont="1" applyBorder="1" applyAlignment="1">
      <alignment horizontal="center" vertical="center"/>
    </xf>
    <xf numFmtId="0" fontId="27" fillId="13" borderId="1" xfId="0" applyFont="1" applyFill="1" applyBorder="1" applyAlignment="1">
      <alignment horizontal="center" vertical="center" wrapText="1"/>
    </xf>
    <xf numFmtId="165" fontId="20" fillId="14" borderId="10" xfId="0" applyNumberFormat="1" applyFont="1" applyFill="1" applyBorder="1" applyAlignment="1">
      <alignment vertical="center"/>
    </xf>
    <xf numFmtId="164" fontId="17" fillId="0" borderId="1" xfId="1" applyNumberFormat="1" applyFont="1" applyBorder="1" applyAlignment="1">
      <alignment horizontal="center" vertical="center"/>
    </xf>
    <xf numFmtId="0" fontId="28" fillId="0" borderId="1" xfId="0" applyFont="1" applyBorder="1" applyAlignment="1">
      <alignment horizontal="center" vertical="center"/>
    </xf>
    <xf numFmtId="165" fontId="20" fillId="0" borderId="1" xfId="1" applyNumberFormat="1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165" fontId="17" fillId="0" borderId="1" xfId="0" applyNumberFormat="1" applyFont="1" applyBorder="1" applyAlignment="1">
      <alignment horizontal="center" vertical="center" wrapText="1"/>
    </xf>
    <xf numFmtId="165" fontId="20" fillId="14" borderId="7" xfId="0" applyNumberFormat="1" applyFont="1" applyFill="1" applyBorder="1" applyAlignment="1">
      <alignment vertical="center"/>
    </xf>
    <xf numFmtId="165" fontId="17" fillId="0" borderId="3" xfId="1" applyNumberFormat="1" applyFont="1" applyBorder="1" applyAlignment="1">
      <alignment horizontal="center" vertical="center"/>
    </xf>
    <xf numFmtId="165" fontId="17" fillId="0" borderId="11" xfId="1" applyNumberFormat="1" applyFont="1" applyBorder="1" applyAlignment="1">
      <alignment horizontal="center" vertical="center"/>
    </xf>
    <xf numFmtId="165" fontId="20" fillId="17" borderId="3" xfId="0" applyNumberFormat="1" applyFont="1" applyFill="1" applyBorder="1" applyAlignment="1">
      <alignment vertical="center"/>
    </xf>
    <xf numFmtId="165" fontId="20" fillId="14" borderId="1" xfId="0" applyNumberFormat="1" applyFont="1" applyFill="1" applyBorder="1" applyAlignment="1">
      <alignment horizontal="center" vertical="center" wrapText="1"/>
    </xf>
    <xf numFmtId="165" fontId="20" fillId="14" borderId="7" xfId="0" applyNumberFormat="1" applyFont="1" applyFill="1" applyBorder="1" applyAlignment="1">
      <alignment horizontal="center" vertical="center" wrapText="1"/>
    </xf>
    <xf numFmtId="165" fontId="20" fillId="14" borderId="10" xfId="0" applyNumberFormat="1" applyFont="1" applyFill="1" applyBorder="1" applyAlignment="1">
      <alignment horizontal="center" vertical="center" wrapText="1"/>
    </xf>
    <xf numFmtId="165" fontId="20" fillId="14" borderId="2" xfId="0" applyNumberFormat="1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vertical="center" wrapText="1"/>
    </xf>
    <xf numFmtId="0" fontId="26" fillId="2" borderId="1" xfId="0" applyFont="1" applyFill="1" applyBorder="1" applyAlignment="1">
      <alignment horizontal="left" vertical="center" wrapText="1"/>
    </xf>
    <xf numFmtId="165" fontId="20" fillId="2" borderId="0" xfId="0" applyNumberFormat="1" applyFont="1" applyFill="1" applyAlignment="1">
      <alignment vertical="top"/>
    </xf>
    <xf numFmtId="165" fontId="26" fillId="0" borderId="1" xfId="1" applyNumberFormat="1" applyFont="1" applyBorder="1" applyAlignment="1">
      <alignment horizontal="center" vertical="center"/>
    </xf>
    <xf numFmtId="0" fontId="26" fillId="0" borderId="1" xfId="0" applyFont="1" applyBorder="1" applyAlignment="1">
      <alignment horizontal="left" vertical="center" indent="1"/>
    </xf>
    <xf numFmtId="165" fontId="17" fillId="0" borderId="3" xfId="0" applyNumberFormat="1" applyFont="1" applyBorder="1" applyAlignment="1">
      <alignment vertical="center"/>
    </xf>
    <xf numFmtId="0" fontId="17" fillId="0" borderId="1" xfId="0" applyFont="1" applyFill="1" applyBorder="1" applyAlignment="1">
      <alignment horizontal="left" vertical="top" wrapText="1"/>
    </xf>
    <xf numFmtId="165" fontId="26" fillId="0" borderId="1" xfId="0" applyNumberFormat="1" applyFont="1" applyBorder="1" applyAlignment="1">
      <alignment horizontal="center" vertical="center" wrapText="1"/>
    </xf>
    <xf numFmtId="165" fontId="26" fillId="0" borderId="2" xfId="1" applyNumberFormat="1" applyFont="1" applyBorder="1" applyAlignment="1">
      <alignment horizontal="center" vertical="center"/>
    </xf>
    <xf numFmtId="164" fontId="0" fillId="0" borderId="0" xfId="1" applyFont="1"/>
    <xf numFmtId="0" fontId="20" fillId="14" borderId="7" xfId="0" applyFont="1" applyFill="1" applyBorder="1" applyAlignment="1">
      <alignment vertical="center" wrapText="1"/>
    </xf>
    <xf numFmtId="0" fontId="17" fillId="0" borderId="7" xfId="0" applyFont="1" applyBorder="1" applyAlignment="1">
      <alignment vertical="center" wrapText="1"/>
    </xf>
    <xf numFmtId="0" fontId="26" fillId="0" borderId="7" xfId="0" applyFont="1" applyBorder="1" applyAlignment="1">
      <alignment vertical="center" wrapText="1"/>
    </xf>
    <xf numFmtId="0" fontId="26" fillId="2" borderId="7" xfId="0" applyFont="1" applyFill="1" applyBorder="1" applyAlignment="1">
      <alignment horizontal="left" vertical="center" wrapText="1"/>
    </xf>
    <xf numFmtId="0" fontId="17" fillId="2" borderId="7" xfId="0" applyFont="1" applyFill="1" applyBorder="1" applyAlignment="1">
      <alignment horizontal="left" vertical="top" wrapText="1"/>
    </xf>
    <xf numFmtId="0" fontId="17" fillId="0" borderId="7" xfId="0" applyFont="1" applyFill="1" applyBorder="1" applyAlignment="1">
      <alignment horizontal="left" vertical="top" wrapText="1"/>
    </xf>
    <xf numFmtId="0" fontId="20" fillId="17" borderId="7" xfId="0" applyFont="1" applyFill="1" applyBorder="1" applyAlignment="1">
      <alignment horizontal="left" vertical="center" wrapText="1"/>
    </xf>
    <xf numFmtId="0" fontId="20" fillId="0" borderId="7" xfId="0" applyFont="1" applyBorder="1" applyAlignment="1">
      <alignment vertical="center"/>
    </xf>
    <xf numFmtId="0" fontId="18" fillId="0" borderId="7" xfId="0" applyFont="1" applyBorder="1" applyAlignment="1">
      <alignment horizontal="left" vertical="center" indent="1"/>
    </xf>
    <xf numFmtId="0" fontId="17" fillId="0" borderId="7" xfId="0" applyFont="1" applyBorder="1" applyAlignment="1">
      <alignment horizontal="left" vertical="center" indent="1"/>
    </xf>
    <xf numFmtId="0" fontId="17" fillId="0" borderId="7" xfId="0" applyFont="1" applyBorder="1" applyAlignment="1">
      <alignment vertical="center"/>
    </xf>
    <xf numFmtId="0" fontId="16" fillId="6" borderId="7" xfId="0" applyFont="1" applyFill="1" applyBorder="1" applyAlignment="1">
      <alignment vertical="center"/>
    </xf>
    <xf numFmtId="165" fontId="17" fillId="0" borderId="9" xfId="0" applyNumberFormat="1" applyFont="1" applyBorder="1" applyAlignment="1">
      <alignment horizontal="center" vertical="center" wrapText="1"/>
    </xf>
    <xf numFmtId="165" fontId="26" fillId="0" borderId="9" xfId="0" applyNumberFormat="1" applyFont="1" applyBorder="1" applyAlignment="1">
      <alignment horizontal="center" vertical="center" wrapText="1"/>
    </xf>
    <xf numFmtId="165" fontId="17" fillId="0" borderId="9" xfId="1" applyNumberFormat="1" applyFont="1" applyBorder="1" applyAlignment="1">
      <alignment horizontal="center" vertical="center"/>
    </xf>
    <xf numFmtId="165" fontId="17" fillId="0" borderId="21" xfId="0" applyNumberFormat="1" applyFont="1" applyBorder="1" applyAlignment="1">
      <alignment horizontal="center" vertical="center" wrapText="1"/>
    </xf>
    <xf numFmtId="165" fontId="17" fillId="0" borderId="22" xfId="0" applyNumberFormat="1" applyFont="1" applyBorder="1" applyAlignment="1">
      <alignment horizontal="center" vertical="center" wrapText="1"/>
    </xf>
    <xf numFmtId="165" fontId="26" fillId="0" borderId="21" xfId="0" applyNumberFormat="1" applyFont="1" applyBorder="1" applyAlignment="1">
      <alignment horizontal="center" vertical="center" wrapText="1"/>
    </xf>
    <xf numFmtId="165" fontId="26" fillId="0" borderId="22" xfId="0" applyNumberFormat="1" applyFont="1" applyBorder="1" applyAlignment="1">
      <alignment horizontal="center" vertical="center" wrapText="1"/>
    </xf>
    <xf numFmtId="165" fontId="17" fillId="0" borderId="21" xfId="1" applyNumberFormat="1" applyFont="1" applyBorder="1" applyAlignment="1">
      <alignment horizontal="center" vertical="center"/>
    </xf>
    <xf numFmtId="165" fontId="17" fillId="0" borderId="22" xfId="1" applyNumberFormat="1" applyFont="1" applyBorder="1" applyAlignment="1">
      <alignment horizontal="center" vertical="center"/>
    </xf>
    <xf numFmtId="165" fontId="22" fillId="3" borderId="24" xfId="0" applyNumberFormat="1" applyFont="1" applyFill="1" applyBorder="1" applyAlignment="1">
      <alignment horizontal="left" vertical="top" wrapText="1"/>
    </xf>
    <xf numFmtId="165" fontId="22" fillId="3" borderId="25" xfId="0" applyNumberFormat="1" applyFont="1" applyFill="1" applyBorder="1" applyAlignment="1">
      <alignment horizontal="left" vertical="top" wrapText="1"/>
    </xf>
    <xf numFmtId="165" fontId="22" fillId="3" borderId="26" xfId="0" applyNumberFormat="1" applyFont="1" applyFill="1" applyBorder="1" applyAlignment="1">
      <alignment horizontal="left" vertical="top" wrapText="1"/>
    </xf>
    <xf numFmtId="0" fontId="17" fillId="0" borderId="3" xfId="0" applyFont="1" applyBorder="1" applyAlignment="1">
      <alignment horizontal="center" vertical="center"/>
    </xf>
    <xf numFmtId="165" fontId="23" fillId="0" borderId="0" xfId="0" applyNumberFormat="1" applyFont="1"/>
    <xf numFmtId="0" fontId="17" fillId="0" borderId="23" xfId="0" applyFont="1" applyBorder="1" applyAlignment="1">
      <alignment vertical="center" wrapText="1"/>
    </xf>
    <xf numFmtId="0" fontId="26" fillId="0" borderId="23" xfId="0" applyFont="1" applyBorder="1" applyAlignment="1">
      <alignment vertical="center" wrapText="1"/>
    </xf>
    <xf numFmtId="0" fontId="26" fillId="2" borderId="23" xfId="0" applyFont="1" applyFill="1" applyBorder="1" applyAlignment="1">
      <alignment horizontal="left" vertical="center" wrapText="1"/>
    </xf>
    <xf numFmtId="0" fontId="17" fillId="2" borderId="23" xfId="0" applyFont="1" applyFill="1" applyBorder="1" applyAlignment="1">
      <alignment horizontal="left" vertical="top" wrapText="1"/>
    </xf>
    <xf numFmtId="0" fontId="17" fillId="0" borderId="23" xfId="0" applyFont="1" applyFill="1" applyBorder="1" applyAlignment="1">
      <alignment horizontal="left" vertical="top" wrapText="1"/>
    </xf>
    <xf numFmtId="0" fontId="20" fillId="19" borderId="23" xfId="0" applyFont="1" applyFill="1" applyBorder="1" applyAlignment="1">
      <alignment vertical="center" wrapText="1"/>
    </xf>
    <xf numFmtId="165" fontId="20" fillId="19" borderId="23" xfId="0" applyNumberFormat="1" applyFont="1" applyFill="1" applyBorder="1" applyAlignment="1">
      <alignment vertical="center"/>
    </xf>
    <xf numFmtId="165" fontId="20" fillId="19" borderId="7" xfId="0" applyNumberFormat="1" applyFont="1" applyFill="1" applyBorder="1" applyAlignment="1">
      <alignment vertical="center"/>
    </xf>
    <xf numFmtId="165" fontId="20" fillId="19" borderId="22" xfId="0" applyNumberFormat="1" applyFont="1" applyFill="1" applyBorder="1" applyAlignment="1">
      <alignment vertical="center"/>
    </xf>
    <xf numFmtId="165" fontId="20" fillId="19" borderId="8" xfId="0" applyNumberFormat="1" applyFont="1" applyFill="1" applyBorder="1" applyAlignment="1">
      <alignment vertical="center"/>
    </xf>
    <xf numFmtId="165" fontId="22" fillId="3" borderId="35" xfId="0" applyNumberFormat="1" applyFont="1" applyFill="1" applyBorder="1" applyAlignment="1">
      <alignment horizontal="center" vertical="top" wrapText="1"/>
    </xf>
    <xf numFmtId="165" fontId="22" fillId="3" borderId="36" xfId="0" applyNumberFormat="1" applyFont="1" applyFill="1" applyBorder="1" applyAlignment="1">
      <alignment horizontal="left" vertical="top" wrapText="1"/>
    </xf>
    <xf numFmtId="165" fontId="22" fillId="3" borderId="35" xfId="0" applyNumberFormat="1" applyFont="1" applyFill="1" applyBorder="1" applyAlignment="1">
      <alignment horizontal="left" vertical="top" wrapText="1"/>
    </xf>
    <xf numFmtId="165" fontId="22" fillId="3" borderId="37" xfId="0" applyNumberFormat="1" applyFont="1" applyFill="1" applyBorder="1" applyAlignment="1">
      <alignment horizontal="left" vertical="top" wrapText="1"/>
    </xf>
    <xf numFmtId="165" fontId="22" fillId="3" borderId="38" xfId="0" applyNumberFormat="1" applyFont="1" applyFill="1" applyBorder="1" applyAlignment="1">
      <alignment horizontal="left" vertical="top" wrapText="1"/>
    </xf>
    <xf numFmtId="0" fontId="16" fillId="6" borderId="36" xfId="0" applyFont="1" applyFill="1" applyBorder="1" applyAlignment="1">
      <alignment vertical="center"/>
    </xf>
    <xf numFmtId="165" fontId="26" fillId="21" borderId="1" xfId="0" applyNumberFormat="1" applyFont="1" applyFill="1" applyBorder="1" applyAlignment="1">
      <alignment horizontal="center" vertical="center" wrapText="1"/>
    </xf>
    <xf numFmtId="165" fontId="26" fillId="22" borderId="1" xfId="0" applyNumberFormat="1" applyFont="1" applyFill="1" applyBorder="1" applyAlignment="1">
      <alignment horizontal="center" vertical="center" wrapText="1"/>
    </xf>
    <xf numFmtId="165" fontId="17" fillId="22" borderId="1" xfId="0" applyNumberFormat="1" applyFont="1" applyFill="1" applyBorder="1" applyAlignment="1">
      <alignment horizontal="center" vertical="center" wrapText="1"/>
    </xf>
    <xf numFmtId="165" fontId="17" fillId="22" borderId="1" xfId="1" applyNumberFormat="1" applyFont="1" applyFill="1" applyBorder="1" applyAlignment="1">
      <alignment horizontal="center" vertical="center"/>
    </xf>
    <xf numFmtId="165" fontId="17" fillId="22" borderId="22" xfId="1" applyNumberFormat="1" applyFont="1" applyFill="1" applyBorder="1" applyAlignment="1">
      <alignment horizontal="center" vertical="center"/>
    </xf>
    <xf numFmtId="165" fontId="17" fillId="21" borderId="1" xfId="1" applyNumberFormat="1" applyFont="1" applyFill="1" applyBorder="1" applyAlignment="1">
      <alignment horizontal="center" vertical="center"/>
    </xf>
    <xf numFmtId="165" fontId="20" fillId="23" borderId="1" xfId="0" applyNumberFormat="1" applyFont="1" applyFill="1" applyBorder="1" applyAlignment="1">
      <alignment vertical="center"/>
    </xf>
    <xf numFmtId="165" fontId="20" fillId="23" borderId="1" xfId="0" applyNumberFormat="1" applyFont="1" applyFill="1" applyBorder="1" applyAlignment="1">
      <alignment horizontal="center" vertical="center" wrapText="1"/>
    </xf>
    <xf numFmtId="165" fontId="20" fillId="23" borderId="3" xfId="0" applyNumberFormat="1" applyFont="1" applyFill="1" applyBorder="1" applyAlignment="1">
      <alignment vertical="center"/>
    </xf>
    <xf numFmtId="0" fontId="17" fillId="0" borderId="1" xfId="0" applyFont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left" vertical="center" wrapText="1"/>
    </xf>
    <xf numFmtId="0" fontId="0" fillId="0" borderId="0" xfId="0" applyFont="1"/>
    <xf numFmtId="165" fontId="17" fillId="0" borderId="15" xfId="1" applyNumberFormat="1" applyFont="1" applyBorder="1" applyAlignment="1">
      <alignment horizontal="center" vertical="center"/>
    </xf>
    <xf numFmtId="165" fontId="26" fillId="0" borderId="9" xfId="1" applyNumberFormat="1" applyFont="1" applyBorder="1" applyAlignment="1">
      <alignment horizontal="center" vertical="center"/>
    </xf>
    <xf numFmtId="0" fontId="20" fillId="20" borderId="4" xfId="0" applyFont="1" applyFill="1" applyBorder="1" applyAlignment="1">
      <alignment horizontal="center" vertical="center" wrapText="1"/>
    </xf>
    <xf numFmtId="9" fontId="20" fillId="20" borderId="2" xfId="0" applyNumberFormat="1" applyFont="1" applyFill="1" applyBorder="1" applyAlignment="1">
      <alignment horizontal="center" vertical="center" wrapText="1"/>
    </xf>
    <xf numFmtId="9" fontId="20" fillId="20" borderId="1" xfId="0" applyNumberFormat="1" applyFont="1" applyFill="1" applyBorder="1" applyAlignment="1">
      <alignment horizontal="center" vertical="center" wrapText="1"/>
    </xf>
    <xf numFmtId="9" fontId="20" fillId="20" borderId="14" xfId="0" applyNumberFormat="1" applyFont="1" applyFill="1" applyBorder="1" applyAlignment="1">
      <alignment horizontal="center" vertical="center" wrapText="1"/>
    </xf>
    <xf numFmtId="0" fontId="20" fillId="20" borderId="1" xfId="0" applyFont="1" applyFill="1" applyBorder="1" applyAlignment="1">
      <alignment horizontal="center" vertical="center" wrapText="1"/>
    </xf>
    <xf numFmtId="0" fontId="22" fillId="20" borderId="1" xfId="0" applyFont="1" applyFill="1" applyBorder="1" applyAlignment="1">
      <alignment horizontal="center" vertical="center"/>
    </xf>
    <xf numFmtId="9" fontId="22" fillId="20" borderId="1" xfId="4" applyFont="1" applyFill="1" applyBorder="1" applyAlignment="1">
      <alignment horizontal="center" vertical="center"/>
    </xf>
    <xf numFmtId="9" fontId="22" fillId="20" borderId="1" xfId="0" applyNumberFormat="1" applyFont="1" applyFill="1" applyBorder="1" applyAlignment="1">
      <alignment horizontal="center" vertical="center"/>
    </xf>
    <xf numFmtId="165" fontId="17" fillId="21" borderId="1" xfId="0" applyNumberFormat="1" applyFont="1" applyFill="1" applyBorder="1" applyAlignment="1">
      <alignment horizontal="center" vertical="center" wrapText="1"/>
    </xf>
    <xf numFmtId="165" fontId="17" fillId="21" borderId="22" xfId="0" applyNumberFormat="1" applyFont="1" applyFill="1" applyBorder="1" applyAlignment="1">
      <alignment horizontal="center" vertical="center" wrapText="1"/>
    </xf>
    <xf numFmtId="165" fontId="17" fillId="14" borderId="1" xfId="0" applyNumberFormat="1" applyFont="1" applyFill="1" applyBorder="1" applyAlignment="1">
      <alignment horizontal="center" vertical="center" wrapText="1"/>
    </xf>
    <xf numFmtId="165" fontId="17" fillId="14" borderId="22" xfId="0" applyNumberFormat="1" applyFont="1" applyFill="1" applyBorder="1" applyAlignment="1">
      <alignment horizontal="center" vertical="center" wrapText="1"/>
    </xf>
    <xf numFmtId="165" fontId="17" fillId="22" borderId="22" xfId="0" applyNumberFormat="1" applyFont="1" applyFill="1" applyBorder="1" applyAlignment="1">
      <alignment horizontal="center" vertical="center" wrapText="1"/>
    </xf>
    <xf numFmtId="165" fontId="26" fillId="22" borderId="22" xfId="0" applyNumberFormat="1" applyFont="1" applyFill="1" applyBorder="1" applyAlignment="1">
      <alignment horizontal="center" vertical="center" wrapText="1"/>
    </xf>
    <xf numFmtId="165" fontId="17" fillId="22" borderId="21" xfId="0" applyNumberFormat="1" applyFont="1" applyFill="1" applyBorder="1" applyAlignment="1">
      <alignment horizontal="center" vertical="center" wrapText="1"/>
    </xf>
    <xf numFmtId="165" fontId="17" fillId="0" borderId="39" xfId="0" applyNumberFormat="1" applyFont="1" applyBorder="1" applyAlignment="1">
      <alignment horizontal="center" vertical="center" wrapText="1"/>
    </xf>
    <xf numFmtId="165" fontId="20" fillId="19" borderId="39" xfId="0" applyNumberFormat="1" applyFont="1" applyFill="1" applyBorder="1" applyAlignment="1">
      <alignment vertical="center"/>
    </xf>
    <xf numFmtId="165" fontId="20" fillId="19" borderId="1" xfId="0" applyNumberFormat="1" applyFont="1" applyFill="1" applyBorder="1" applyAlignment="1">
      <alignment vertical="center"/>
    </xf>
    <xf numFmtId="165" fontId="20" fillId="19" borderId="40" xfId="0" applyNumberFormat="1" applyFont="1" applyFill="1" applyBorder="1" applyAlignment="1">
      <alignment vertical="center"/>
    </xf>
    <xf numFmtId="165" fontId="20" fillId="19" borderId="28" xfId="0" applyNumberFormat="1" applyFont="1" applyFill="1" applyBorder="1" applyAlignment="1">
      <alignment vertical="center"/>
    </xf>
    <xf numFmtId="165" fontId="20" fillId="19" borderId="20" xfId="0" applyNumberFormat="1" applyFont="1" applyFill="1" applyBorder="1" applyAlignment="1">
      <alignment vertical="center"/>
    </xf>
    <xf numFmtId="165" fontId="26" fillId="21" borderId="21" xfId="0" applyNumberFormat="1" applyFont="1" applyFill="1" applyBorder="1" applyAlignment="1">
      <alignment horizontal="center" vertical="center" wrapText="1"/>
    </xf>
    <xf numFmtId="165" fontId="17" fillId="0" borderId="24" xfId="1" applyNumberFormat="1" applyFont="1" applyBorder="1" applyAlignment="1">
      <alignment horizontal="center" vertical="center"/>
    </xf>
    <xf numFmtId="165" fontId="17" fillId="0" borderId="25" xfId="1" applyNumberFormat="1" applyFont="1" applyBorder="1" applyAlignment="1">
      <alignment horizontal="center" vertical="center"/>
    </xf>
    <xf numFmtId="165" fontId="17" fillId="21" borderId="41" xfId="1" applyNumberFormat="1" applyFont="1" applyFill="1" applyBorder="1" applyAlignment="1">
      <alignment horizontal="center" vertical="center"/>
    </xf>
    <xf numFmtId="165" fontId="26" fillId="21" borderId="41" xfId="0" applyNumberFormat="1" applyFont="1" applyFill="1" applyBorder="1" applyAlignment="1">
      <alignment horizontal="center" vertical="center" wrapText="1"/>
    </xf>
    <xf numFmtId="165" fontId="17" fillId="22" borderId="41" xfId="1" applyNumberFormat="1" applyFont="1" applyFill="1" applyBorder="1" applyAlignment="1">
      <alignment horizontal="center" vertical="center"/>
    </xf>
    <xf numFmtId="165" fontId="17" fillId="22" borderId="42" xfId="1" applyNumberFormat="1" applyFont="1" applyFill="1" applyBorder="1" applyAlignment="1">
      <alignment horizontal="center" vertical="center"/>
    </xf>
    <xf numFmtId="165" fontId="17" fillId="0" borderId="43" xfId="1" applyNumberFormat="1" applyFont="1" applyBorder="1" applyAlignment="1">
      <alignment horizontal="center" vertical="center"/>
    </xf>
    <xf numFmtId="165" fontId="17" fillId="0" borderId="41" xfId="1" applyNumberFormat="1" applyFont="1" applyBorder="1" applyAlignment="1">
      <alignment horizontal="center" vertical="center"/>
    </xf>
    <xf numFmtId="165" fontId="17" fillId="0" borderId="42" xfId="1" applyNumberFormat="1" applyFont="1" applyBorder="1" applyAlignment="1">
      <alignment horizontal="center" vertical="center"/>
    </xf>
    <xf numFmtId="165" fontId="26" fillId="22" borderId="21" xfId="0" applyNumberFormat="1" applyFont="1" applyFill="1" applyBorder="1" applyAlignment="1">
      <alignment horizontal="center" vertical="center" wrapText="1"/>
    </xf>
    <xf numFmtId="165" fontId="17" fillId="21" borderId="21" xfId="0" applyNumberFormat="1" applyFont="1" applyFill="1" applyBorder="1" applyAlignment="1">
      <alignment horizontal="center" vertical="center" wrapText="1"/>
    </xf>
    <xf numFmtId="165" fontId="26" fillId="21" borderId="22" xfId="0" applyNumberFormat="1" applyFont="1" applyFill="1" applyBorder="1" applyAlignment="1">
      <alignment horizontal="center" vertical="center" wrapText="1"/>
    </xf>
    <xf numFmtId="165" fontId="17" fillId="0" borderId="26" xfId="1" applyNumberFormat="1" applyFont="1" applyBorder="1" applyAlignment="1">
      <alignment horizontal="center" vertical="center"/>
    </xf>
    <xf numFmtId="165" fontId="26" fillId="21" borderId="9" xfId="0" applyNumberFormat="1" applyFont="1" applyFill="1" applyBorder="1" applyAlignment="1">
      <alignment horizontal="center" vertical="center" wrapText="1"/>
    </xf>
    <xf numFmtId="0" fontId="19" fillId="18" borderId="44" xfId="0" applyFont="1" applyFill="1" applyBorder="1" applyAlignment="1">
      <alignment horizontal="center" vertical="center" wrapText="1"/>
    </xf>
    <xf numFmtId="0" fontId="19" fillId="18" borderId="11" xfId="0" applyFont="1" applyFill="1" applyBorder="1" applyAlignment="1">
      <alignment horizontal="center" vertical="center" wrapText="1"/>
    </xf>
    <xf numFmtId="0" fontId="19" fillId="18" borderId="34" xfId="0" applyFont="1" applyFill="1" applyBorder="1" applyAlignment="1">
      <alignment horizontal="center" vertical="center" wrapText="1"/>
    </xf>
    <xf numFmtId="0" fontId="19" fillId="18" borderId="45" xfId="0" applyFont="1" applyFill="1" applyBorder="1" applyAlignment="1">
      <alignment horizontal="center" vertical="center" wrapText="1"/>
    </xf>
    <xf numFmtId="0" fontId="19" fillId="18" borderId="3" xfId="0" applyFont="1" applyFill="1" applyBorder="1" applyAlignment="1">
      <alignment horizontal="center" vertical="center" wrapText="1"/>
    </xf>
    <xf numFmtId="0" fontId="19" fillId="18" borderId="46" xfId="0" applyFont="1" applyFill="1" applyBorder="1" applyAlignment="1">
      <alignment horizontal="center" vertical="center" wrapText="1"/>
    </xf>
    <xf numFmtId="0" fontId="19" fillId="18" borderId="47" xfId="0" applyFont="1" applyFill="1" applyBorder="1" applyAlignment="1">
      <alignment horizontal="center" vertical="center" wrapText="1"/>
    </xf>
    <xf numFmtId="0" fontId="19" fillId="18" borderId="33" xfId="0" applyFont="1" applyFill="1" applyBorder="1" applyAlignment="1">
      <alignment horizontal="center" vertical="center" wrapText="1"/>
    </xf>
    <xf numFmtId="0" fontId="17" fillId="0" borderId="23" xfId="0" applyFont="1" applyBorder="1" applyAlignment="1">
      <alignment vertical="center"/>
    </xf>
    <xf numFmtId="165" fontId="17" fillId="0" borderId="1" xfId="1" applyNumberFormat="1" applyFont="1" applyBorder="1"/>
    <xf numFmtId="9" fontId="17" fillId="0" borderId="1" xfId="4" applyFont="1" applyBorder="1" applyAlignment="1">
      <alignment horizontal="center" vertical="center"/>
    </xf>
    <xf numFmtId="17" fontId="17" fillId="0" borderId="1" xfId="0" applyNumberFormat="1" applyFont="1" applyBorder="1" applyAlignment="1">
      <alignment horizontal="center"/>
    </xf>
    <xf numFmtId="0" fontId="20" fillId="0" borderId="1" xfId="0" applyFont="1" applyBorder="1"/>
    <xf numFmtId="165" fontId="20" fillId="0" borderId="1" xfId="1" applyNumberFormat="1" applyFont="1" applyBorder="1"/>
    <xf numFmtId="0" fontId="20" fillId="19" borderId="31" xfId="0" applyFont="1" applyFill="1" applyBorder="1" applyAlignment="1">
      <alignment vertical="center" wrapText="1"/>
    </xf>
    <xf numFmtId="0" fontId="17" fillId="0" borderId="50" xfId="0" applyFont="1" applyBorder="1" applyAlignment="1">
      <alignment vertical="center"/>
    </xf>
    <xf numFmtId="165" fontId="17" fillId="0" borderId="51" xfId="1" applyNumberFormat="1" applyFont="1" applyBorder="1" applyAlignment="1">
      <alignment horizontal="center" vertical="center"/>
    </xf>
    <xf numFmtId="164" fontId="0" fillId="0" borderId="0" xfId="0" applyNumberFormat="1"/>
    <xf numFmtId="170" fontId="0" fillId="0" borderId="0" xfId="4" applyNumberFormat="1" applyFont="1"/>
    <xf numFmtId="0" fontId="26" fillId="2" borderId="1" xfId="0" applyFont="1" applyFill="1" applyBorder="1" applyAlignment="1">
      <alignment vertical="center" wrapText="1"/>
    </xf>
    <xf numFmtId="165" fontId="20" fillId="3" borderId="1" xfId="0" applyNumberFormat="1" applyFont="1" applyFill="1" applyBorder="1" applyAlignment="1">
      <alignment horizontal="left" vertical="center" wrapText="1"/>
    </xf>
    <xf numFmtId="165" fontId="20" fillId="3" borderId="7" xfId="0" applyNumberFormat="1" applyFont="1" applyFill="1" applyBorder="1" applyAlignment="1">
      <alignment horizontal="left" vertical="center" wrapText="1"/>
    </xf>
    <xf numFmtId="165" fontId="22" fillId="3" borderId="10" xfId="0" applyNumberFormat="1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10" fontId="0" fillId="0" borderId="0" xfId="4" applyNumberFormat="1" applyFont="1"/>
    <xf numFmtId="0" fontId="26" fillId="2" borderId="1" xfId="0" applyFont="1" applyFill="1" applyBorder="1" applyAlignment="1">
      <alignment horizontal="center" vertical="center"/>
    </xf>
    <xf numFmtId="0" fontId="26" fillId="2" borderId="1" xfId="0" applyFont="1" applyFill="1" applyBorder="1" applyAlignment="1">
      <alignment horizontal="center" vertical="center" wrapText="1"/>
    </xf>
    <xf numFmtId="0" fontId="17" fillId="0" borderId="52" xfId="0" applyFont="1" applyBorder="1" applyAlignment="1">
      <alignment vertical="center"/>
    </xf>
    <xf numFmtId="165" fontId="17" fillId="0" borderId="23" xfId="0" applyNumberFormat="1" applyFont="1" applyBorder="1" applyAlignment="1">
      <alignment vertical="center"/>
    </xf>
    <xf numFmtId="0" fontId="19" fillId="13" borderId="2" xfId="0" applyFont="1" applyFill="1" applyBorder="1" applyAlignment="1">
      <alignment horizontal="center" vertical="center" wrapText="1"/>
    </xf>
    <xf numFmtId="0" fontId="21" fillId="16" borderId="0" xfId="0" applyFont="1" applyFill="1" applyAlignment="1">
      <alignment horizontal="center" vertical="center"/>
    </xf>
    <xf numFmtId="0" fontId="19" fillId="13" borderId="1" xfId="0" applyFont="1" applyFill="1" applyBorder="1" applyAlignment="1">
      <alignment horizontal="center" vertical="center"/>
    </xf>
    <xf numFmtId="0" fontId="19" fillId="13" borderId="1" xfId="0" applyFont="1" applyFill="1" applyBorder="1" applyAlignment="1">
      <alignment horizontal="center" vertical="center" wrapText="1"/>
    </xf>
    <xf numFmtId="0" fontId="21" fillId="24" borderId="1" xfId="0" applyFont="1" applyFill="1" applyBorder="1" applyAlignment="1">
      <alignment horizontal="center" vertical="center"/>
    </xf>
    <xf numFmtId="0" fontId="24" fillId="13" borderId="1" xfId="0" applyFont="1" applyFill="1" applyBorder="1" applyAlignment="1">
      <alignment horizontal="center" vertical="center"/>
    </xf>
    <xf numFmtId="0" fontId="19" fillId="13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top"/>
    </xf>
    <xf numFmtId="0" fontId="19" fillId="13" borderId="2" xfId="0" applyFont="1" applyFill="1" applyBorder="1" applyAlignment="1">
      <alignment horizontal="center" vertical="center" wrapText="1"/>
    </xf>
    <xf numFmtId="0" fontId="19" fillId="13" borderId="11" xfId="0" applyFont="1" applyFill="1" applyBorder="1" applyAlignment="1">
      <alignment horizontal="center" vertical="center" wrapText="1"/>
    </xf>
    <xf numFmtId="0" fontId="19" fillId="13" borderId="3" xfId="0" applyFont="1" applyFill="1" applyBorder="1" applyAlignment="1">
      <alignment horizontal="center" vertical="center" wrapText="1"/>
    </xf>
    <xf numFmtId="0" fontId="30" fillId="16" borderId="0" xfId="0" applyFont="1" applyFill="1" applyAlignment="1">
      <alignment horizontal="center" vertical="center"/>
    </xf>
    <xf numFmtId="0" fontId="21" fillId="16" borderId="0" xfId="0" applyFont="1" applyFill="1" applyAlignment="1">
      <alignment horizontal="center" vertical="center"/>
    </xf>
    <xf numFmtId="0" fontId="19" fillId="13" borderId="7" xfId="0" applyFont="1" applyFill="1" applyBorder="1" applyAlignment="1">
      <alignment horizontal="center" vertical="center" wrapText="1"/>
    </xf>
    <xf numFmtId="0" fontId="19" fillId="13" borderId="8" xfId="0" applyFont="1" applyFill="1" applyBorder="1" applyAlignment="1">
      <alignment horizontal="center" vertical="center" wrapText="1"/>
    </xf>
    <xf numFmtId="0" fontId="19" fillId="13" borderId="9" xfId="0" applyFont="1" applyFill="1" applyBorder="1" applyAlignment="1">
      <alignment horizontal="center" vertical="center" wrapText="1"/>
    </xf>
    <xf numFmtId="0" fontId="19" fillId="13" borderId="1" xfId="0" applyFont="1" applyFill="1" applyBorder="1" applyAlignment="1">
      <alignment horizontal="center" vertical="center"/>
    </xf>
    <xf numFmtId="0" fontId="19" fillId="13" borderId="1" xfId="0" applyFont="1" applyFill="1" applyBorder="1" applyAlignment="1">
      <alignment horizontal="center" vertical="center" wrapText="1"/>
    </xf>
    <xf numFmtId="0" fontId="19" fillId="13" borderId="13" xfId="0" applyFont="1" applyFill="1" applyBorder="1" applyAlignment="1">
      <alignment horizontal="center" vertical="center" wrapText="1"/>
    </xf>
    <xf numFmtId="0" fontId="19" fillId="13" borderId="6" xfId="0" applyFont="1" applyFill="1" applyBorder="1" applyAlignment="1">
      <alignment horizontal="center" vertical="center" wrapText="1"/>
    </xf>
    <xf numFmtId="0" fontId="19" fillId="13" borderId="14" xfId="0" applyFont="1" applyFill="1" applyBorder="1" applyAlignment="1">
      <alignment horizontal="center" vertical="center" wrapText="1"/>
    </xf>
    <xf numFmtId="0" fontId="19" fillId="13" borderId="4" xfId="0" applyFont="1" applyFill="1" applyBorder="1" applyAlignment="1">
      <alignment horizontal="center" vertical="center" wrapText="1"/>
    </xf>
    <xf numFmtId="0" fontId="19" fillId="13" borderId="5" xfId="0" applyFont="1" applyFill="1" applyBorder="1" applyAlignment="1">
      <alignment horizontal="center" vertical="center" wrapText="1"/>
    </xf>
    <xf numFmtId="0" fontId="19" fillId="13" borderId="15" xfId="0" applyFont="1" applyFill="1" applyBorder="1" applyAlignment="1">
      <alignment horizontal="center" vertical="center" wrapText="1"/>
    </xf>
    <xf numFmtId="0" fontId="29" fillId="16" borderId="0" xfId="0" applyFont="1" applyFill="1" applyAlignment="1">
      <alignment horizontal="center" vertical="center"/>
    </xf>
    <xf numFmtId="0" fontId="33" fillId="16" borderId="0" xfId="0" applyFont="1" applyFill="1" applyAlignment="1">
      <alignment horizontal="center" vertical="center"/>
    </xf>
    <xf numFmtId="0" fontId="21" fillId="24" borderId="1" xfId="0" applyFont="1" applyFill="1" applyBorder="1" applyAlignment="1">
      <alignment horizontal="center" vertical="center"/>
    </xf>
    <xf numFmtId="0" fontId="25" fillId="0" borderId="0" xfId="5" applyFont="1" applyBorder="1" applyAlignment="1">
      <alignment horizontal="left" vertical="center" wrapText="1"/>
    </xf>
    <xf numFmtId="0" fontId="24" fillId="13" borderId="1" xfId="0" applyFont="1" applyFill="1" applyBorder="1" applyAlignment="1">
      <alignment horizontal="center"/>
    </xf>
    <xf numFmtId="0" fontId="24" fillId="13" borderId="1" xfId="0" applyFont="1" applyFill="1" applyBorder="1" applyAlignment="1">
      <alignment horizontal="center" vertical="center"/>
    </xf>
    <xf numFmtId="0" fontId="24" fillId="13" borderId="7" xfId="0" applyFont="1" applyFill="1" applyBorder="1" applyAlignment="1">
      <alignment horizontal="center"/>
    </xf>
    <xf numFmtId="0" fontId="24" fillId="13" borderId="8" xfId="0" applyFont="1" applyFill="1" applyBorder="1" applyAlignment="1">
      <alignment horizontal="center"/>
    </xf>
    <xf numFmtId="0" fontId="24" fillId="13" borderId="9" xfId="0" applyFont="1" applyFill="1" applyBorder="1" applyAlignment="1">
      <alignment horizontal="center"/>
    </xf>
    <xf numFmtId="0" fontId="19" fillId="18" borderId="27" xfId="0" applyFont="1" applyFill="1" applyBorder="1" applyAlignment="1">
      <alignment horizontal="center" vertical="center" wrapText="1"/>
    </xf>
    <xf numFmtId="0" fontId="19" fillId="18" borderId="19" xfId="0" applyFont="1" applyFill="1" applyBorder="1" applyAlignment="1">
      <alignment horizontal="center" vertical="center" wrapText="1"/>
    </xf>
    <xf numFmtId="0" fontId="19" fillId="18" borderId="20" xfId="0" applyFont="1" applyFill="1" applyBorder="1" applyAlignment="1">
      <alignment horizontal="center" vertical="center" wrapText="1"/>
    </xf>
    <xf numFmtId="0" fontId="19" fillId="18" borderId="48" xfId="0" applyFont="1" applyFill="1" applyBorder="1" applyAlignment="1">
      <alignment horizontal="center" vertical="center" wrapText="1"/>
    </xf>
    <xf numFmtId="0" fontId="19" fillId="18" borderId="41" xfId="0" applyFont="1" applyFill="1" applyBorder="1" applyAlignment="1">
      <alignment horizontal="center" vertical="center" wrapText="1"/>
    </xf>
    <xf numFmtId="0" fontId="19" fillId="18" borderId="42" xfId="0" applyFont="1" applyFill="1" applyBorder="1" applyAlignment="1">
      <alignment horizontal="center" vertical="center" wrapText="1"/>
    </xf>
    <xf numFmtId="0" fontId="24" fillId="18" borderId="32" xfId="0" applyFont="1" applyFill="1" applyBorder="1" applyAlignment="1">
      <alignment horizontal="center" vertical="center" wrapText="1"/>
    </xf>
    <xf numFmtId="0" fontId="24" fillId="18" borderId="16" xfId="0" applyFont="1" applyFill="1" applyBorder="1" applyAlignment="1">
      <alignment horizontal="center" vertical="center" wrapText="1"/>
    </xf>
    <xf numFmtId="0" fontId="24" fillId="18" borderId="17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9" fillId="18" borderId="29" xfId="0" applyFont="1" applyFill="1" applyBorder="1" applyAlignment="1">
      <alignment horizontal="center" vertical="center" wrapText="1"/>
    </xf>
    <xf numFmtId="0" fontId="19" fillId="18" borderId="30" xfId="0" applyFont="1" applyFill="1" applyBorder="1" applyAlignment="1">
      <alignment horizontal="center" vertical="center" wrapText="1"/>
    </xf>
    <xf numFmtId="0" fontId="19" fillId="18" borderId="31" xfId="0" applyFont="1" applyFill="1" applyBorder="1" applyAlignment="1">
      <alignment horizontal="center" vertical="center" wrapText="1"/>
    </xf>
    <xf numFmtId="0" fontId="19" fillId="18" borderId="18" xfId="0" applyFont="1" applyFill="1" applyBorder="1" applyAlignment="1">
      <alignment horizontal="center" vertical="center" wrapText="1"/>
    </xf>
    <xf numFmtId="0" fontId="19" fillId="18" borderId="43" xfId="0" applyFont="1" applyFill="1" applyBorder="1" applyAlignment="1">
      <alignment horizontal="center" vertical="center" wrapText="1"/>
    </xf>
    <xf numFmtId="0" fontId="19" fillId="18" borderId="28" xfId="0" applyFont="1" applyFill="1" applyBorder="1" applyAlignment="1">
      <alignment horizontal="center" vertical="center" wrapText="1"/>
    </xf>
    <xf numFmtId="0" fontId="19" fillId="18" borderId="49" xfId="0" applyFont="1" applyFill="1" applyBorder="1" applyAlignment="1">
      <alignment horizontal="center" vertical="center" wrapText="1"/>
    </xf>
    <xf numFmtId="0" fontId="19" fillId="13" borderId="1" xfId="0" applyFont="1" applyFill="1" applyBorder="1" applyAlignment="1">
      <alignment vertical="center" wrapText="1"/>
    </xf>
    <xf numFmtId="0" fontId="19" fillId="13" borderId="1" xfId="0" applyFont="1" applyFill="1" applyBorder="1" applyAlignment="1">
      <alignment vertical="center"/>
    </xf>
    <xf numFmtId="0" fontId="16" fillId="16" borderId="0" xfId="0" applyFont="1" applyFill="1" applyAlignment="1">
      <alignment horizontal="center" vertical="center"/>
    </xf>
    <xf numFmtId="0" fontId="19" fillId="13" borderId="1" xfId="0" applyFont="1" applyFill="1" applyBorder="1" applyAlignment="1">
      <alignment horizontal="center" vertical="top"/>
    </xf>
    <xf numFmtId="0" fontId="20" fillId="2" borderId="1" xfId="0" applyFont="1" applyFill="1" applyBorder="1" applyAlignment="1">
      <alignment horizontal="center" vertical="top" wrapText="1"/>
    </xf>
    <xf numFmtId="0" fontId="19" fillId="13" borderId="2" xfId="0" applyFont="1" applyFill="1" applyBorder="1" applyAlignment="1">
      <alignment horizontal="center" vertical="center"/>
    </xf>
    <xf numFmtId="0" fontId="19" fillId="13" borderId="3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/>
    </xf>
    <xf numFmtId="0" fontId="5" fillId="2" borderId="3" xfId="0" applyFont="1" applyFill="1" applyBorder="1" applyAlignment="1">
      <alignment horizontal="center" vertical="top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10" fillId="7" borderId="6" xfId="0" applyFont="1" applyFill="1" applyBorder="1" applyAlignment="1">
      <alignment horizontal="center"/>
    </xf>
    <xf numFmtId="0" fontId="10" fillId="8" borderId="6" xfId="0" applyFont="1" applyFill="1" applyBorder="1" applyAlignment="1">
      <alignment horizontal="center"/>
    </xf>
  </cellXfs>
  <cellStyles count="6">
    <cellStyle name="Comma" xfId="1" builtinId="3"/>
    <cellStyle name="Millares 15" xfId="2" xr:uid="{00000000-0005-0000-0000-000001000000}"/>
    <cellStyle name="Normal" xfId="0" builtinId="0"/>
    <cellStyle name="Normal 2" xfId="5" xr:uid="{69D24AE9-7351-49A3-A358-6AF87F293741}"/>
    <cellStyle name="Percent" xfId="4" builtinId="5"/>
    <cellStyle name="Porcentaje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26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1.xml"/><Relationship Id="rId27" Type="http://schemas.openxmlformats.org/officeDocument/2006/relationships/customXml" Target="../customXml/item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4E6F6D-B962-45AA-A05B-6E4BD068845C}">
  <sheetPr>
    <tabColor theme="4"/>
  </sheetPr>
  <dimension ref="A1:AC103"/>
  <sheetViews>
    <sheetView zoomScale="80" zoomScaleNormal="80" workbookViewId="0" xr3:uid="{12150C84-BCE6-55A7-A81E-218D17708DD6}">
      <pane ySplit="9" topLeftCell="A11" activePane="bottomLeft" state="frozen"/>
      <selection pane="bottomLeft" activeCell="B12" sqref="B12"/>
    </sheetView>
  </sheetViews>
  <sheetFormatPr defaultColWidth="11.25" defaultRowHeight="15.6"/>
  <cols>
    <col min="1" max="1" width="11.25" customWidth="1"/>
    <col min="2" max="2" width="49.125" customWidth="1"/>
    <col min="3" max="3" width="10" customWidth="1"/>
    <col min="4" max="4" width="15.75" customWidth="1"/>
    <col min="5" max="9" width="7.25" customWidth="1"/>
    <col min="10" max="26" width="14.25" customWidth="1"/>
    <col min="27" max="27" width="16.75" customWidth="1"/>
    <col min="29" max="29" width="15.125" bestFit="1" customWidth="1"/>
  </cols>
  <sheetData>
    <row r="1" spans="1:29">
      <c r="E1" s="113"/>
    </row>
    <row r="2" spans="1:29" ht="23.45">
      <c r="A2" s="294" t="s">
        <v>0</v>
      </c>
      <c r="B2" s="294"/>
      <c r="C2" s="294"/>
      <c r="D2" s="294"/>
      <c r="E2" s="294"/>
      <c r="F2" s="294"/>
      <c r="G2" s="294"/>
      <c r="H2" s="294"/>
      <c r="I2" s="294"/>
      <c r="J2" s="294"/>
      <c r="K2" s="294"/>
      <c r="L2" s="294"/>
      <c r="M2" s="294"/>
      <c r="N2" s="294"/>
      <c r="O2" s="294"/>
      <c r="P2" s="294"/>
      <c r="Q2" s="294"/>
      <c r="R2" s="294"/>
      <c r="S2" s="294"/>
      <c r="T2" s="294"/>
      <c r="U2" s="294"/>
      <c r="V2" s="294"/>
      <c r="W2" s="294"/>
      <c r="X2" s="294"/>
      <c r="Y2" s="294"/>
      <c r="Z2" s="294"/>
      <c r="AA2" s="294"/>
    </row>
    <row r="3" spans="1:29">
      <c r="A3" s="295" t="s">
        <v>1</v>
      </c>
      <c r="B3" s="295"/>
      <c r="C3" s="295"/>
      <c r="D3" s="295"/>
      <c r="E3" s="295"/>
      <c r="F3" s="295"/>
      <c r="G3" s="295"/>
      <c r="H3" s="295"/>
      <c r="I3" s="295"/>
      <c r="J3" s="295"/>
      <c r="K3" s="295"/>
      <c r="L3" s="295"/>
      <c r="M3" s="295"/>
      <c r="N3" s="295"/>
      <c r="O3" s="295"/>
      <c r="P3" s="295"/>
      <c r="Q3" s="295"/>
      <c r="R3" s="295"/>
      <c r="S3" s="295"/>
      <c r="T3" s="295"/>
      <c r="U3" s="295"/>
      <c r="V3" s="295"/>
      <c r="W3" s="295"/>
      <c r="X3" s="295"/>
      <c r="Y3" s="295"/>
      <c r="Z3" s="295"/>
      <c r="AA3" s="295"/>
    </row>
    <row r="4" spans="1:29">
      <c r="A4" s="295" t="s">
        <v>2</v>
      </c>
      <c r="B4" s="295"/>
      <c r="C4" s="295"/>
      <c r="D4" s="295"/>
      <c r="E4" s="295"/>
      <c r="F4" s="295"/>
      <c r="G4" s="295"/>
      <c r="H4" s="295"/>
      <c r="I4" s="295"/>
      <c r="J4" s="295"/>
      <c r="K4" s="295"/>
      <c r="L4" s="295"/>
      <c r="M4" s="295"/>
      <c r="N4" s="295"/>
      <c r="O4" s="295"/>
      <c r="P4" s="295"/>
      <c r="Q4" s="295"/>
      <c r="R4" s="295"/>
      <c r="S4" s="295"/>
      <c r="T4" s="295"/>
      <c r="U4" s="295"/>
      <c r="V4" s="295"/>
      <c r="W4" s="295"/>
      <c r="X4" s="295"/>
      <c r="Y4" s="295"/>
      <c r="Z4" s="295"/>
      <c r="AA4" s="295"/>
    </row>
    <row r="5" spans="1:29">
      <c r="A5" s="295" t="s">
        <v>3</v>
      </c>
      <c r="B5" s="295"/>
      <c r="C5" s="295"/>
      <c r="D5" s="295"/>
      <c r="E5" s="295"/>
      <c r="F5" s="295"/>
      <c r="G5" s="295"/>
      <c r="H5" s="295"/>
      <c r="I5" s="295"/>
      <c r="J5" s="295"/>
      <c r="K5" s="295"/>
      <c r="L5" s="295"/>
      <c r="M5" s="295"/>
      <c r="N5" s="295"/>
      <c r="O5" s="295"/>
      <c r="P5" s="295"/>
      <c r="Q5" s="295"/>
      <c r="R5" s="295"/>
      <c r="S5" s="295"/>
      <c r="T5" s="295"/>
      <c r="U5" s="295"/>
      <c r="V5" s="295"/>
      <c r="W5" s="295"/>
      <c r="X5" s="295"/>
      <c r="Y5" s="295"/>
      <c r="Z5" s="295"/>
      <c r="AA5" s="295"/>
    </row>
    <row r="7" spans="1:29" ht="15.75" customHeight="1">
      <c r="A7" s="291" t="s">
        <v>4</v>
      </c>
      <c r="B7" s="291" t="s">
        <v>5</v>
      </c>
      <c r="C7" s="299" t="s">
        <v>6</v>
      </c>
      <c r="D7" s="300" t="s">
        <v>7</v>
      </c>
      <c r="E7" s="296" t="s">
        <v>8</v>
      </c>
      <c r="F7" s="297"/>
      <c r="G7" s="297"/>
      <c r="H7" s="297"/>
      <c r="I7" s="298"/>
      <c r="J7" s="296" t="s">
        <v>9</v>
      </c>
      <c r="K7" s="297"/>
      <c r="L7" s="297"/>
      <c r="M7" s="297"/>
      <c r="N7" s="297"/>
      <c r="O7" s="297"/>
      <c r="P7" s="297"/>
      <c r="Q7" s="297"/>
      <c r="R7" s="297"/>
      <c r="S7" s="297"/>
      <c r="T7" s="297"/>
      <c r="U7" s="297"/>
      <c r="V7" s="297"/>
      <c r="W7" s="297"/>
      <c r="X7" s="298"/>
      <c r="Y7" s="301" t="s">
        <v>10</v>
      </c>
      <c r="Z7" s="302"/>
      <c r="AA7" s="303"/>
    </row>
    <row r="8" spans="1:29">
      <c r="A8" s="292"/>
      <c r="B8" s="292"/>
      <c r="C8" s="299"/>
      <c r="D8" s="300"/>
      <c r="E8" s="286" t="s">
        <v>11</v>
      </c>
      <c r="F8" s="286" t="s">
        <v>12</v>
      </c>
      <c r="G8" s="286" t="s">
        <v>13</v>
      </c>
      <c r="H8" s="286" t="s">
        <v>14</v>
      </c>
      <c r="I8" s="286" t="s">
        <v>15</v>
      </c>
      <c r="J8" s="296" t="s">
        <v>11</v>
      </c>
      <c r="K8" s="297"/>
      <c r="L8" s="298"/>
      <c r="M8" s="296" t="s">
        <v>12</v>
      </c>
      <c r="N8" s="297"/>
      <c r="O8" s="298"/>
      <c r="P8" s="296" t="s">
        <v>13</v>
      </c>
      <c r="Q8" s="297"/>
      <c r="R8" s="298"/>
      <c r="S8" s="296" t="s">
        <v>14</v>
      </c>
      <c r="T8" s="297"/>
      <c r="U8" s="298"/>
      <c r="V8" s="296" t="s">
        <v>15</v>
      </c>
      <c r="W8" s="297"/>
      <c r="X8" s="298"/>
      <c r="Y8" s="304"/>
      <c r="Z8" s="305"/>
      <c r="AA8" s="306"/>
    </row>
    <row r="9" spans="1:29" ht="16.149999999999999" thickBot="1">
      <c r="A9" s="293"/>
      <c r="B9" s="293"/>
      <c r="C9" s="285"/>
      <c r="D9" s="286"/>
      <c r="E9" s="286"/>
      <c r="F9" s="286"/>
      <c r="G9" s="286"/>
      <c r="H9" s="286"/>
      <c r="I9" s="286"/>
      <c r="J9" s="286" t="s">
        <v>16</v>
      </c>
      <c r="K9" s="286" t="s">
        <v>17</v>
      </c>
      <c r="L9" s="286" t="s">
        <v>18</v>
      </c>
      <c r="M9" s="286" t="s">
        <v>16</v>
      </c>
      <c r="N9" s="286" t="s">
        <v>17</v>
      </c>
      <c r="O9" s="286" t="s">
        <v>18</v>
      </c>
      <c r="P9" s="286" t="s">
        <v>16</v>
      </c>
      <c r="Q9" s="286" t="s">
        <v>17</v>
      </c>
      <c r="R9" s="286" t="s">
        <v>18</v>
      </c>
      <c r="S9" s="286" t="s">
        <v>16</v>
      </c>
      <c r="T9" s="286" t="s">
        <v>17</v>
      </c>
      <c r="U9" s="286" t="s">
        <v>18</v>
      </c>
      <c r="V9" s="286" t="s">
        <v>16</v>
      </c>
      <c r="W9" s="286" t="s">
        <v>17</v>
      </c>
      <c r="X9" s="286" t="s">
        <v>18</v>
      </c>
      <c r="Y9" s="286" t="s">
        <v>16</v>
      </c>
      <c r="Z9" s="286" t="s">
        <v>17</v>
      </c>
      <c r="AA9" s="283" t="s">
        <v>18</v>
      </c>
    </row>
    <row r="10" spans="1:29" ht="28.15" thickBot="1">
      <c r="A10" s="119"/>
      <c r="B10" s="119" t="s">
        <v>19</v>
      </c>
      <c r="C10" s="81"/>
      <c r="D10" s="120"/>
      <c r="E10" s="120"/>
      <c r="F10" s="120"/>
      <c r="G10" s="120"/>
      <c r="H10" s="120"/>
      <c r="I10" s="120"/>
      <c r="J10" s="121">
        <f>+SUM(J11:J18)</f>
        <v>157440</v>
      </c>
      <c r="K10" s="121">
        <f t="shared" ref="K10:Z10" si="0">+SUM(K11:K18)</f>
        <v>34560</v>
      </c>
      <c r="L10" s="121">
        <f t="shared" si="0"/>
        <v>192000</v>
      </c>
      <c r="M10" s="121">
        <f t="shared" si="0"/>
        <v>1801505.044896801</v>
      </c>
      <c r="N10" s="121">
        <f t="shared" si="0"/>
        <v>395452.32692856609</v>
      </c>
      <c r="O10" s="121">
        <f t="shared" si="0"/>
        <v>2196957.3718253672</v>
      </c>
      <c r="P10" s="121">
        <f t="shared" si="0"/>
        <v>2456925</v>
      </c>
      <c r="Q10" s="121">
        <f t="shared" si="0"/>
        <v>539325</v>
      </c>
      <c r="R10" s="121">
        <f t="shared" si="0"/>
        <v>2996250</v>
      </c>
      <c r="S10" s="121">
        <f t="shared" si="0"/>
        <v>2440525</v>
      </c>
      <c r="T10" s="121">
        <f t="shared" si="0"/>
        <v>535725</v>
      </c>
      <c r="U10" s="121">
        <f t="shared" si="0"/>
        <v>2976250</v>
      </c>
      <c r="V10" s="121">
        <f t="shared" si="0"/>
        <v>2306250</v>
      </c>
      <c r="W10" s="121">
        <f t="shared" si="0"/>
        <v>506250</v>
      </c>
      <c r="X10" s="121">
        <f t="shared" si="0"/>
        <v>2812500</v>
      </c>
      <c r="Y10" s="121">
        <f>+SUM(Y11:Y18)</f>
        <v>9162645.0448968001</v>
      </c>
      <c r="Z10" s="142">
        <f t="shared" si="0"/>
        <v>2011312.3269285662</v>
      </c>
      <c r="AA10" s="136">
        <f>+SUM(AA11:AA18)</f>
        <v>11173957.371825367</v>
      </c>
      <c r="AC10" s="113"/>
    </row>
    <row r="11" spans="1:29" ht="33" customHeight="1">
      <c r="A11" s="213">
        <v>1</v>
      </c>
      <c r="B11" s="91" t="s">
        <v>20</v>
      </c>
      <c r="C11" s="67">
        <f>+SUM(E11:I11)</f>
        <v>1</v>
      </c>
      <c r="D11" s="69">
        <f>+'Componente 1'!I7</f>
        <v>238957.37182536721</v>
      </c>
      <c r="E11" s="150">
        <f>+'Componente 1'!D7</f>
        <v>0</v>
      </c>
      <c r="F11" s="150">
        <f>+'Componente 1'!E7</f>
        <v>1</v>
      </c>
      <c r="G11" s="150">
        <f>+'Componente 1'!F7</f>
        <v>0</v>
      </c>
      <c r="H11" s="150">
        <f>+'Componente 1'!G7</f>
        <v>0</v>
      </c>
      <c r="I11" s="150">
        <f>+'Componente 1'!H7</f>
        <v>0</v>
      </c>
      <c r="J11" s="141">
        <f>+L11*82%</f>
        <v>0</v>
      </c>
      <c r="K11" s="141">
        <f>18%*L11</f>
        <v>0</v>
      </c>
      <c r="L11" s="69">
        <f t="shared" ref="L11:L17" si="1">+E11*$D11</f>
        <v>0</v>
      </c>
      <c r="M11" s="141">
        <f>+O11*82%</f>
        <v>195945.04489680109</v>
      </c>
      <c r="N11" s="141">
        <f>18%*O11</f>
        <v>43012.326928566094</v>
      </c>
      <c r="O11" s="69">
        <f>+F11*$D11</f>
        <v>238957.37182536721</v>
      </c>
      <c r="P11" s="141">
        <f>+R11*82%</f>
        <v>0</v>
      </c>
      <c r="Q11" s="141">
        <f>18%*R11</f>
        <v>0</v>
      </c>
      <c r="R11" s="69">
        <f t="shared" ref="R11:R18" si="2">+G11*$D11</f>
        <v>0</v>
      </c>
      <c r="S11" s="141">
        <f>+U11*82%</f>
        <v>0</v>
      </c>
      <c r="T11" s="141">
        <f>18%*U11</f>
        <v>0</v>
      </c>
      <c r="U11" s="69">
        <f t="shared" ref="U11:U18" si="3">+H11*$D11</f>
        <v>0</v>
      </c>
      <c r="V11" s="141">
        <f>+X11*82%</f>
        <v>0</v>
      </c>
      <c r="W11" s="141">
        <f>18%*X11</f>
        <v>0</v>
      </c>
      <c r="X11" s="69">
        <f t="shared" ref="X11:X18" si="4">+I11*$D11</f>
        <v>0</v>
      </c>
      <c r="Y11" s="159">
        <f t="shared" ref="Y11:Y17" si="5">+J11+M11+P11+S11+V11</f>
        <v>195945.04489680109</v>
      </c>
      <c r="Z11" s="141">
        <f>+K11+N11+Q11+T11+W11</f>
        <v>43012.326928566094</v>
      </c>
      <c r="AA11" s="143">
        <f>+L11+O11+R11+U11+X11</f>
        <v>238957.37182536721</v>
      </c>
    </row>
    <row r="12" spans="1:29" ht="44.25" customHeight="1">
      <c r="A12" s="150">
        <v>2</v>
      </c>
      <c r="B12" s="152" t="s">
        <v>21</v>
      </c>
      <c r="C12" s="151">
        <f t="shared" ref="C12:C18" si="6">+SUM(E12:I12)</f>
        <v>4</v>
      </c>
      <c r="D12" s="69">
        <f>+'Componente 1'!I8</f>
        <v>160000</v>
      </c>
      <c r="E12" s="150">
        <f>+'Componente 1'!D8</f>
        <v>0</v>
      </c>
      <c r="F12" s="150">
        <f>+'Componente 1'!E8</f>
        <v>1</v>
      </c>
      <c r="G12" s="150">
        <f>+'Componente 1'!F8</f>
        <v>1</v>
      </c>
      <c r="H12" s="150">
        <f>+'Componente 1'!G8</f>
        <v>2</v>
      </c>
      <c r="I12" s="150">
        <f>+'Componente 1'!H8</f>
        <v>0</v>
      </c>
      <c r="J12" s="159">
        <f t="shared" ref="J12:J18" si="7">+L12*82%</f>
        <v>0</v>
      </c>
      <c r="K12" s="159">
        <f t="shared" ref="K12:K18" si="8">18%*L12</f>
        <v>0</v>
      </c>
      <c r="L12" s="155">
        <f t="shared" si="1"/>
        <v>0</v>
      </c>
      <c r="M12" s="159">
        <f t="shared" ref="M12:M18" si="9">+O12*82%</f>
        <v>131200</v>
      </c>
      <c r="N12" s="159">
        <f t="shared" ref="N12:N18" si="10">18%*O12</f>
        <v>28800</v>
      </c>
      <c r="O12" s="155">
        <f>+F12*$D12</f>
        <v>160000</v>
      </c>
      <c r="P12" s="159">
        <f t="shared" ref="P12:P18" si="11">+R12*82%</f>
        <v>131200</v>
      </c>
      <c r="Q12" s="159">
        <f t="shared" ref="Q12:Q18" si="12">18%*R12</f>
        <v>28800</v>
      </c>
      <c r="R12" s="155">
        <f t="shared" si="2"/>
        <v>160000</v>
      </c>
      <c r="S12" s="159">
        <f t="shared" ref="S12:S18" si="13">+U12*82%</f>
        <v>262400</v>
      </c>
      <c r="T12" s="159">
        <f t="shared" ref="T12:T18" si="14">18%*U12</f>
        <v>57600</v>
      </c>
      <c r="U12" s="155">
        <f t="shared" si="3"/>
        <v>320000</v>
      </c>
      <c r="V12" s="159">
        <f t="shared" ref="V12:V18" si="15">+X12*82%</f>
        <v>0</v>
      </c>
      <c r="W12" s="159">
        <f t="shared" ref="W12:W18" si="16">18%*X12</f>
        <v>0</v>
      </c>
      <c r="X12" s="155">
        <f t="shared" si="4"/>
        <v>0</v>
      </c>
      <c r="Y12" s="159">
        <f t="shared" si="5"/>
        <v>524800</v>
      </c>
      <c r="Z12" s="159">
        <f t="shared" ref="Z12:AA18" si="17">+K12+N12+Q12+T12+W12</f>
        <v>115200</v>
      </c>
      <c r="AA12" s="155">
        <f t="shared" si="17"/>
        <v>640000</v>
      </c>
    </row>
    <row r="13" spans="1:29" ht="33" customHeight="1">
      <c r="A13" s="150">
        <v>3</v>
      </c>
      <c r="B13" s="152" t="s">
        <v>22</v>
      </c>
      <c r="C13" s="151">
        <f t="shared" si="6"/>
        <v>16</v>
      </c>
      <c r="D13" s="69">
        <f>+'Componente 1'!I9</f>
        <v>195312.5</v>
      </c>
      <c r="E13" s="150">
        <f>+'Componente 1'!D9</f>
        <v>0</v>
      </c>
      <c r="F13" s="150">
        <f>+'Componente 1'!E9</f>
        <v>0</v>
      </c>
      <c r="G13" s="150">
        <f>+'Componente 1'!F9</f>
        <v>4</v>
      </c>
      <c r="H13" s="150">
        <f>+'Componente 1'!G9</f>
        <v>4</v>
      </c>
      <c r="I13" s="150">
        <f>+'Componente 1'!H9</f>
        <v>8</v>
      </c>
      <c r="J13" s="159">
        <f t="shared" si="7"/>
        <v>0</v>
      </c>
      <c r="K13" s="159">
        <f t="shared" si="8"/>
        <v>0</v>
      </c>
      <c r="L13" s="155">
        <f t="shared" si="1"/>
        <v>0</v>
      </c>
      <c r="M13" s="159">
        <f t="shared" si="9"/>
        <v>0</v>
      </c>
      <c r="N13" s="159">
        <f t="shared" si="10"/>
        <v>0</v>
      </c>
      <c r="O13" s="155">
        <f t="shared" ref="O13:O18" si="18">+F13*$D13</f>
        <v>0</v>
      </c>
      <c r="P13" s="159">
        <f t="shared" si="11"/>
        <v>640625</v>
      </c>
      <c r="Q13" s="159">
        <f t="shared" si="12"/>
        <v>140625</v>
      </c>
      <c r="R13" s="155">
        <f t="shared" si="2"/>
        <v>781250</v>
      </c>
      <c r="S13" s="159">
        <f t="shared" si="13"/>
        <v>640625</v>
      </c>
      <c r="T13" s="159">
        <f t="shared" si="14"/>
        <v>140625</v>
      </c>
      <c r="U13" s="155">
        <f t="shared" si="3"/>
        <v>781250</v>
      </c>
      <c r="V13" s="159">
        <f t="shared" si="15"/>
        <v>1281250</v>
      </c>
      <c r="W13" s="159">
        <f t="shared" si="16"/>
        <v>281250</v>
      </c>
      <c r="X13" s="155">
        <f t="shared" si="4"/>
        <v>1562500</v>
      </c>
      <c r="Y13" s="159">
        <f t="shared" si="5"/>
        <v>2562500</v>
      </c>
      <c r="Z13" s="159">
        <f t="shared" si="17"/>
        <v>562500</v>
      </c>
      <c r="AA13" s="155">
        <f t="shared" si="17"/>
        <v>3125000</v>
      </c>
    </row>
    <row r="14" spans="1:29" ht="21" customHeight="1">
      <c r="A14" s="213">
        <v>4</v>
      </c>
      <c r="B14" s="152" t="s">
        <v>23</v>
      </c>
      <c r="C14" s="151">
        <f t="shared" si="6"/>
        <v>1</v>
      </c>
      <c r="D14" s="69">
        <f>+'Componente 1'!I10</f>
        <v>300000</v>
      </c>
      <c r="E14" s="150">
        <f>+'Componente 1'!D10</f>
        <v>0</v>
      </c>
      <c r="F14" s="150">
        <f>+'Componente 1'!E10</f>
        <v>1</v>
      </c>
      <c r="G14" s="150">
        <f>+'Componente 1'!F10</f>
        <v>0</v>
      </c>
      <c r="H14" s="150">
        <f>+'Componente 1'!G10</f>
        <v>0</v>
      </c>
      <c r="I14" s="150">
        <f>+'Componente 1'!H10</f>
        <v>0</v>
      </c>
      <c r="J14" s="159">
        <f t="shared" si="7"/>
        <v>0</v>
      </c>
      <c r="K14" s="159">
        <f t="shared" si="8"/>
        <v>0</v>
      </c>
      <c r="L14" s="155">
        <f t="shared" si="1"/>
        <v>0</v>
      </c>
      <c r="M14" s="159">
        <f t="shared" si="9"/>
        <v>245999.99999999997</v>
      </c>
      <c r="N14" s="159">
        <f t="shared" si="10"/>
        <v>54000</v>
      </c>
      <c r="O14" s="155">
        <f t="shared" si="18"/>
        <v>300000</v>
      </c>
      <c r="P14" s="159">
        <f t="shared" si="11"/>
        <v>0</v>
      </c>
      <c r="Q14" s="159">
        <f t="shared" si="12"/>
        <v>0</v>
      </c>
      <c r="R14" s="155">
        <f t="shared" si="2"/>
        <v>0</v>
      </c>
      <c r="S14" s="159">
        <f t="shared" si="13"/>
        <v>0</v>
      </c>
      <c r="T14" s="159">
        <f t="shared" si="14"/>
        <v>0</v>
      </c>
      <c r="U14" s="155">
        <f t="shared" si="3"/>
        <v>0</v>
      </c>
      <c r="V14" s="159">
        <f t="shared" si="15"/>
        <v>0</v>
      </c>
      <c r="W14" s="159">
        <f t="shared" si="16"/>
        <v>0</v>
      </c>
      <c r="X14" s="155">
        <f t="shared" si="4"/>
        <v>0</v>
      </c>
      <c r="Y14" s="159">
        <f t="shared" si="5"/>
        <v>245999.99999999997</v>
      </c>
      <c r="Z14" s="159">
        <f t="shared" si="17"/>
        <v>54000</v>
      </c>
      <c r="AA14" s="155">
        <f t="shared" si="17"/>
        <v>300000</v>
      </c>
    </row>
    <row r="15" spans="1:29" ht="30" customHeight="1">
      <c r="A15" s="150">
        <v>5</v>
      </c>
      <c r="B15" s="152" t="s">
        <v>24</v>
      </c>
      <c r="C15" s="151">
        <f t="shared" si="6"/>
        <v>1</v>
      </c>
      <c r="D15" s="69">
        <f>+'Componente 1'!I11</f>
        <v>300000</v>
      </c>
      <c r="E15" s="150">
        <f>+'Componente 1'!D11</f>
        <v>0</v>
      </c>
      <c r="F15" s="150">
        <f>+'Componente 1'!E11</f>
        <v>0.4</v>
      </c>
      <c r="G15" s="150">
        <f>+'Componente 1'!F11</f>
        <v>0.6</v>
      </c>
      <c r="H15" s="150">
        <f>+'Componente 1'!G11</f>
        <v>0</v>
      </c>
      <c r="I15" s="150">
        <f>+'Componente 1'!H11</f>
        <v>0</v>
      </c>
      <c r="J15" s="159">
        <f t="shared" si="7"/>
        <v>0</v>
      </c>
      <c r="K15" s="159">
        <f t="shared" si="8"/>
        <v>0</v>
      </c>
      <c r="L15" s="155">
        <f t="shared" si="1"/>
        <v>0</v>
      </c>
      <c r="M15" s="159">
        <f t="shared" si="9"/>
        <v>98400</v>
      </c>
      <c r="N15" s="159">
        <f t="shared" si="10"/>
        <v>21600</v>
      </c>
      <c r="O15" s="155">
        <f>+F15*$D15</f>
        <v>120000</v>
      </c>
      <c r="P15" s="159">
        <f t="shared" si="11"/>
        <v>147600</v>
      </c>
      <c r="Q15" s="159">
        <f t="shared" si="12"/>
        <v>32400</v>
      </c>
      <c r="R15" s="155">
        <f>+G15*$D15</f>
        <v>180000</v>
      </c>
      <c r="S15" s="159">
        <f t="shared" si="13"/>
        <v>0</v>
      </c>
      <c r="T15" s="159">
        <f t="shared" si="14"/>
        <v>0</v>
      </c>
      <c r="U15" s="155">
        <f t="shared" si="3"/>
        <v>0</v>
      </c>
      <c r="V15" s="159">
        <f t="shared" si="15"/>
        <v>0</v>
      </c>
      <c r="W15" s="159">
        <f t="shared" si="16"/>
        <v>0</v>
      </c>
      <c r="X15" s="155">
        <f t="shared" si="4"/>
        <v>0</v>
      </c>
      <c r="Y15" s="159">
        <f t="shared" si="5"/>
        <v>246000</v>
      </c>
      <c r="Z15" s="159">
        <f t="shared" si="17"/>
        <v>54000</v>
      </c>
      <c r="AA15" s="155">
        <f t="shared" si="17"/>
        <v>300000</v>
      </c>
    </row>
    <row r="16" spans="1:29" ht="28.5" customHeight="1">
      <c r="A16" s="150">
        <v>6</v>
      </c>
      <c r="B16" s="152" t="s">
        <v>25</v>
      </c>
      <c r="C16" s="151">
        <f t="shared" si="6"/>
        <v>1</v>
      </c>
      <c r="D16" s="69">
        <f>+'Componente 1'!I12</f>
        <v>160000</v>
      </c>
      <c r="E16" s="150">
        <f>+'Componente 1'!D12</f>
        <v>1</v>
      </c>
      <c r="F16" s="150">
        <f>+'Componente 1'!E12</f>
        <v>0</v>
      </c>
      <c r="G16" s="150">
        <f>+'Componente 1'!F12</f>
        <v>0</v>
      </c>
      <c r="H16" s="150">
        <f>+'Componente 1'!G12</f>
        <v>0</v>
      </c>
      <c r="I16" s="150">
        <f>+'Componente 1'!H12</f>
        <v>0</v>
      </c>
      <c r="J16" s="159">
        <f t="shared" si="7"/>
        <v>131200</v>
      </c>
      <c r="K16" s="159">
        <f t="shared" si="8"/>
        <v>28800</v>
      </c>
      <c r="L16" s="155">
        <f t="shared" si="1"/>
        <v>160000</v>
      </c>
      <c r="M16" s="159">
        <f t="shared" si="9"/>
        <v>0</v>
      </c>
      <c r="N16" s="159">
        <f t="shared" si="10"/>
        <v>0</v>
      </c>
      <c r="O16" s="155">
        <f t="shared" si="18"/>
        <v>0</v>
      </c>
      <c r="P16" s="159">
        <f t="shared" si="11"/>
        <v>0</v>
      </c>
      <c r="Q16" s="159">
        <f t="shared" si="12"/>
        <v>0</v>
      </c>
      <c r="R16" s="155">
        <f t="shared" si="2"/>
        <v>0</v>
      </c>
      <c r="S16" s="159">
        <f t="shared" si="13"/>
        <v>0</v>
      </c>
      <c r="T16" s="159">
        <f t="shared" si="14"/>
        <v>0</v>
      </c>
      <c r="U16" s="155">
        <f t="shared" si="3"/>
        <v>0</v>
      </c>
      <c r="V16" s="159">
        <f t="shared" si="15"/>
        <v>0</v>
      </c>
      <c r="W16" s="159">
        <f t="shared" si="16"/>
        <v>0</v>
      </c>
      <c r="X16" s="155">
        <f t="shared" si="4"/>
        <v>0</v>
      </c>
      <c r="Y16" s="159">
        <f t="shared" si="5"/>
        <v>131200</v>
      </c>
      <c r="Z16" s="159">
        <f t="shared" si="17"/>
        <v>28800</v>
      </c>
      <c r="AA16" s="155">
        <f t="shared" si="17"/>
        <v>160000</v>
      </c>
    </row>
    <row r="17" spans="1:27" ht="31.5" customHeight="1">
      <c r="A17" s="213">
        <v>7</v>
      </c>
      <c r="B17" s="153" t="s">
        <v>26</v>
      </c>
      <c r="C17" s="151">
        <f t="shared" si="6"/>
        <v>1</v>
      </c>
      <c r="D17" s="69">
        <f>+'Componente 1'!I13</f>
        <v>160000</v>
      </c>
      <c r="E17" s="150">
        <f>+'Componente 1'!D13</f>
        <v>0.2</v>
      </c>
      <c r="F17" s="150">
        <f>+'Componente 1'!E13</f>
        <v>0.8</v>
      </c>
      <c r="G17" s="150">
        <f>+'Componente 1'!F13</f>
        <v>0</v>
      </c>
      <c r="H17" s="150">
        <f>+'Componente 1'!G13</f>
        <v>0</v>
      </c>
      <c r="I17" s="150">
        <f>+'Componente 1'!H13</f>
        <v>0</v>
      </c>
      <c r="J17" s="159">
        <f t="shared" si="7"/>
        <v>26240</v>
      </c>
      <c r="K17" s="159">
        <f t="shared" si="8"/>
        <v>5760</v>
      </c>
      <c r="L17" s="155">
        <f t="shared" si="1"/>
        <v>32000</v>
      </c>
      <c r="M17" s="159">
        <f t="shared" si="9"/>
        <v>104960</v>
      </c>
      <c r="N17" s="159">
        <f t="shared" si="10"/>
        <v>23040</v>
      </c>
      <c r="O17" s="155">
        <f t="shared" si="18"/>
        <v>128000</v>
      </c>
      <c r="P17" s="159">
        <f t="shared" si="11"/>
        <v>0</v>
      </c>
      <c r="Q17" s="159">
        <f t="shared" si="12"/>
        <v>0</v>
      </c>
      <c r="R17" s="155">
        <f t="shared" si="2"/>
        <v>0</v>
      </c>
      <c r="S17" s="159">
        <f t="shared" si="13"/>
        <v>0</v>
      </c>
      <c r="T17" s="159">
        <f t="shared" si="14"/>
        <v>0</v>
      </c>
      <c r="U17" s="155">
        <f t="shared" si="3"/>
        <v>0</v>
      </c>
      <c r="V17" s="159">
        <f t="shared" si="15"/>
        <v>0</v>
      </c>
      <c r="W17" s="159">
        <f t="shared" si="16"/>
        <v>0</v>
      </c>
      <c r="X17" s="155">
        <f t="shared" si="4"/>
        <v>0</v>
      </c>
      <c r="Y17" s="159">
        <f t="shared" si="5"/>
        <v>131200</v>
      </c>
      <c r="Z17" s="159">
        <f t="shared" si="17"/>
        <v>28800</v>
      </c>
      <c r="AA17" s="155">
        <f t="shared" si="17"/>
        <v>160000</v>
      </c>
    </row>
    <row r="18" spans="1:27" ht="28.15" thickBot="1">
      <c r="A18" s="150">
        <v>8</v>
      </c>
      <c r="B18" s="153" t="s">
        <v>27</v>
      </c>
      <c r="C18" s="151">
        <f t="shared" si="6"/>
        <v>50</v>
      </c>
      <c r="D18" s="69">
        <f>+'Componente 1'!I14</f>
        <v>125000</v>
      </c>
      <c r="E18" s="150">
        <f>+'Componente 1'!D14</f>
        <v>0</v>
      </c>
      <c r="F18" s="150">
        <f>+'Componente 1'!E14</f>
        <v>10</v>
      </c>
      <c r="G18" s="150">
        <f>+'Componente 1'!F14</f>
        <v>15</v>
      </c>
      <c r="H18" s="150">
        <f>+'Componente 1'!G14</f>
        <v>15</v>
      </c>
      <c r="I18" s="150">
        <f>+'Componente 1'!H14</f>
        <v>10</v>
      </c>
      <c r="J18" s="159">
        <f t="shared" si="7"/>
        <v>0</v>
      </c>
      <c r="K18" s="159">
        <f t="shared" si="8"/>
        <v>0</v>
      </c>
      <c r="L18" s="155">
        <f>+E18*$D18</f>
        <v>0</v>
      </c>
      <c r="M18" s="159">
        <f t="shared" si="9"/>
        <v>1024999.9999999999</v>
      </c>
      <c r="N18" s="159">
        <f t="shared" si="10"/>
        <v>225000</v>
      </c>
      <c r="O18" s="155">
        <f t="shared" si="18"/>
        <v>1250000</v>
      </c>
      <c r="P18" s="159">
        <f t="shared" si="11"/>
        <v>1537500</v>
      </c>
      <c r="Q18" s="159">
        <f t="shared" si="12"/>
        <v>337500</v>
      </c>
      <c r="R18" s="155">
        <f t="shared" si="2"/>
        <v>1875000</v>
      </c>
      <c r="S18" s="159">
        <f t="shared" si="13"/>
        <v>1537500</v>
      </c>
      <c r="T18" s="159">
        <f t="shared" si="14"/>
        <v>337500</v>
      </c>
      <c r="U18" s="155">
        <f t="shared" si="3"/>
        <v>1875000</v>
      </c>
      <c r="V18" s="159">
        <f t="shared" si="15"/>
        <v>1024999.9999999999</v>
      </c>
      <c r="W18" s="159">
        <f t="shared" si="16"/>
        <v>225000</v>
      </c>
      <c r="X18" s="155">
        <f t="shared" si="4"/>
        <v>1250000</v>
      </c>
      <c r="Y18" s="159">
        <f>+J18+M18+P18+S18+V18</f>
        <v>5125000</v>
      </c>
      <c r="Z18" s="159">
        <f t="shared" si="17"/>
        <v>1125000</v>
      </c>
      <c r="AA18" s="160">
        <f t="shared" si="17"/>
        <v>6250000</v>
      </c>
    </row>
    <row r="19" spans="1:27" ht="28.15" thickBot="1">
      <c r="A19" s="119"/>
      <c r="B19" s="119" t="s">
        <v>28</v>
      </c>
      <c r="C19" s="81"/>
      <c r="D19" s="120"/>
      <c r="E19" s="120"/>
      <c r="F19" s="120"/>
      <c r="G19" s="120"/>
      <c r="H19" s="120"/>
      <c r="I19" s="120"/>
      <c r="J19" s="121">
        <f>+SUM(J20:J27)</f>
        <v>0</v>
      </c>
      <c r="K19" s="121">
        <f t="shared" ref="K19:Z19" si="19">+SUM(K20:K27)</f>
        <v>0</v>
      </c>
      <c r="L19" s="121">
        <f t="shared" si="19"/>
        <v>0</v>
      </c>
      <c r="M19" s="121">
        <f t="shared" si="19"/>
        <v>1291500</v>
      </c>
      <c r="N19" s="121">
        <f t="shared" si="19"/>
        <v>283500</v>
      </c>
      <c r="O19" s="121">
        <f t="shared" si="19"/>
        <v>1575000</v>
      </c>
      <c r="P19" s="121">
        <f t="shared" si="19"/>
        <v>11533300</v>
      </c>
      <c r="Q19" s="121">
        <f t="shared" si="19"/>
        <v>2531700</v>
      </c>
      <c r="R19" s="121">
        <f t="shared" si="19"/>
        <v>14065000</v>
      </c>
      <c r="S19" s="121">
        <f t="shared" si="19"/>
        <v>24657400</v>
      </c>
      <c r="T19" s="121">
        <f t="shared" si="19"/>
        <v>5412600</v>
      </c>
      <c r="U19" s="121">
        <f t="shared" si="19"/>
        <v>30070000</v>
      </c>
      <c r="V19" s="121">
        <f>+SUM(V20:V27)</f>
        <v>5567800</v>
      </c>
      <c r="W19" s="121">
        <f>+SUM(W20:W27)</f>
        <v>1222200</v>
      </c>
      <c r="X19" s="121">
        <f>+SUM(X20:X27)</f>
        <v>6790000</v>
      </c>
      <c r="Y19" s="121">
        <f>+SUM(Y20:Y27)</f>
        <v>43050000</v>
      </c>
      <c r="Z19" s="142">
        <f t="shared" si="19"/>
        <v>9450000</v>
      </c>
      <c r="AA19" s="136">
        <f>+SUM(AA20:AA27)</f>
        <v>52500000</v>
      </c>
    </row>
    <row r="20" spans="1:27">
      <c r="A20" s="150">
        <v>9</v>
      </c>
      <c r="B20" s="91" t="s">
        <v>29</v>
      </c>
      <c r="C20" s="115">
        <f>+'Componente 2'!B7</f>
        <v>7</v>
      </c>
      <c r="D20" s="115">
        <f>+'Componente 2'!U2+'Componente 2'!U5</f>
        <v>75000</v>
      </c>
      <c r="E20" s="115">
        <f>+'Componente 2'!D7</f>
        <v>0</v>
      </c>
      <c r="F20" s="115">
        <v>7</v>
      </c>
      <c r="G20" s="115">
        <v>0</v>
      </c>
      <c r="H20" s="115">
        <f>+'Componente 2'!G7</f>
        <v>0</v>
      </c>
      <c r="I20" s="115">
        <f>+'Componente 2'!H7</f>
        <v>0</v>
      </c>
      <c r="J20" s="141">
        <f>+L20*82%</f>
        <v>0</v>
      </c>
      <c r="K20" s="141">
        <f>18%*L20</f>
        <v>0</v>
      </c>
      <c r="L20" s="115">
        <f>+'Componente 2'!I7</f>
        <v>0</v>
      </c>
      <c r="M20" s="141">
        <f>+O20*82%</f>
        <v>430500</v>
      </c>
      <c r="N20" s="141">
        <f>18%*O20</f>
        <v>94500</v>
      </c>
      <c r="O20" s="115">
        <f>+F20*D20</f>
        <v>525000</v>
      </c>
      <c r="P20" s="141">
        <f>+R20*82%</f>
        <v>0</v>
      </c>
      <c r="Q20" s="141">
        <f>18%*R20</f>
        <v>0</v>
      </c>
      <c r="R20" s="115">
        <f>+G20*D20</f>
        <v>0</v>
      </c>
      <c r="S20" s="141">
        <f>+U20*82%</f>
        <v>0</v>
      </c>
      <c r="T20" s="141">
        <f>18%*U20</f>
        <v>0</v>
      </c>
      <c r="U20" s="115">
        <f>+'Componente 2'!L7</f>
        <v>0</v>
      </c>
      <c r="V20" s="141">
        <f>+X20*82%</f>
        <v>0</v>
      </c>
      <c r="W20" s="141">
        <f>18%*X20</f>
        <v>0</v>
      </c>
      <c r="X20" s="115">
        <f>+'Componente 2'!M7</f>
        <v>0</v>
      </c>
      <c r="Y20" s="141">
        <f>+J20+M20+P20+S20+V20</f>
        <v>430500</v>
      </c>
      <c r="Z20" s="141">
        <f>+K20+N20+Q20+T20+W20</f>
        <v>94500</v>
      </c>
      <c r="AA20" s="143">
        <f>+L20+O20+R20+U20+X20</f>
        <v>525000</v>
      </c>
    </row>
    <row r="21" spans="1:27">
      <c r="A21" s="213">
        <v>10</v>
      </c>
      <c r="B21" s="91" t="s">
        <v>30</v>
      </c>
      <c r="C21" s="115">
        <v>7</v>
      </c>
      <c r="D21" s="115">
        <f>+'Componente 2'!U6+'Componente 2'!U3</f>
        <v>2300000</v>
      </c>
      <c r="E21" s="115">
        <f>+'Componente 2'!D8</f>
        <v>0</v>
      </c>
      <c r="F21" s="115">
        <v>0</v>
      </c>
      <c r="G21" s="115">
        <v>3</v>
      </c>
      <c r="H21" s="115">
        <v>4</v>
      </c>
      <c r="I21" s="115">
        <f>+'Componente 2'!H8</f>
        <v>0</v>
      </c>
      <c r="J21" s="141">
        <f t="shared" ref="J21:J27" si="20">+L21*82%</f>
        <v>0</v>
      </c>
      <c r="K21" s="141">
        <f t="shared" ref="K21:K27" si="21">18%*L21</f>
        <v>0</v>
      </c>
      <c r="L21" s="115">
        <f>+'Componente 2'!I8</f>
        <v>0</v>
      </c>
      <c r="M21" s="141">
        <f t="shared" ref="M21:M27" si="22">+O21*82%</f>
        <v>0</v>
      </c>
      <c r="N21" s="141">
        <f t="shared" ref="N21:N27" si="23">18%*O21</f>
        <v>0</v>
      </c>
      <c r="O21" s="115">
        <v>0</v>
      </c>
      <c r="P21" s="141">
        <f t="shared" ref="P21:P27" si="24">+R21*82%</f>
        <v>5658000</v>
      </c>
      <c r="Q21" s="141">
        <f t="shared" ref="Q21:Q27" si="25">18%*R21</f>
        <v>1242000</v>
      </c>
      <c r="R21" s="115">
        <f>+G21*D21</f>
        <v>6900000</v>
      </c>
      <c r="S21" s="141">
        <f t="shared" ref="S21:S27" si="26">+U21*82%</f>
        <v>7544000</v>
      </c>
      <c r="T21" s="141">
        <f t="shared" ref="T21:T27" si="27">18%*U21</f>
        <v>1656000</v>
      </c>
      <c r="U21" s="115">
        <f>+H21*D21</f>
        <v>9200000</v>
      </c>
      <c r="V21" s="141">
        <f t="shared" ref="V21:V27" si="28">+X21*82%</f>
        <v>0</v>
      </c>
      <c r="W21" s="141">
        <f t="shared" ref="W21:W27" si="29">18%*X21</f>
        <v>0</v>
      </c>
      <c r="X21" s="115">
        <f>+'Componente 2'!M8</f>
        <v>0</v>
      </c>
      <c r="Y21" s="141">
        <f t="shared" ref="Y21:Y27" si="30">+J21+M21+P21+S21+V21</f>
        <v>13202000</v>
      </c>
      <c r="Z21" s="141">
        <f t="shared" ref="Z21:Z27" si="31">+K21+N21+Q21+T21+W21</f>
        <v>2898000</v>
      </c>
      <c r="AA21" s="143">
        <f t="shared" ref="AA21:AA27" si="32">+L21+O21+R21+U21+X21</f>
        <v>16100000</v>
      </c>
    </row>
    <row r="22" spans="1:27">
      <c r="A22" s="150">
        <v>11</v>
      </c>
      <c r="B22" s="91" t="s">
        <v>31</v>
      </c>
      <c r="C22" s="115">
        <v>7</v>
      </c>
      <c r="D22" s="115">
        <f>+'Componente 2'!U4</f>
        <v>125000</v>
      </c>
      <c r="E22" s="115">
        <f>+'Componente 2'!D9</f>
        <v>0</v>
      </c>
      <c r="F22" s="115">
        <f>+'Componente 2'!E9</f>
        <v>0</v>
      </c>
      <c r="G22" s="115">
        <f>+'Componente 2'!F9</f>
        <v>3</v>
      </c>
      <c r="H22" s="115">
        <f>+'Componente 2'!G9</f>
        <v>4</v>
      </c>
      <c r="I22" s="115">
        <f>+'Componente 2'!H9</f>
        <v>0</v>
      </c>
      <c r="J22" s="141">
        <f t="shared" si="20"/>
        <v>0</v>
      </c>
      <c r="K22" s="141">
        <f t="shared" si="21"/>
        <v>0</v>
      </c>
      <c r="L22" s="115">
        <f>+'Componente 2'!I9</f>
        <v>0</v>
      </c>
      <c r="M22" s="141">
        <f t="shared" si="22"/>
        <v>0</v>
      </c>
      <c r="N22" s="141">
        <f t="shared" si="23"/>
        <v>0</v>
      </c>
      <c r="O22" s="115">
        <f>+'Componente 2'!J9</f>
        <v>0</v>
      </c>
      <c r="P22" s="141">
        <f t="shared" si="24"/>
        <v>307500</v>
      </c>
      <c r="Q22" s="141">
        <f t="shared" si="25"/>
        <v>67500</v>
      </c>
      <c r="R22" s="115">
        <f>+G22*D22</f>
        <v>375000</v>
      </c>
      <c r="S22" s="141">
        <f t="shared" si="26"/>
        <v>410000</v>
      </c>
      <c r="T22" s="141">
        <f t="shared" si="27"/>
        <v>90000</v>
      </c>
      <c r="U22" s="115">
        <f>+D22*H22</f>
        <v>500000</v>
      </c>
      <c r="V22" s="141">
        <f t="shared" si="28"/>
        <v>0</v>
      </c>
      <c r="W22" s="141">
        <f t="shared" si="29"/>
        <v>0</v>
      </c>
      <c r="X22" s="115">
        <f>+'Componente 2'!M9</f>
        <v>0</v>
      </c>
      <c r="Y22" s="141">
        <f t="shared" si="30"/>
        <v>717500</v>
      </c>
      <c r="Z22" s="141">
        <f t="shared" si="31"/>
        <v>157500</v>
      </c>
      <c r="AA22" s="143">
        <f t="shared" si="32"/>
        <v>875000</v>
      </c>
    </row>
    <row r="23" spans="1:27">
      <c r="A23" s="150">
        <v>12</v>
      </c>
      <c r="B23" s="91" t="s">
        <v>32</v>
      </c>
      <c r="C23" s="115">
        <v>7</v>
      </c>
      <c r="D23" s="115">
        <v>0</v>
      </c>
      <c r="E23" s="115">
        <f>+'Componente 2'!D10</f>
        <v>0</v>
      </c>
      <c r="F23" s="115">
        <f>+'Componente 2'!E10</f>
        <v>0</v>
      </c>
      <c r="G23" s="115"/>
      <c r="H23" s="115">
        <v>3</v>
      </c>
      <c r="I23" s="115">
        <v>4</v>
      </c>
      <c r="J23" s="141">
        <f t="shared" si="20"/>
        <v>0</v>
      </c>
      <c r="K23" s="141">
        <f t="shared" si="21"/>
        <v>0</v>
      </c>
      <c r="L23" s="115">
        <f>+'Componente 2'!I10</f>
        <v>0</v>
      </c>
      <c r="M23" s="141">
        <f t="shared" si="22"/>
        <v>0</v>
      </c>
      <c r="N23" s="141">
        <f t="shared" si="23"/>
        <v>0</v>
      </c>
      <c r="O23" s="115">
        <f>+'Componente 2'!J10</f>
        <v>0</v>
      </c>
      <c r="P23" s="141">
        <f t="shared" si="24"/>
        <v>0</v>
      </c>
      <c r="Q23" s="141">
        <f t="shared" si="25"/>
        <v>0</v>
      </c>
      <c r="R23" s="115">
        <v>0</v>
      </c>
      <c r="S23" s="141">
        <f t="shared" si="26"/>
        <v>0</v>
      </c>
      <c r="T23" s="141">
        <f t="shared" si="27"/>
        <v>0</v>
      </c>
      <c r="U23" s="115">
        <v>0</v>
      </c>
      <c r="V23" s="141">
        <f t="shared" si="28"/>
        <v>0</v>
      </c>
      <c r="W23" s="141">
        <f t="shared" si="29"/>
        <v>0</v>
      </c>
      <c r="X23" s="115">
        <v>0</v>
      </c>
      <c r="Y23" s="141">
        <f t="shared" si="30"/>
        <v>0</v>
      </c>
      <c r="Z23" s="141">
        <f t="shared" si="31"/>
        <v>0</v>
      </c>
      <c r="AA23" s="143">
        <f t="shared" si="32"/>
        <v>0</v>
      </c>
    </row>
    <row r="24" spans="1:27">
      <c r="A24" s="150">
        <v>13</v>
      </c>
      <c r="B24" s="91" t="s">
        <v>33</v>
      </c>
      <c r="C24" s="115">
        <v>10</v>
      </c>
      <c r="D24" s="115">
        <f>+'Componente 2'!U7+'Componente 2'!U9</f>
        <v>105000</v>
      </c>
      <c r="E24" s="115">
        <f>+'Componente 2'!D11</f>
        <v>0</v>
      </c>
      <c r="F24" s="115">
        <v>10</v>
      </c>
      <c r="G24" s="115"/>
      <c r="H24" s="115"/>
      <c r="I24" s="115">
        <f>+'Componente 2'!H11</f>
        <v>0</v>
      </c>
      <c r="J24" s="141">
        <f t="shared" si="20"/>
        <v>0</v>
      </c>
      <c r="K24" s="141">
        <f t="shared" si="21"/>
        <v>0</v>
      </c>
      <c r="L24" s="115">
        <f>+'Componente 2'!I11</f>
        <v>0</v>
      </c>
      <c r="M24" s="141">
        <f t="shared" si="22"/>
        <v>861000</v>
      </c>
      <c r="N24" s="141">
        <f t="shared" si="23"/>
        <v>189000</v>
      </c>
      <c r="O24" s="115">
        <f>+F24*D24</f>
        <v>1050000</v>
      </c>
      <c r="P24" s="141">
        <f t="shared" si="24"/>
        <v>0</v>
      </c>
      <c r="Q24" s="141">
        <f t="shared" si="25"/>
        <v>0</v>
      </c>
      <c r="R24" s="115">
        <v>0</v>
      </c>
      <c r="S24" s="141">
        <f t="shared" si="26"/>
        <v>0</v>
      </c>
      <c r="T24" s="141">
        <f t="shared" si="27"/>
        <v>0</v>
      </c>
      <c r="U24" s="115">
        <v>0</v>
      </c>
      <c r="V24" s="141">
        <f t="shared" si="28"/>
        <v>0</v>
      </c>
      <c r="W24" s="141">
        <f t="shared" si="29"/>
        <v>0</v>
      </c>
      <c r="X24" s="115">
        <f>+'Componente 2'!M11</f>
        <v>0</v>
      </c>
      <c r="Y24" s="141">
        <f t="shared" si="30"/>
        <v>861000</v>
      </c>
      <c r="Z24" s="141">
        <f t="shared" si="31"/>
        <v>189000</v>
      </c>
      <c r="AA24" s="143">
        <f t="shared" si="32"/>
        <v>1050000</v>
      </c>
    </row>
    <row r="25" spans="1:27">
      <c r="A25" s="213">
        <v>14</v>
      </c>
      <c r="B25" s="91" t="s">
        <v>34</v>
      </c>
      <c r="C25" s="115">
        <v>10</v>
      </c>
      <c r="D25" s="115">
        <f>+'Componente 2'!U11+'Componente 2'!U8</f>
        <v>3115000</v>
      </c>
      <c r="E25" s="115">
        <f>+'Componente 2'!D12</f>
        <v>0</v>
      </c>
      <c r="F25" s="115">
        <f>+'Componente 2'!E12</f>
        <v>0</v>
      </c>
      <c r="G25" s="115">
        <f>+'Componente 2'!F12</f>
        <v>2</v>
      </c>
      <c r="H25" s="115">
        <f>+'Componente 2'!G12</f>
        <v>6</v>
      </c>
      <c r="I25" s="115">
        <f>+'Componente 2'!H12</f>
        <v>2</v>
      </c>
      <c r="J25" s="141">
        <f t="shared" si="20"/>
        <v>0</v>
      </c>
      <c r="K25" s="141">
        <f t="shared" si="21"/>
        <v>0</v>
      </c>
      <c r="L25" s="115">
        <f>+'Componente 2'!I12</f>
        <v>0</v>
      </c>
      <c r="M25" s="141">
        <f t="shared" si="22"/>
        <v>0</v>
      </c>
      <c r="N25" s="141">
        <f t="shared" si="23"/>
        <v>0</v>
      </c>
      <c r="O25" s="115">
        <f>+'Componente 2'!J12</f>
        <v>0</v>
      </c>
      <c r="P25" s="141">
        <f t="shared" si="24"/>
        <v>5108600</v>
      </c>
      <c r="Q25" s="141">
        <f t="shared" si="25"/>
        <v>1121400</v>
      </c>
      <c r="R25" s="115">
        <f>+G25*D25</f>
        <v>6230000</v>
      </c>
      <c r="S25" s="141">
        <f t="shared" si="26"/>
        <v>15325800</v>
      </c>
      <c r="T25" s="141">
        <f t="shared" si="27"/>
        <v>3364200</v>
      </c>
      <c r="U25" s="115">
        <f>+H25*D25</f>
        <v>18690000</v>
      </c>
      <c r="V25" s="141">
        <f t="shared" ref="V25" si="33">+X25*82%</f>
        <v>5108600</v>
      </c>
      <c r="W25" s="141">
        <f t="shared" ref="W25" si="34">18%*X25</f>
        <v>1121400</v>
      </c>
      <c r="X25" s="115">
        <f>+I25*D25</f>
        <v>6230000</v>
      </c>
      <c r="Y25" s="141">
        <f t="shared" si="30"/>
        <v>25543000</v>
      </c>
      <c r="Z25" s="141">
        <f t="shared" si="31"/>
        <v>5607000</v>
      </c>
      <c r="AA25" s="143">
        <f t="shared" si="32"/>
        <v>31150000</v>
      </c>
    </row>
    <row r="26" spans="1:27">
      <c r="A26" s="150">
        <v>15</v>
      </c>
      <c r="B26" s="91" t="s">
        <v>35</v>
      </c>
      <c r="C26" s="115">
        <v>10</v>
      </c>
      <c r="D26" s="115">
        <f>+'Componente 2'!U10</f>
        <v>280000</v>
      </c>
      <c r="E26" s="115">
        <f>+'Componente 2'!D13</f>
        <v>0</v>
      </c>
      <c r="F26" s="115">
        <v>0</v>
      </c>
      <c r="G26" s="115">
        <v>2</v>
      </c>
      <c r="H26" s="115">
        <v>6</v>
      </c>
      <c r="I26" s="115">
        <v>2</v>
      </c>
      <c r="J26" s="141">
        <f t="shared" si="20"/>
        <v>0</v>
      </c>
      <c r="K26" s="141">
        <f t="shared" si="21"/>
        <v>0</v>
      </c>
      <c r="L26" s="115">
        <f>+'Componente 2'!I13</f>
        <v>0</v>
      </c>
      <c r="M26" s="141">
        <f t="shared" si="22"/>
        <v>0</v>
      </c>
      <c r="N26" s="141">
        <f t="shared" si="23"/>
        <v>0</v>
      </c>
      <c r="O26" s="115">
        <v>0</v>
      </c>
      <c r="P26" s="141">
        <f t="shared" si="24"/>
        <v>459200</v>
      </c>
      <c r="Q26" s="141">
        <f t="shared" si="25"/>
        <v>100800</v>
      </c>
      <c r="R26" s="115">
        <f>+G26*D26</f>
        <v>560000</v>
      </c>
      <c r="S26" s="141">
        <f t="shared" si="26"/>
        <v>1377600</v>
      </c>
      <c r="T26" s="141">
        <f t="shared" si="27"/>
        <v>302400</v>
      </c>
      <c r="U26" s="115">
        <f>+H26*D26</f>
        <v>1680000</v>
      </c>
      <c r="V26" s="141">
        <f t="shared" si="28"/>
        <v>459200</v>
      </c>
      <c r="W26" s="141">
        <f t="shared" si="29"/>
        <v>100800</v>
      </c>
      <c r="X26" s="115">
        <f>+I26*D26</f>
        <v>560000</v>
      </c>
      <c r="Y26" s="141">
        <f t="shared" si="30"/>
        <v>2296000</v>
      </c>
      <c r="Z26" s="141">
        <f t="shared" si="31"/>
        <v>504000</v>
      </c>
      <c r="AA26" s="143">
        <f t="shared" si="32"/>
        <v>2800000</v>
      </c>
    </row>
    <row r="27" spans="1:27" ht="16.149999999999999" thickBot="1">
      <c r="A27" s="150">
        <v>16</v>
      </c>
      <c r="B27" s="91" t="s">
        <v>36</v>
      </c>
      <c r="C27" s="115">
        <f>+'Componente 2'!B14</f>
        <v>10</v>
      </c>
      <c r="D27" s="115">
        <v>0</v>
      </c>
      <c r="E27" s="115">
        <f>+'Componente 2'!D14</f>
        <v>0</v>
      </c>
      <c r="F27" s="115">
        <v>0</v>
      </c>
      <c r="G27" s="115">
        <v>0</v>
      </c>
      <c r="H27" s="115">
        <f>+'Componente 2'!G14</f>
        <v>0</v>
      </c>
      <c r="I27" s="115">
        <v>8</v>
      </c>
      <c r="J27" s="141">
        <f t="shared" si="20"/>
        <v>0</v>
      </c>
      <c r="K27" s="141">
        <f t="shared" si="21"/>
        <v>0</v>
      </c>
      <c r="L27" s="115">
        <f>+'Componente 2'!I14</f>
        <v>0</v>
      </c>
      <c r="M27" s="141">
        <f t="shared" si="22"/>
        <v>0</v>
      </c>
      <c r="N27" s="141">
        <f t="shared" si="23"/>
        <v>0</v>
      </c>
      <c r="O27" s="115">
        <v>0</v>
      </c>
      <c r="P27" s="141">
        <f t="shared" si="24"/>
        <v>0</v>
      </c>
      <c r="Q27" s="141">
        <f t="shared" si="25"/>
        <v>0</v>
      </c>
      <c r="R27" s="115">
        <v>0</v>
      </c>
      <c r="S27" s="141">
        <f t="shared" si="26"/>
        <v>0</v>
      </c>
      <c r="T27" s="141">
        <f t="shared" si="27"/>
        <v>0</v>
      </c>
      <c r="U27" s="115">
        <v>0</v>
      </c>
      <c r="V27" s="141">
        <f t="shared" si="28"/>
        <v>0</v>
      </c>
      <c r="W27" s="141">
        <f t="shared" si="29"/>
        <v>0</v>
      </c>
      <c r="X27" s="115">
        <f>+'Componente 2'!M14</f>
        <v>0</v>
      </c>
      <c r="Y27" s="141">
        <f t="shared" si="30"/>
        <v>0</v>
      </c>
      <c r="Z27" s="141">
        <f t="shared" si="31"/>
        <v>0</v>
      </c>
      <c r="AA27" s="144">
        <f t="shared" si="32"/>
        <v>0</v>
      </c>
    </row>
    <row r="28" spans="1:27" ht="26.25" customHeight="1" thickBot="1">
      <c r="A28" s="119"/>
      <c r="B28" s="119" t="s">
        <v>37</v>
      </c>
      <c r="C28" s="81"/>
      <c r="D28" s="120"/>
      <c r="E28" s="120"/>
      <c r="F28" s="120"/>
      <c r="G28" s="120"/>
      <c r="H28" s="120"/>
      <c r="I28" s="120"/>
      <c r="J28" s="121">
        <f t="shared" ref="J28:Q28" si="35">+SUM(J29:J43)</f>
        <v>0</v>
      </c>
      <c r="K28" s="121">
        <f t="shared" si="35"/>
        <v>0</v>
      </c>
      <c r="L28" s="121">
        <f t="shared" si="35"/>
        <v>0</v>
      </c>
      <c r="M28" s="121">
        <f t="shared" si="35"/>
        <v>1079725.3642077863</v>
      </c>
      <c r="N28" s="121">
        <f t="shared" si="35"/>
        <v>237012.88482609944</v>
      </c>
      <c r="O28" s="121">
        <f t="shared" si="35"/>
        <v>1316738.2490338858</v>
      </c>
      <c r="P28" s="121">
        <f t="shared" si="35"/>
        <v>22121165.056103252</v>
      </c>
      <c r="Q28" s="121">
        <f t="shared" si="35"/>
        <v>4855865.5001202263</v>
      </c>
      <c r="R28" s="121">
        <f>+SUM(R29:R43)</f>
        <v>26977030.556223482</v>
      </c>
      <c r="S28" s="121">
        <f t="shared" ref="S28" si="36">+SUM(S29:S43)</f>
        <v>16436185.16586829</v>
      </c>
      <c r="T28" s="121">
        <f t="shared" ref="T28" si="37">+SUM(T29:T43)</f>
        <v>3607943.0851905998</v>
      </c>
      <c r="U28" s="121">
        <f t="shared" ref="U28" si="38">+SUM(U29:U43)</f>
        <v>20044128.251058891</v>
      </c>
      <c r="V28" s="121">
        <f t="shared" ref="V28" si="39">+SUM(V29:V43)</f>
        <v>23851985.637580574</v>
      </c>
      <c r="W28" s="121">
        <f t="shared" ref="W28" si="40">+SUM(W29:W43)</f>
        <v>5235801.7253225651</v>
      </c>
      <c r="X28" s="121">
        <f t="shared" ref="X28" si="41">+SUM(X29:X43)</f>
        <v>29087787.36290314</v>
      </c>
      <c r="Y28" s="121">
        <f>+SUM(Y29:Y43)</f>
        <v>63489061.223759905</v>
      </c>
      <c r="Z28" s="142">
        <f t="shared" ref="Z28" si="42">+SUM(Z29:Z43)</f>
        <v>13936623.195459489</v>
      </c>
      <c r="AA28" s="136">
        <f>+SUM(AA29:AA43)</f>
        <v>77425684.419219404</v>
      </c>
    </row>
    <row r="29" spans="1:27">
      <c r="A29" s="150">
        <v>17</v>
      </c>
      <c r="B29" s="94" t="s">
        <v>38</v>
      </c>
      <c r="C29" s="115"/>
      <c r="D29" s="115"/>
      <c r="E29" s="115">
        <f>+'Metas Comp. 3'!B4</f>
        <v>0</v>
      </c>
      <c r="F29" s="115">
        <v>1</v>
      </c>
      <c r="G29" s="115">
        <f>+'Metas Comp. 3'!D4</f>
        <v>0</v>
      </c>
      <c r="H29" s="115">
        <v>0</v>
      </c>
      <c r="I29" s="115">
        <f>+'Metas Comp. 3'!F4</f>
        <v>0</v>
      </c>
      <c r="J29" s="141">
        <f t="shared" ref="J29:J43" si="43">+L29*82%</f>
        <v>0</v>
      </c>
      <c r="K29" s="141">
        <f t="shared" ref="K29:K43" si="44">18%*L29</f>
        <v>0</v>
      </c>
      <c r="L29" s="115">
        <v>0</v>
      </c>
      <c r="M29" s="141">
        <f t="shared" ref="M29:M43" si="45">+O29*82%</f>
        <v>1079725.3642077863</v>
      </c>
      <c r="N29" s="141">
        <f t="shared" ref="N29:N43" si="46">18%*O29</f>
        <v>237012.88482609944</v>
      </c>
      <c r="O29" s="115">
        <f>+'Componente 3'!N16+'Componente 3'!N17+'Componente 3'!N22</f>
        <v>1316738.2490338858</v>
      </c>
      <c r="P29" s="141">
        <f t="shared" ref="P29:P43" si="47">+R29*82%</f>
        <v>0</v>
      </c>
      <c r="Q29" s="141">
        <f t="shared" ref="Q29:Q43" si="48">18%*R29</f>
        <v>0</v>
      </c>
      <c r="R29" s="115">
        <v>0</v>
      </c>
      <c r="S29" s="141">
        <f t="shared" ref="S29:S43" si="49">+U29*82%</f>
        <v>0</v>
      </c>
      <c r="T29" s="141">
        <f t="shared" ref="T29:T43" si="50">18%*U29</f>
        <v>0</v>
      </c>
      <c r="U29" s="115">
        <v>0</v>
      </c>
      <c r="V29" s="141">
        <f t="shared" ref="V29:V43" si="51">+X29*82%</f>
        <v>0</v>
      </c>
      <c r="W29" s="141">
        <f t="shared" ref="W29:W43" si="52">18%*X29</f>
        <v>0</v>
      </c>
      <c r="X29" s="115">
        <f>+'Componente 3'!Q8</f>
        <v>0</v>
      </c>
      <c r="Y29" s="141">
        <f>+J29+M29+P29+S29+V29</f>
        <v>1079725.3642077863</v>
      </c>
      <c r="Z29" s="141">
        <f t="shared" ref="Z29:AA43" si="53">+K29+N29+Q29+T29+W29</f>
        <v>237012.88482609944</v>
      </c>
      <c r="AA29" s="115">
        <f t="shared" si="53"/>
        <v>1316738.2490338858</v>
      </c>
    </row>
    <row r="30" spans="1:27">
      <c r="A30" s="213">
        <v>18</v>
      </c>
      <c r="B30" s="94" t="s">
        <v>39</v>
      </c>
      <c r="C30" s="115"/>
      <c r="D30" s="115"/>
      <c r="E30" s="115">
        <f>+'Metas Comp. 3'!B5</f>
        <v>0</v>
      </c>
      <c r="F30" s="115">
        <f>+'Metas Comp. 3'!C5</f>
        <v>0</v>
      </c>
      <c r="G30" s="115">
        <f>+'Metas Comp. 3'!D5</f>
        <v>0</v>
      </c>
      <c r="H30" s="115">
        <v>1</v>
      </c>
      <c r="I30" s="115">
        <f>+'Metas Comp. 3'!F5</f>
        <v>0</v>
      </c>
      <c r="J30" s="141">
        <f t="shared" si="43"/>
        <v>0</v>
      </c>
      <c r="K30" s="141">
        <f t="shared" si="44"/>
        <v>0</v>
      </c>
      <c r="L30" s="115">
        <f>+'Componente 3'!M9</f>
        <v>0</v>
      </c>
      <c r="M30" s="141">
        <f t="shared" si="45"/>
        <v>0</v>
      </c>
      <c r="N30" s="141">
        <f t="shared" si="46"/>
        <v>0</v>
      </c>
      <c r="O30" s="115">
        <f>+'Componente 3'!N9</f>
        <v>0</v>
      </c>
      <c r="P30" s="141">
        <f t="shared" si="47"/>
        <v>3698414.59114803</v>
      </c>
      <c r="Q30" s="141">
        <f t="shared" si="48"/>
        <v>811847.10537395789</v>
      </c>
      <c r="R30" s="115">
        <f>+'Componente 3'!O18+'Componente 3'!O19+'Componente 3'!O22</f>
        <v>4510261.6965219881</v>
      </c>
      <c r="S30" s="141">
        <f t="shared" si="49"/>
        <v>9137230.6778700761</v>
      </c>
      <c r="T30" s="141">
        <f t="shared" si="50"/>
        <v>2005733.5634348947</v>
      </c>
      <c r="U30" s="115">
        <f>+'Componente 3'!P18+'Componente 3'!P19+'Componente 3'!P22</f>
        <v>11142964.241304971</v>
      </c>
      <c r="V30" s="141">
        <f t="shared" si="51"/>
        <v>5511353.2867220454</v>
      </c>
      <c r="W30" s="141">
        <f t="shared" si="52"/>
        <v>1209809.2580609368</v>
      </c>
      <c r="X30" s="115">
        <f>+'Componente 3'!Q18+'Componente 3'!Q19+'Componente 3'!Q22</f>
        <v>6721162.5447829822</v>
      </c>
      <c r="Y30" s="141">
        <f t="shared" ref="Y30:Y43" si="54">+J30+M30+P30+S30+V30</f>
        <v>18346998.555740152</v>
      </c>
      <c r="Z30" s="141">
        <f t="shared" si="53"/>
        <v>4027389.9268697891</v>
      </c>
      <c r="AA30" s="115">
        <f t="shared" si="53"/>
        <v>22374388.482609943</v>
      </c>
    </row>
    <row r="31" spans="1:27" ht="27.6">
      <c r="A31" s="213">
        <v>19</v>
      </c>
      <c r="B31" s="94" t="s">
        <v>40</v>
      </c>
      <c r="C31" s="115"/>
      <c r="D31" s="115"/>
      <c r="E31" s="115">
        <f>+'Metas Comp. 3'!B7</f>
        <v>0</v>
      </c>
      <c r="F31" s="115">
        <f>+'Metas Comp. 3'!C7</f>
        <v>0</v>
      </c>
      <c r="G31" s="115">
        <v>1</v>
      </c>
      <c r="H31" s="115">
        <v>0</v>
      </c>
      <c r="I31" s="115">
        <f>+'Metas Comp. 3'!F7</f>
        <v>0</v>
      </c>
      <c r="J31" s="141">
        <f t="shared" si="43"/>
        <v>0</v>
      </c>
      <c r="K31" s="141">
        <f t="shared" si="44"/>
        <v>0</v>
      </c>
      <c r="L31" s="115">
        <f>+'Componente 3'!M11</f>
        <v>0</v>
      </c>
      <c r="M31" s="141">
        <f t="shared" si="45"/>
        <v>0</v>
      </c>
      <c r="N31" s="141">
        <f t="shared" si="46"/>
        <v>0</v>
      </c>
      <c r="O31" s="115">
        <f>+'Componente 3'!N11</f>
        <v>0</v>
      </c>
      <c r="P31" s="141">
        <f t="shared" ref="P31" si="55">+R31*82%</f>
        <v>0</v>
      </c>
      <c r="Q31" s="141">
        <f t="shared" ref="Q31" si="56">18%*R31</f>
        <v>0</v>
      </c>
      <c r="R31" s="115">
        <v>0</v>
      </c>
      <c r="S31" s="141">
        <f t="shared" si="49"/>
        <v>262400</v>
      </c>
      <c r="T31" s="141">
        <f t="shared" si="50"/>
        <v>57600</v>
      </c>
      <c r="U31" s="115">
        <f>+'Componente 3'!P8</f>
        <v>320000</v>
      </c>
      <c r="V31" s="141">
        <f>+X31*82%</f>
        <v>0</v>
      </c>
      <c r="W31" s="141">
        <f>18%*X31</f>
        <v>0</v>
      </c>
      <c r="X31" s="115">
        <v>0</v>
      </c>
      <c r="Y31" s="141">
        <f t="shared" si="54"/>
        <v>262400</v>
      </c>
      <c r="Z31" s="141">
        <f t="shared" si="53"/>
        <v>57600</v>
      </c>
      <c r="AA31" s="115">
        <f t="shared" si="53"/>
        <v>320000</v>
      </c>
    </row>
    <row r="32" spans="1:27" ht="27.6">
      <c r="A32" s="150">
        <v>20</v>
      </c>
      <c r="B32" s="158" t="s">
        <v>41</v>
      </c>
      <c r="C32" s="115"/>
      <c r="D32" s="115"/>
      <c r="E32" s="115">
        <f>+'Metas Comp. 3'!B8</f>
        <v>0</v>
      </c>
      <c r="F32" s="115">
        <f>+'Metas Comp. 3'!C8</f>
        <v>0</v>
      </c>
      <c r="G32" s="115">
        <f>+'Metas Comp. 3'!D8</f>
        <v>0</v>
      </c>
      <c r="H32" s="115">
        <v>0</v>
      </c>
      <c r="I32" s="115">
        <v>1</v>
      </c>
      <c r="J32" s="141">
        <f t="shared" si="43"/>
        <v>0</v>
      </c>
      <c r="K32" s="141">
        <f t="shared" si="44"/>
        <v>0</v>
      </c>
      <c r="L32" s="115">
        <f>+'Componente 3'!M12</f>
        <v>0</v>
      </c>
      <c r="M32" s="141">
        <f t="shared" si="45"/>
        <v>0</v>
      </c>
      <c r="N32" s="141">
        <f t="shared" si="46"/>
        <v>0</v>
      </c>
      <c r="O32" s="115">
        <f>+'Componente 3'!N12</f>
        <v>0</v>
      </c>
      <c r="P32" s="141">
        <f t="shared" si="47"/>
        <v>0</v>
      </c>
      <c r="Q32" s="141">
        <f t="shared" si="48"/>
        <v>0</v>
      </c>
      <c r="R32" s="115">
        <f>+'Componente 3'!O12</f>
        <v>0</v>
      </c>
      <c r="S32" s="141">
        <f t="shared" si="49"/>
        <v>131884.42713278576</v>
      </c>
      <c r="T32" s="141">
        <f t="shared" si="50"/>
        <v>28950.240102318829</v>
      </c>
      <c r="U32" s="115">
        <f>(780750.811820896*0.2)*1.03</f>
        <v>160834.6672351046</v>
      </c>
      <c r="V32" s="141">
        <f t="shared" si="51"/>
        <v>527537.70853114303</v>
      </c>
      <c r="W32" s="141">
        <f t="shared" si="52"/>
        <v>115800.96040927531</v>
      </c>
      <c r="X32" s="115">
        <f>780750.811820896*0.8*1.03</f>
        <v>643338.6689404184</v>
      </c>
      <c r="Y32" s="141">
        <f t="shared" si="54"/>
        <v>659422.13566392881</v>
      </c>
      <c r="Z32" s="141">
        <f t="shared" si="53"/>
        <v>144751.20051159413</v>
      </c>
      <c r="AA32" s="115">
        <f t="shared" si="53"/>
        <v>804173.336175523</v>
      </c>
    </row>
    <row r="33" spans="1:29" ht="27.6">
      <c r="A33" s="213">
        <v>21</v>
      </c>
      <c r="B33" s="94" t="s">
        <v>42</v>
      </c>
      <c r="C33" s="115"/>
      <c r="D33" s="115"/>
      <c r="E33" s="115">
        <f>+'Metas Comp. 3'!B9</f>
        <v>0</v>
      </c>
      <c r="F33" s="115">
        <f>+'Metas Comp. 3'!C9</f>
        <v>0</v>
      </c>
      <c r="G33" s="115">
        <f>+'Metas Comp. 3'!D9</f>
        <v>0</v>
      </c>
      <c r="H33" s="115">
        <v>0</v>
      </c>
      <c r="I33" s="115">
        <v>1</v>
      </c>
      <c r="J33" s="141">
        <f t="shared" si="43"/>
        <v>0</v>
      </c>
      <c r="K33" s="141">
        <f t="shared" si="44"/>
        <v>0</v>
      </c>
      <c r="L33" s="115">
        <f>+'Componente 3'!M13</f>
        <v>0</v>
      </c>
      <c r="M33" s="141">
        <f t="shared" si="45"/>
        <v>0</v>
      </c>
      <c r="N33" s="141">
        <f t="shared" si="46"/>
        <v>0</v>
      </c>
      <c r="O33" s="115">
        <f>+'Componente 3'!N13</f>
        <v>0</v>
      </c>
      <c r="P33" s="141">
        <f t="shared" si="47"/>
        <v>0</v>
      </c>
      <c r="Q33" s="141">
        <f t="shared" si="48"/>
        <v>0</v>
      </c>
      <c r="R33" s="115">
        <f>+'Componente 3'!O13</f>
        <v>0</v>
      </c>
      <c r="S33" s="141">
        <f t="shared" si="49"/>
        <v>2226226.9805569802</v>
      </c>
      <c r="T33" s="141">
        <f t="shared" si="50"/>
        <v>488683.97134177614</v>
      </c>
      <c r="U33" s="115">
        <f>13179179.3781493*0.2*1.03</f>
        <v>2714910.9518987564</v>
      </c>
      <c r="V33" s="141">
        <f t="shared" si="51"/>
        <v>8904907.922227921</v>
      </c>
      <c r="W33" s="141">
        <f t="shared" si="52"/>
        <v>1954735.8853671046</v>
      </c>
      <c r="X33" s="115">
        <f>13179179.3781493*0.8*1.03</f>
        <v>10859643.807595026</v>
      </c>
      <c r="Y33" s="141">
        <f t="shared" si="54"/>
        <v>11131134.902784901</v>
      </c>
      <c r="Z33" s="141">
        <f t="shared" si="53"/>
        <v>2443419.8567088805</v>
      </c>
      <c r="AA33" s="115">
        <f t="shared" si="53"/>
        <v>13574554.759493783</v>
      </c>
    </row>
    <row r="34" spans="1:29" ht="27.6">
      <c r="A34" s="213">
        <v>22</v>
      </c>
      <c r="B34" s="94" t="s">
        <v>43</v>
      </c>
      <c r="C34" s="115"/>
      <c r="D34" s="115"/>
      <c r="E34" s="115">
        <f>+'Metas Comp. 3'!B10</f>
        <v>0</v>
      </c>
      <c r="F34" s="115">
        <f>+'Metas Comp. 3'!C10</f>
        <v>0</v>
      </c>
      <c r="G34" s="115">
        <f>+'Metas Comp. 3'!D10</f>
        <v>0</v>
      </c>
      <c r="H34" s="115">
        <v>0</v>
      </c>
      <c r="I34" s="115">
        <v>1</v>
      </c>
      <c r="J34" s="141">
        <f t="shared" si="43"/>
        <v>0</v>
      </c>
      <c r="K34" s="141">
        <f t="shared" si="44"/>
        <v>0</v>
      </c>
      <c r="L34" s="115">
        <f>+'Componente 3'!M14</f>
        <v>0</v>
      </c>
      <c r="M34" s="141">
        <f t="shared" si="45"/>
        <v>0</v>
      </c>
      <c r="N34" s="141">
        <f t="shared" si="46"/>
        <v>0</v>
      </c>
      <c r="O34" s="115">
        <f>+'Componente 3'!N14</f>
        <v>0</v>
      </c>
      <c r="P34" s="141">
        <f t="shared" si="47"/>
        <v>0</v>
      </c>
      <c r="Q34" s="141">
        <f t="shared" si="48"/>
        <v>0</v>
      </c>
      <c r="R34" s="115">
        <f>+'Componente 3'!O14</f>
        <v>0</v>
      </c>
      <c r="S34" s="141">
        <f t="shared" si="49"/>
        <v>437120.49983243988</v>
      </c>
      <c r="T34" s="141">
        <f t="shared" si="50"/>
        <v>95953.280451023398</v>
      </c>
      <c r="U34" s="115">
        <f>2587736.79749254*0.2*1.03</f>
        <v>533073.7802834633</v>
      </c>
      <c r="V34" s="141">
        <f t="shared" si="51"/>
        <v>1748481.9993297595</v>
      </c>
      <c r="W34" s="141">
        <f t="shared" si="52"/>
        <v>383813.12180409359</v>
      </c>
      <c r="X34" s="115">
        <f>2587736.79749254*0.8*1.03</f>
        <v>2132295.1211338532</v>
      </c>
      <c r="Y34" s="141">
        <f t="shared" si="54"/>
        <v>2185602.4991621994</v>
      </c>
      <c r="Z34" s="141">
        <f t="shared" si="53"/>
        <v>479766.40225511696</v>
      </c>
      <c r="AA34" s="115">
        <f t="shared" si="53"/>
        <v>2665368.9014173164</v>
      </c>
    </row>
    <row r="35" spans="1:29" ht="27.6">
      <c r="A35" s="150">
        <v>23</v>
      </c>
      <c r="B35" s="158" t="s">
        <v>44</v>
      </c>
      <c r="C35" s="115"/>
      <c r="D35" s="115"/>
      <c r="E35" s="115">
        <f>+'Metas Comp. 3'!B12</f>
        <v>0</v>
      </c>
      <c r="F35" s="115">
        <v>0</v>
      </c>
      <c r="G35" s="115">
        <f>+'Metas Comp. 3'!D12</f>
        <v>0</v>
      </c>
      <c r="H35" s="115">
        <f>+'Metas Comp. 3'!E12</f>
        <v>0</v>
      </c>
      <c r="I35" s="115">
        <v>1</v>
      </c>
      <c r="J35" s="141">
        <f t="shared" si="43"/>
        <v>0</v>
      </c>
      <c r="K35" s="141">
        <f t="shared" si="44"/>
        <v>0</v>
      </c>
      <c r="L35" s="115">
        <f>+'Componente 3'!M16</f>
        <v>0</v>
      </c>
      <c r="M35" s="141">
        <f t="shared" si="45"/>
        <v>0</v>
      </c>
      <c r="N35" s="141">
        <f t="shared" si="46"/>
        <v>0</v>
      </c>
      <c r="O35" s="115"/>
      <c r="P35" s="141">
        <f t="shared" si="47"/>
        <v>0</v>
      </c>
      <c r="Q35" s="141">
        <f t="shared" si="48"/>
        <v>0</v>
      </c>
      <c r="R35" s="115">
        <f>+'Componente 3'!O16</f>
        <v>0</v>
      </c>
      <c r="S35" s="141">
        <f t="shared" si="49"/>
        <v>49470.050571605992</v>
      </c>
      <c r="T35" s="141">
        <f t="shared" si="50"/>
        <v>10859.27939376717</v>
      </c>
      <c r="U35" s="115">
        <f>292860.825074627*0.2*1.03</f>
        <v>60329.329965373166</v>
      </c>
      <c r="V35" s="141">
        <f t="shared" si="51"/>
        <v>197880.20228642397</v>
      </c>
      <c r="W35" s="141">
        <f t="shared" si="52"/>
        <v>43437.117575068682</v>
      </c>
      <c r="X35" s="115">
        <f>292860.825074627*0.8*1.03</f>
        <v>241317.31986149267</v>
      </c>
      <c r="Y35" s="141">
        <f t="shared" si="54"/>
        <v>247350.25285802997</v>
      </c>
      <c r="Z35" s="141">
        <f t="shared" si="53"/>
        <v>54296.396968835848</v>
      </c>
      <c r="AA35" s="115">
        <f t="shared" si="53"/>
        <v>301646.64982686582</v>
      </c>
    </row>
    <row r="36" spans="1:29" ht="27.6">
      <c r="A36" s="213">
        <v>24</v>
      </c>
      <c r="B36" s="158" t="s">
        <v>45</v>
      </c>
      <c r="C36" s="115"/>
      <c r="D36" s="115"/>
      <c r="E36" s="115"/>
      <c r="F36" s="115"/>
      <c r="G36" s="115"/>
      <c r="H36" s="115"/>
      <c r="I36" s="115"/>
      <c r="J36" s="141">
        <f t="shared" ref="J36" si="57">+L36*82%</f>
        <v>0</v>
      </c>
      <c r="K36" s="141">
        <f t="shared" ref="K36" si="58">18%*L36</f>
        <v>0</v>
      </c>
      <c r="L36" s="115">
        <f>+'Componente 3'!M17</f>
        <v>0</v>
      </c>
      <c r="M36" s="141">
        <f t="shared" ref="M36" si="59">+O36*82%</f>
        <v>0</v>
      </c>
      <c r="N36" s="141">
        <f t="shared" ref="N36" si="60">18%*O36</f>
        <v>0</v>
      </c>
      <c r="O36" s="115"/>
      <c r="P36" s="141">
        <f t="shared" ref="P36" si="61">+R36*82%</f>
        <v>0</v>
      </c>
      <c r="Q36" s="141">
        <f t="shared" ref="Q36" si="62">18%*R36</f>
        <v>0</v>
      </c>
      <c r="R36" s="115">
        <f>+'Componente 3'!O17</f>
        <v>0</v>
      </c>
      <c r="S36" s="141">
        <f t="shared" ref="S36" si="63">+U36*82%</f>
        <v>236642.55023276046</v>
      </c>
      <c r="T36" s="141">
        <f t="shared" ref="T36" si="64">18%*U36</f>
        <v>51945.925660849854</v>
      </c>
      <c r="U36" s="115">
        <f>1400914.93152238*0.2*1.03</f>
        <v>288588.47589361033</v>
      </c>
      <c r="V36" s="141">
        <f t="shared" ref="V36" si="65">+X36*82%</f>
        <v>946570.20093104185</v>
      </c>
      <c r="W36" s="141">
        <f t="shared" ref="W36" si="66">18%*X36</f>
        <v>207783.70264339942</v>
      </c>
      <c r="X36" s="115">
        <f>1400914.93152238*0.8*1.03</f>
        <v>1154353.9035744413</v>
      </c>
      <c r="Y36" s="141">
        <f t="shared" si="54"/>
        <v>1183212.7511638023</v>
      </c>
      <c r="Z36" s="141">
        <f t="shared" ref="Z36" si="67">+K36+N36+Q36+T36+W36</f>
        <v>259729.62830424926</v>
      </c>
      <c r="AA36" s="115">
        <f t="shared" ref="AA36" si="68">+L36+O36+R36+U36+X36</f>
        <v>1442942.3794680517</v>
      </c>
    </row>
    <row r="37" spans="1:29" ht="27.6">
      <c r="A37" s="213">
        <v>25</v>
      </c>
      <c r="B37" s="94" t="s">
        <v>46</v>
      </c>
      <c r="C37" s="115"/>
      <c r="D37" s="115"/>
      <c r="E37" s="115">
        <f>+'Metas Comp. 3'!B13</f>
        <v>0</v>
      </c>
      <c r="F37" s="115">
        <v>0</v>
      </c>
      <c r="G37" s="115">
        <v>1</v>
      </c>
      <c r="H37" s="115">
        <f>+'Metas Comp. 3'!E13</f>
        <v>0</v>
      </c>
      <c r="I37" s="115">
        <f>+'Metas Comp. 3'!F13</f>
        <v>0</v>
      </c>
      <c r="J37" s="141">
        <f t="shared" si="43"/>
        <v>0</v>
      </c>
      <c r="K37" s="141">
        <f t="shared" si="44"/>
        <v>0</v>
      </c>
      <c r="L37" s="115">
        <f>+'Componente 3'!M17</f>
        <v>0</v>
      </c>
      <c r="M37" s="141">
        <f t="shared" si="45"/>
        <v>0</v>
      </c>
      <c r="N37" s="141">
        <f t="shared" si="46"/>
        <v>0</v>
      </c>
      <c r="O37" s="115">
        <v>0</v>
      </c>
      <c r="P37" s="141">
        <f t="shared" si="47"/>
        <v>0</v>
      </c>
      <c r="Q37" s="141">
        <f t="shared" si="48"/>
        <v>0</v>
      </c>
      <c r="R37" s="115">
        <v>0</v>
      </c>
      <c r="S37" s="141">
        <f t="shared" si="49"/>
        <v>432140</v>
      </c>
      <c r="T37" s="141">
        <f t="shared" si="50"/>
        <v>94860</v>
      </c>
      <c r="U37" s="115">
        <f>+'Componente 3'!P9+'Componente 3'!P10+'Componente 3'!P36+'Componente 3'!P38</f>
        <v>527000</v>
      </c>
      <c r="V37" s="141">
        <f>+X37*82%</f>
        <v>0</v>
      </c>
      <c r="W37" s="141">
        <f t="shared" si="52"/>
        <v>0</v>
      </c>
      <c r="X37" s="115">
        <v>0</v>
      </c>
      <c r="Y37" s="141">
        <f t="shared" si="54"/>
        <v>432140</v>
      </c>
      <c r="Z37" s="141">
        <f t="shared" si="53"/>
        <v>94860</v>
      </c>
      <c r="AA37" s="115">
        <f t="shared" si="53"/>
        <v>527000</v>
      </c>
    </row>
    <row r="38" spans="1:29">
      <c r="A38" s="150">
        <v>26</v>
      </c>
      <c r="B38" s="94" t="s">
        <v>47</v>
      </c>
      <c r="C38" s="115"/>
      <c r="D38" s="115"/>
      <c r="E38" s="115">
        <f>+'Metas Comp. 3'!B14</f>
        <v>0</v>
      </c>
      <c r="F38" s="115">
        <f>+'Metas Comp. 3'!C14</f>
        <v>0</v>
      </c>
      <c r="G38" s="115">
        <v>0</v>
      </c>
      <c r="H38" s="115">
        <v>0</v>
      </c>
      <c r="I38" s="115">
        <v>532</v>
      </c>
      <c r="J38" s="141">
        <f t="shared" si="43"/>
        <v>0</v>
      </c>
      <c r="K38" s="141">
        <f t="shared" si="44"/>
        <v>0</v>
      </c>
      <c r="L38" s="115">
        <f>+'Componente 3'!M18</f>
        <v>0</v>
      </c>
      <c r="M38" s="141">
        <f t="shared" si="45"/>
        <v>0</v>
      </c>
      <c r="N38" s="141">
        <f t="shared" si="46"/>
        <v>0</v>
      </c>
      <c r="O38" s="115">
        <f>+'Componente 3'!N18</f>
        <v>0</v>
      </c>
      <c r="P38" s="141">
        <f t="shared" si="47"/>
        <v>0</v>
      </c>
      <c r="Q38" s="141">
        <f t="shared" si="48"/>
        <v>0</v>
      </c>
      <c r="R38" s="115">
        <v>0</v>
      </c>
      <c r="S38" s="141">
        <f t="shared" si="49"/>
        <v>52480</v>
      </c>
      <c r="T38" s="141">
        <f t="shared" si="50"/>
        <v>11520</v>
      </c>
      <c r="U38" s="115">
        <f>+'Componente 3'!P28</f>
        <v>64000</v>
      </c>
      <c r="V38" s="141">
        <f t="shared" si="51"/>
        <v>655180</v>
      </c>
      <c r="W38" s="141">
        <f t="shared" si="52"/>
        <v>143820</v>
      </c>
      <c r="X38" s="115">
        <f>+'Componente 3'!Q28</f>
        <v>799000</v>
      </c>
      <c r="Y38" s="141">
        <f t="shared" si="54"/>
        <v>707660</v>
      </c>
      <c r="Z38" s="141">
        <f t="shared" si="53"/>
        <v>155340</v>
      </c>
      <c r="AA38" s="115">
        <f t="shared" si="53"/>
        <v>863000</v>
      </c>
    </row>
    <row r="39" spans="1:29" ht="26.25" customHeight="1">
      <c r="A39" s="213">
        <v>27</v>
      </c>
      <c r="B39" s="94" t="s">
        <v>48</v>
      </c>
      <c r="C39" s="115"/>
      <c r="D39" s="115"/>
      <c r="E39" s="115"/>
      <c r="F39" s="115"/>
      <c r="G39" s="115"/>
      <c r="H39" s="115"/>
      <c r="I39" s="115"/>
      <c r="J39" s="141"/>
      <c r="K39" s="141"/>
      <c r="L39" s="115">
        <v>0</v>
      </c>
      <c r="M39" s="141"/>
      <c r="N39" s="141"/>
      <c r="O39" s="115">
        <v>0</v>
      </c>
      <c r="P39" s="141">
        <f t="shared" ref="P39" si="69">+R39*82%</f>
        <v>82000</v>
      </c>
      <c r="Q39" s="141">
        <f t="shared" ref="Q39" si="70">18%*R39</f>
        <v>18000</v>
      </c>
      <c r="R39" s="115">
        <f>+'Componente 3'!O42+'Componente 3'!O40+'Componente 3'!O46+'Componente 3'!O49</f>
        <v>100000</v>
      </c>
      <c r="S39" s="141">
        <f t="shared" ref="S39" si="71">+U39*82%</f>
        <v>1681000</v>
      </c>
      <c r="T39" s="141">
        <f t="shared" ref="T39" si="72">18%*U39</f>
        <v>369000</v>
      </c>
      <c r="U39" s="115">
        <f>+'Componente 3'!P49+'Componente 3'!P46+'Componente 3'!P42+'Componente 3'!P40</f>
        <v>2050000</v>
      </c>
      <c r="V39" s="141">
        <f t="shared" ref="V39" si="73">+X39*82%</f>
        <v>1271000</v>
      </c>
      <c r="W39" s="141">
        <f t="shared" ref="W39" si="74">18%*X39</f>
        <v>279000</v>
      </c>
      <c r="X39" s="115">
        <f>+'Componente 3'!Q49+'Componente 3'!Q46+'Componente 3'!Q42+'Componente 3'!Q40</f>
        <v>1550000</v>
      </c>
      <c r="Y39" s="141">
        <f t="shared" si="54"/>
        <v>3034000</v>
      </c>
      <c r="Z39" s="141">
        <f t="shared" ref="Z39" si="75">+K39+N39+Q39+T39+W39</f>
        <v>666000</v>
      </c>
      <c r="AA39" s="115">
        <f>+L39+O39+R39+U39+X39</f>
        <v>3700000</v>
      </c>
    </row>
    <row r="40" spans="1:29">
      <c r="A40" s="213">
        <v>28</v>
      </c>
      <c r="B40" s="94" t="s">
        <v>49</v>
      </c>
      <c r="C40" s="115"/>
      <c r="D40" s="115"/>
      <c r="E40" s="115">
        <f>+'Metas Comp. 3'!B15</f>
        <v>0</v>
      </c>
      <c r="F40" s="115">
        <f>+'Metas Comp. 3'!C15</f>
        <v>0</v>
      </c>
      <c r="G40" s="115">
        <f>+'Metas Comp. 3'!D15</f>
        <v>0</v>
      </c>
      <c r="H40" s="115">
        <f>+'Metas Comp. 3'!E15</f>
        <v>0</v>
      </c>
      <c r="I40" s="115">
        <f>+'Metas Comp. 3'!F15</f>
        <v>1</v>
      </c>
      <c r="J40" s="141">
        <f t="shared" si="43"/>
        <v>0</v>
      </c>
      <c r="K40" s="141">
        <f t="shared" si="44"/>
        <v>0</v>
      </c>
      <c r="L40" s="115">
        <f>+'Componente 3'!M19</f>
        <v>0</v>
      </c>
      <c r="M40" s="141">
        <f t="shared" si="45"/>
        <v>0</v>
      </c>
      <c r="N40" s="141">
        <f t="shared" si="46"/>
        <v>0</v>
      </c>
      <c r="O40" s="115">
        <f>+'Componente 3'!N19</f>
        <v>0</v>
      </c>
      <c r="P40" s="141">
        <f t="shared" si="47"/>
        <v>0</v>
      </c>
      <c r="Q40" s="141">
        <f t="shared" si="48"/>
        <v>0</v>
      </c>
      <c r="R40" s="115">
        <v>0</v>
      </c>
      <c r="S40" s="141">
        <f t="shared" si="49"/>
        <v>0</v>
      </c>
      <c r="T40" s="141">
        <f t="shared" si="50"/>
        <v>0</v>
      </c>
      <c r="U40" s="115">
        <v>0</v>
      </c>
      <c r="V40" s="141">
        <f t="shared" si="51"/>
        <v>0</v>
      </c>
      <c r="W40" s="141">
        <f t="shared" si="52"/>
        <v>0</v>
      </c>
      <c r="X40" s="115">
        <v>0</v>
      </c>
      <c r="Y40" s="141">
        <f t="shared" si="54"/>
        <v>0</v>
      </c>
      <c r="Z40" s="141">
        <f t="shared" si="53"/>
        <v>0</v>
      </c>
      <c r="AA40" s="115">
        <f t="shared" si="53"/>
        <v>0</v>
      </c>
    </row>
    <row r="41" spans="1:29">
      <c r="A41" s="150">
        <v>29</v>
      </c>
      <c r="B41" s="94" t="s">
        <v>50</v>
      </c>
      <c r="C41" s="115"/>
      <c r="D41" s="115"/>
      <c r="E41" s="115">
        <f>+'Metas Comp. 3'!B16</f>
        <v>0</v>
      </c>
      <c r="F41" s="115">
        <f>+'Metas Comp. 3'!C16</f>
        <v>0</v>
      </c>
      <c r="G41" s="115">
        <f>+'Metas Comp. 3'!D16</f>
        <v>0</v>
      </c>
      <c r="H41" s="115">
        <v>1</v>
      </c>
      <c r="I41" s="115">
        <v>0</v>
      </c>
      <c r="J41" s="141">
        <f t="shared" si="43"/>
        <v>0</v>
      </c>
      <c r="K41" s="141">
        <f t="shared" si="44"/>
        <v>0</v>
      </c>
      <c r="L41" s="115">
        <f>+'Componente 3'!M20</f>
        <v>0</v>
      </c>
      <c r="M41" s="141">
        <f t="shared" si="45"/>
        <v>0</v>
      </c>
      <c r="N41" s="141">
        <f t="shared" si="46"/>
        <v>0</v>
      </c>
      <c r="O41" s="115">
        <f>+'Componente 3'!N20</f>
        <v>0</v>
      </c>
      <c r="P41" s="141">
        <f t="shared" si="47"/>
        <v>0</v>
      </c>
      <c r="Q41" s="141">
        <f t="shared" si="48"/>
        <v>0</v>
      </c>
      <c r="R41" s="115">
        <f>+'Componente 3'!O20</f>
        <v>0</v>
      </c>
      <c r="S41" s="141">
        <f t="shared" si="49"/>
        <v>0</v>
      </c>
      <c r="T41" s="141">
        <f t="shared" si="50"/>
        <v>0</v>
      </c>
      <c r="U41" s="115">
        <v>0</v>
      </c>
      <c r="V41" s="141">
        <f t="shared" si="51"/>
        <v>0</v>
      </c>
      <c r="W41" s="141">
        <f t="shared" si="52"/>
        <v>0</v>
      </c>
      <c r="X41" s="115">
        <v>0</v>
      </c>
      <c r="Y41" s="141">
        <f t="shared" si="54"/>
        <v>0</v>
      </c>
      <c r="Z41" s="141">
        <f t="shared" si="53"/>
        <v>0</v>
      </c>
      <c r="AA41" s="115">
        <f t="shared" si="53"/>
        <v>0</v>
      </c>
    </row>
    <row r="42" spans="1:29">
      <c r="A42" s="213">
        <v>30</v>
      </c>
      <c r="B42" s="94" t="s">
        <v>51</v>
      </c>
      <c r="C42" s="115"/>
      <c r="D42" s="115"/>
      <c r="E42" s="115">
        <f>+'Metas Comp. 3'!B17</f>
        <v>0</v>
      </c>
      <c r="F42" s="115">
        <f>+'Metas Comp. 3'!C17</f>
        <v>0</v>
      </c>
      <c r="G42" s="115">
        <f>+'Metas Comp. 3'!D17</f>
        <v>0</v>
      </c>
      <c r="H42" s="115">
        <f>+'Metas Comp. 3'!E17</f>
        <v>0</v>
      </c>
      <c r="I42" s="115">
        <f>+'Metas Comp. 3'!F17</f>
        <v>1</v>
      </c>
      <c r="J42" s="141">
        <f t="shared" si="43"/>
        <v>0</v>
      </c>
      <c r="K42" s="141">
        <f t="shared" si="44"/>
        <v>0</v>
      </c>
      <c r="L42" s="115">
        <f>+'Componente 3'!M21</f>
        <v>0</v>
      </c>
      <c r="M42" s="141">
        <f t="shared" si="45"/>
        <v>0</v>
      </c>
      <c r="N42" s="141">
        <f t="shared" si="46"/>
        <v>0</v>
      </c>
      <c r="O42" s="115">
        <f>+'Componente 3'!N21</f>
        <v>0</v>
      </c>
      <c r="P42" s="141">
        <f t="shared" si="47"/>
        <v>0</v>
      </c>
      <c r="Q42" s="141">
        <f t="shared" si="48"/>
        <v>0</v>
      </c>
      <c r="R42" s="115">
        <v>0</v>
      </c>
      <c r="S42" s="141">
        <f t="shared" si="49"/>
        <v>0</v>
      </c>
      <c r="T42" s="141">
        <f t="shared" si="50"/>
        <v>0</v>
      </c>
      <c r="U42" s="115">
        <v>0</v>
      </c>
      <c r="V42" s="141">
        <f t="shared" si="51"/>
        <v>0</v>
      </c>
      <c r="W42" s="141">
        <f t="shared" si="52"/>
        <v>0</v>
      </c>
      <c r="X42" s="115">
        <v>0</v>
      </c>
      <c r="Y42" s="141">
        <f t="shared" si="54"/>
        <v>0</v>
      </c>
      <c r="Z42" s="141">
        <f t="shared" si="53"/>
        <v>0</v>
      </c>
      <c r="AA42" s="115">
        <f t="shared" si="53"/>
        <v>0</v>
      </c>
    </row>
    <row r="43" spans="1:29" ht="16.149999999999999" thickBot="1">
      <c r="A43" s="213">
        <v>31</v>
      </c>
      <c r="B43" s="94" t="s">
        <v>52</v>
      </c>
      <c r="C43" s="115"/>
      <c r="D43" s="115"/>
      <c r="E43" s="115">
        <f>+'Metas Comp. 3'!B18</f>
        <v>0</v>
      </c>
      <c r="F43" s="115">
        <v>0</v>
      </c>
      <c r="G43" s="115">
        <v>59</v>
      </c>
      <c r="H43" s="115">
        <v>5</v>
      </c>
      <c r="I43" s="115">
        <v>12</v>
      </c>
      <c r="J43" s="141">
        <f t="shared" si="43"/>
        <v>0</v>
      </c>
      <c r="K43" s="141">
        <f t="shared" si="44"/>
        <v>0</v>
      </c>
      <c r="L43" s="115">
        <f>+'Componente 3'!M22</f>
        <v>0</v>
      </c>
      <c r="M43" s="141">
        <f t="shared" si="45"/>
        <v>0</v>
      </c>
      <c r="N43" s="141">
        <f t="shared" si="46"/>
        <v>0</v>
      </c>
      <c r="O43" s="115">
        <v>0</v>
      </c>
      <c r="P43" s="141">
        <f t="shared" si="47"/>
        <v>18340750.464955222</v>
      </c>
      <c r="Q43" s="141">
        <f t="shared" si="48"/>
        <v>4026018.3947462682</v>
      </c>
      <c r="R43" s="115">
        <f>+'Componente 3'!O23</f>
        <v>22366768.859701492</v>
      </c>
      <c r="S43" s="141">
        <f t="shared" si="49"/>
        <v>1789589.9796716415</v>
      </c>
      <c r="T43" s="141">
        <f t="shared" si="50"/>
        <v>392836.82480597007</v>
      </c>
      <c r="U43" s="115">
        <f>+'Componente 3'!P23</f>
        <v>2182426.8044776116</v>
      </c>
      <c r="V43" s="141">
        <f t="shared" si="51"/>
        <v>4089074.3175522382</v>
      </c>
      <c r="W43" s="141">
        <f t="shared" si="52"/>
        <v>897601.67946268641</v>
      </c>
      <c r="X43" s="115">
        <f>+'Componente 3'!Q23</f>
        <v>4986675.9970149249</v>
      </c>
      <c r="Y43" s="141">
        <f t="shared" si="54"/>
        <v>24219414.762179103</v>
      </c>
      <c r="Z43" s="141">
        <f t="shared" si="53"/>
        <v>5316456.8990149247</v>
      </c>
      <c r="AA43" s="115">
        <f t="shared" si="53"/>
        <v>29535871.661194026</v>
      </c>
    </row>
    <row r="44" spans="1:29" s="123" customFormat="1" ht="20.25" customHeight="1" thickBot="1">
      <c r="A44" s="119"/>
      <c r="B44" s="119" t="s">
        <v>53</v>
      </c>
      <c r="C44" s="81"/>
      <c r="D44" s="120"/>
      <c r="E44" s="120"/>
      <c r="F44" s="120"/>
      <c r="G44" s="120"/>
      <c r="H44" s="120"/>
      <c r="I44" s="120"/>
      <c r="J44" s="146">
        <f>+J45+J68+J79</f>
        <v>0</v>
      </c>
      <c r="K44" s="146">
        <f t="shared" ref="K44:AA44" si="76">+K45+K68+K79</f>
        <v>1562298.5074626864</v>
      </c>
      <c r="L44" s="146">
        <f t="shared" si="76"/>
        <v>1562298.5074626864</v>
      </c>
      <c r="M44" s="146">
        <f t="shared" si="76"/>
        <v>0</v>
      </c>
      <c r="N44" s="146">
        <f t="shared" si="76"/>
        <v>1397014.9253731342</v>
      </c>
      <c r="O44" s="146">
        <f t="shared" si="76"/>
        <v>1397014.9253731342</v>
      </c>
      <c r="P44" s="146">
        <f t="shared" si="76"/>
        <v>0</v>
      </c>
      <c r="Q44" s="146">
        <f t="shared" si="76"/>
        <v>1397014.9253731342</v>
      </c>
      <c r="R44" s="146">
        <f t="shared" si="76"/>
        <v>1397014.9253731342</v>
      </c>
      <c r="S44" s="146">
        <f t="shared" si="76"/>
        <v>0</v>
      </c>
      <c r="T44" s="146">
        <f t="shared" si="76"/>
        <v>1397014.9253731342</v>
      </c>
      <c r="U44" s="146">
        <f t="shared" si="76"/>
        <v>1397014.9253731342</v>
      </c>
      <c r="V44" s="146">
        <f t="shared" si="76"/>
        <v>0</v>
      </c>
      <c r="W44" s="146">
        <f t="shared" si="76"/>
        <v>1397014.9253731342</v>
      </c>
      <c r="X44" s="146">
        <f t="shared" si="76"/>
        <v>1397014.9253731342</v>
      </c>
      <c r="Y44" s="146">
        <f>+Y45+Y68+Y79</f>
        <v>0</v>
      </c>
      <c r="Z44" s="147">
        <f t="shared" si="76"/>
        <v>7150358.2089552246</v>
      </c>
      <c r="AA44" s="148">
        <f t="shared" si="76"/>
        <v>7150358.2089552246</v>
      </c>
      <c r="AC44" s="187"/>
    </row>
    <row r="45" spans="1:29">
      <c r="A45" s="126"/>
      <c r="B45" s="126" t="s">
        <v>54</v>
      </c>
      <c r="C45" s="122"/>
      <c r="D45" s="122"/>
      <c r="E45" s="122"/>
      <c r="F45" s="122"/>
      <c r="G45" s="122"/>
      <c r="H45" s="122"/>
      <c r="I45" s="122"/>
      <c r="J45" s="122">
        <f>+J46+J51+J59</f>
        <v>0</v>
      </c>
      <c r="K45" s="122">
        <f t="shared" ref="K45:AA45" si="77">+K46+K51+K59</f>
        <v>1228656.7164179103</v>
      </c>
      <c r="L45" s="122">
        <f t="shared" si="77"/>
        <v>1228656.7164179103</v>
      </c>
      <c r="M45" s="122">
        <f t="shared" si="77"/>
        <v>0</v>
      </c>
      <c r="N45" s="122">
        <f t="shared" si="77"/>
        <v>1228656.7164179103</v>
      </c>
      <c r="O45" s="122">
        <f t="shared" si="77"/>
        <v>1228656.7164179103</v>
      </c>
      <c r="P45" s="122">
        <f t="shared" si="77"/>
        <v>0</v>
      </c>
      <c r="Q45" s="122">
        <f t="shared" si="77"/>
        <v>1228656.7164179103</v>
      </c>
      <c r="R45" s="122">
        <f t="shared" si="77"/>
        <v>1228656.7164179103</v>
      </c>
      <c r="S45" s="122">
        <f t="shared" si="77"/>
        <v>0</v>
      </c>
      <c r="T45" s="122">
        <f t="shared" si="77"/>
        <v>1228656.7164179103</v>
      </c>
      <c r="U45" s="122">
        <f t="shared" si="77"/>
        <v>1228656.7164179103</v>
      </c>
      <c r="V45" s="122">
        <f t="shared" si="77"/>
        <v>0</v>
      </c>
      <c r="W45" s="122">
        <f t="shared" si="77"/>
        <v>1228656.7164179103</v>
      </c>
      <c r="X45" s="122">
        <f t="shared" si="77"/>
        <v>1228656.7164179103</v>
      </c>
      <c r="Y45" s="122">
        <f t="shared" si="77"/>
        <v>0</v>
      </c>
      <c r="Z45" s="122">
        <f t="shared" si="77"/>
        <v>6143283.5820895527</v>
      </c>
      <c r="AA45" s="145">
        <f t="shared" si="77"/>
        <v>6143283.5820895527</v>
      </c>
    </row>
    <row r="46" spans="1:29" s="111" customFormat="1">
      <c r="A46" s="76"/>
      <c r="B46" s="76" t="s">
        <v>55</v>
      </c>
      <c r="C46" s="138"/>
      <c r="D46" s="139"/>
      <c r="E46" s="138"/>
      <c r="F46" s="138"/>
      <c r="G46" s="138"/>
      <c r="H46" s="138"/>
      <c r="I46" s="138"/>
      <c r="J46" s="139">
        <f>+SUM(J47:J50)</f>
        <v>0</v>
      </c>
      <c r="K46" s="139">
        <f t="shared" ref="K46:AA46" si="78">+SUM(K47:K50)</f>
        <v>168358.20895522388</v>
      </c>
      <c r="L46" s="139">
        <f t="shared" si="78"/>
        <v>168358.20895522388</v>
      </c>
      <c r="M46" s="139">
        <f t="shared" si="78"/>
        <v>0</v>
      </c>
      <c r="N46" s="139">
        <f t="shared" si="78"/>
        <v>168358.20895522388</v>
      </c>
      <c r="O46" s="139">
        <f t="shared" si="78"/>
        <v>168358.20895522388</v>
      </c>
      <c r="P46" s="139">
        <f t="shared" si="78"/>
        <v>0</v>
      </c>
      <c r="Q46" s="139">
        <f t="shared" si="78"/>
        <v>168358.20895522388</v>
      </c>
      <c r="R46" s="139">
        <f t="shared" si="78"/>
        <v>168358.20895522388</v>
      </c>
      <c r="S46" s="139">
        <f t="shared" si="78"/>
        <v>0</v>
      </c>
      <c r="T46" s="139">
        <f t="shared" si="78"/>
        <v>168358.20895522388</v>
      </c>
      <c r="U46" s="139">
        <f t="shared" si="78"/>
        <v>168358.20895522388</v>
      </c>
      <c r="V46" s="139">
        <f t="shared" si="78"/>
        <v>0</v>
      </c>
      <c r="W46" s="139">
        <f t="shared" si="78"/>
        <v>168358.20895522388</v>
      </c>
      <c r="X46" s="139">
        <f t="shared" si="78"/>
        <v>168358.20895522388</v>
      </c>
      <c r="Y46" s="139">
        <f t="shared" si="78"/>
        <v>0</v>
      </c>
      <c r="Z46" s="139">
        <f t="shared" si="78"/>
        <v>841791.04477611941</v>
      </c>
      <c r="AA46" s="139">
        <f t="shared" si="78"/>
        <v>841791.04477611941</v>
      </c>
    </row>
    <row r="47" spans="1:29">
      <c r="A47" s="77"/>
      <c r="B47" s="77" t="s">
        <v>56</v>
      </c>
      <c r="C47" s="117">
        <f>+Administración!B9</f>
        <v>1</v>
      </c>
      <c r="D47" s="69">
        <f>+Administración!C9</f>
        <v>22000</v>
      </c>
      <c r="E47" s="117"/>
      <c r="F47" s="117"/>
      <c r="G47" s="117"/>
      <c r="H47" s="117"/>
      <c r="I47" s="117"/>
      <c r="J47" s="137">
        <f t="shared" ref="J47:J67" si="79">0%*L47</f>
        <v>0</v>
      </c>
      <c r="K47" s="137">
        <f t="shared" ref="K47:K67" si="80">100%*L47</f>
        <v>39402.985074626864</v>
      </c>
      <c r="L47" s="69">
        <f>+Administración!K9</f>
        <v>39402.985074626864</v>
      </c>
      <c r="M47" s="137">
        <f t="shared" ref="M47:M67" si="81">0%*O47</f>
        <v>0</v>
      </c>
      <c r="N47" s="137">
        <f t="shared" ref="N47:N67" si="82">100%*O47</f>
        <v>39402.985074626864</v>
      </c>
      <c r="O47" s="69">
        <f>+Administración!L9</f>
        <v>39402.985074626864</v>
      </c>
      <c r="P47" s="137">
        <f t="shared" ref="P47:P67" si="83">0%*R47</f>
        <v>0</v>
      </c>
      <c r="Q47" s="137">
        <f t="shared" ref="Q47:Q67" si="84">100%*R47</f>
        <v>39402.985074626864</v>
      </c>
      <c r="R47" s="69">
        <f>+Administración!M9</f>
        <v>39402.985074626864</v>
      </c>
      <c r="S47" s="137">
        <f t="shared" ref="S47:S67" si="85">0%*U47</f>
        <v>0</v>
      </c>
      <c r="T47" s="137">
        <f t="shared" ref="T47:T67" si="86">100%*U47</f>
        <v>39402.985074626864</v>
      </c>
      <c r="U47" s="69">
        <f>+Administración!N9</f>
        <v>39402.985074626864</v>
      </c>
      <c r="V47" s="137">
        <f t="shared" ref="V47:V67" si="87">0%*X47</f>
        <v>0</v>
      </c>
      <c r="W47" s="137">
        <f t="shared" ref="W47:W67" si="88">100%*X47</f>
        <v>39402.985074626864</v>
      </c>
      <c r="X47" s="69">
        <f>+Administración!O9</f>
        <v>39402.985074626864</v>
      </c>
      <c r="Y47" s="137">
        <f t="shared" ref="Y47:Y67" si="89">0%*AA47</f>
        <v>0</v>
      </c>
      <c r="Z47" s="137">
        <f t="shared" ref="Z47:Z67" si="90">100%*AA47</f>
        <v>197014.92537313432</v>
      </c>
      <c r="AA47" s="69">
        <f>+Administración!P9</f>
        <v>197014.92537313432</v>
      </c>
    </row>
    <row r="48" spans="1:29">
      <c r="A48" s="78"/>
      <c r="B48" s="78" t="s">
        <v>57</v>
      </c>
      <c r="C48" s="67">
        <f>+Administración!B10</f>
        <v>1</v>
      </c>
      <c r="D48" s="69">
        <f>+Administración!C10</f>
        <v>18000</v>
      </c>
      <c r="E48" s="117"/>
      <c r="F48" s="117"/>
      <c r="G48" s="117"/>
      <c r="H48" s="117"/>
      <c r="I48" s="117"/>
      <c r="J48" s="137">
        <f t="shared" si="79"/>
        <v>0</v>
      </c>
      <c r="K48" s="137">
        <f t="shared" si="80"/>
        <v>64477.611940298506</v>
      </c>
      <c r="L48" s="69">
        <f>+Administración!K10</f>
        <v>64477.611940298506</v>
      </c>
      <c r="M48" s="137">
        <f t="shared" si="81"/>
        <v>0</v>
      </c>
      <c r="N48" s="137">
        <f t="shared" si="82"/>
        <v>64477.611940298506</v>
      </c>
      <c r="O48" s="69">
        <f>+Administración!L10</f>
        <v>64477.611940298506</v>
      </c>
      <c r="P48" s="137">
        <f t="shared" si="83"/>
        <v>0</v>
      </c>
      <c r="Q48" s="137">
        <f t="shared" si="84"/>
        <v>64477.611940298506</v>
      </c>
      <c r="R48" s="69">
        <f>+Administración!M10</f>
        <v>64477.611940298506</v>
      </c>
      <c r="S48" s="137">
        <f t="shared" si="85"/>
        <v>0</v>
      </c>
      <c r="T48" s="137">
        <f t="shared" si="86"/>
        <v>64477.611940298506</v>
      </c>
      <c r="U48" s="69">
        <f>+Administración!N10</f>
        <v>64477.611940298506</v>
      </c>
      <c r="V48" s="137">
        <f t="shared" si="87"/>
        <v>0</v>
      </c>
      <c r="W48" s="137">
        <f t="shared" si="88"/>
        <v>64477.611940298506</v>
      </c>
      <c r="X48" s="69">
        <f>+Administración!O10</f>
        <v>64477.611940298506</v>
      </c>
      <c r="Y48" s="137">
        <f t="shared" si="89"/>
        <v>0</v>
      </c>
      <c r="Z48" s="137">
        <f t="shared" si="90"/>
        <v>322388.05970149254</v>
      </c>
      <c r="AA48" s="69">
        <f>+Administración!P10</f>
        <v>322388.05970149254</v>
      </c>
    </row>
    <row r="49" spans="1:27">
      <c r="A49" s="78"/>
      <c r="B49" s="78" t="s">
        <v>58</v>
      </c>
      <c r="C49" s="67">
        <f>+Administración!B11</f>
        <v>1</v>
      </c>
      <c r="D49" s="69">
        <f>+Administración!C11</f>
        <v>14000</v>
      </c>
      <c r="E49" s="117"/>
      <c r="F49" s="117"/>
      <c r="G49" s="117"/>
      <c r="H49" s="117"/>
      <c r="I49" s="117"/>
      <c r="J49" s="137">
        <f t="shared" si="79"/>
        <v>0</v>
      </c>
      <c r="K49" s="137">
        <f t="shared" si="80"/>
        <v>50149.253731343284</v>
      </c>
      <c r="L49" s="69">
        <f>+Administración!K11</f>
        <v>50149.253731343284</v>
      </c>
      <c r="M49" s="137">
        <f t="shared" si="81"/>
        <v>0</v>
      </c>
      <c r="N49" s="137">
        <f t="shared" si="82"/>
        <v>50149.253731343284</v>
      </c>
      <c r="O49" s="69">
        <f>+Administración!L11</f>
        <v>50149.253731343284</v>
      </c>
      <c r="P49" s="137">
        <f t="shared" si="83"/>
        <v>0</v>
      </c>
      <c r="Q49" s="137">
        <f t="shared" si="84"/>
        <v>50149.253731343284</v>
      </c>
      <c r="R49" s="69">
        <f>+Administración!M11</f>
        <v>50149.253731343284</v>
      </c>
      <c r="S49" s="137">
        <f t="shared" si="85"/>
        <v>0</v>
      </c>
      <c r="T49" s="137">
        <f t="shared" si="86"/>
        <v>50149.253731343284</v>
      </c>
      <c r="U49" s="69">
        <f>+Administración!N11</f>
        <v>50149.253731343284</v>
      </c>
      <c r="V49" s="137">
        <f t="shared" si="87"/>
        <v>0</v>
      </c>
      <c r="W49" s="137">
        <f t="shared" si="88"/>
        <v>50149.253731343284</v>
      </c>
      <c r="X49" s="69">
        <f>+Administración!O11</f>
        <v>50149.253731343284</v>
      </c>
      <c r="Y49" s="137">
        <f t="shared" si="89"/>
        <v>0</v>
      </c>
      <c r="Z49" s="137">
        <f>100%*AA49</f>
        <v>250746.26865671642</v>
      </c>
      <c r="AA49" s="69">
        <f>+Administración!P11</f>
        <v>250746.26865671642</v>
      </c>
    </row>
    <row r="50" spans="1:27">
      <c r="A50" s="78"/>
      <c r="B50" s="78" t="s">
        <v>59</v>
      </c>
      <c r="C50" s="67">
        <f>+Administración!B12</f>
        <v>1</v>
      </c>
      <c r="D50" s="69">
        <f>+Administración!C12</f>
        <v>4000</v>
      </c>
      <c r="E50" s="117"/>
      <c r="F50" s="117"/>
      <c r="G50" s="117"/>
      <c r="H50" s="117"/>
      <c r="I50" s="117"/>
      <c r="J50" s="137">
        <f t="shared" si="79"/>
        <v>0</v>
      </c>
      <c r="K50" s="137">
        <f t="shared" si="80"/>
        <v>14328.358208955224</v>
      </c>
      <c r="L50" s="69">
        <f>+Administración!K12</f>
        <v>14328.358208955224</v>
      </c>
      <c r="M50" s="137">
        <f t="shared" si="81"/>
        <v>0</v>
      </c>
      <c r="N50" s="137">
        <f t="shared" si="82"/>
        <v>14328.358208955224</v>
      </c>
      <c r="O50" s="69">
        <f>+Administración!L12</f>
        <v>14328.358208955224</v>
      </c>
      <c r="P50" s="137">
        <f t="shared" si="83"/>
        <v>0</v>
      </c>
      <c r="Q50" s="137">
        <f t="shared" si="84"/>
        <v>14328.358208955224</v>
      </c>
      <c r="R50" s="69">
        <f>+Administración!M12</f>
        <v>14328.358208955224</v>
      </c>
      <c r="S50" s="137">
        <f t="shared" si="85"/>
        <v>0</v>
      </c>
      <c r="T50" s="137">
        <f t="shared" si="86"/>
        <v>14328.358208955224</v>
      </c>
      <c r="U50" s="69">
        <f>+Administración!N12</f>
        <v>14328.358208955224</v>
      </c>
      <c r="V50" s="137">
        <f t="shared" si="87"/>
        <v>0</v>
      </c>
      <c r="W50" s="137">
        <f t="shared" si="88"/>
        <v>14328.358208955224</v>
      </c>
      <c r="X50" s="69">
        <f>+Administración!O12</f>
        <v>14328.358208955224</v>
      </c>
      <c r="Y50" s="137">
        <f t="shared" si="89"/>
        <v>0</v>
      </c>
      <c r="Z50" s="137">
        <f t="shared" si="90"/>
        <v>71641.791044776124</v>
      </c>
      <c r="AA50" s="69">
        <f>+Administración!P12</f>
        <v>71641.791044776124</v>
      </c>
    </row>
    <row r="51" spans="1:27" s="111" customFormat="1">
      <c r="A51" s="76"/>
      <c r="B51" s="76" t="s">
        <v>60</v>
      </c>
      <c r="C51" s="140">
        <f>+Administración!B13</f>
        <v>0</v>
      </c>
      <c r="D51" s="139">
        <f>+Administración!C13</f>
        <v>0</v>
      </c>
      <c r="E51" s="138"/>
      <c r="F51" s="138"/>
      <c r="G51" s="138"/>
      <c r="H51" s="138"/>
      <c r="I51" s="138"/>
      <c r="J51" s="139">
        <f>+SUM(J52:J58)</f>
        <v>0</v>
      </c>
      <c r="K51" s="139">
        <f t="shared" ref="K51:AA51" si="91">+SUM(K52:K58)</f>
        <v>286567.16417910444</v>
      </c>
      <c r="L51" s="139">
        <f t="shared" si="91"/>
        <v>286567.16417910444</v>
      </c>
      <c r="M51" s="139">
        <f t="shared" si="91"/>
        <v>0</v>
      </c>
      <c r="N51" s="139">
        <f t="shared" si="91"/>
        <v>286567.16417910444</v>
      </c>
      <c r="O51" s="139">
        <f t="shared" si="91"/>
        <v>286567.16417910444</v>
      </c>
      <c r="P51" s="139">
        <f t="shared" si="91"/>
        <v>0</v>
      </c>
      <c r="Q51" s="139">
        <f t="shared" si="91"/>
        <v>286567.16417910444</v>
      </c>
      <c r="R51" s="139">
        <f t="shared" si="91"/>
        <v>286567.16417910444</v>
      </c>
      <c r="S51" s="139">
        <f t="shared" si="91"/>
        <v>0</v>
      </c>
      <c r="T51" s="139">
        <f t="shared" si="91"/>
        <v>286567.16417910444</v>
      </c>
      <c r="U51" s="139">
        <f t="shared" si="91"/>
        <v>286567.16417910444</v>
      </c>
      <c r="V51" s="139">
        <f t="shared" si="91"/>
        <v>0</v>
      </c>
      <c r="W51" s="139">
        <f t="shared" si="91"/>
        <v>286567.16417910444</v>
      </c>
      <c r="X51" s="139">
        <f t="shared" si="91"/>
        <v>286567.16417910444</v>
      </c>
      <c r="Y51" s="139">
        <f t="shared" si="91"/>
        <v>0</v>
      </c>
      <c r="Z51" s="139">
        <f t="shared" si="91"/>
        <v>1432835.8208955226</v>
      </c>
      <c r="AA51" s="139">
        <f t="shared" si="91"/>
        <v>1432835.8208955226</v>
      </c>
    </row>
    <row r="52" spans="1:27">
      <c r="A52" s="78"/>
      <c r="B52" s="78" t="s">
        <v>61</v>
      </c>
      <c r="C52" s="67">
        <f>+Administración!B14</f>
        <v>2</v>
      </c>
      <c r="D52" s="69">
        <f>+Administración!C14</f>
        <v>10000</v>
      </c>
      <c r="E52" s="117"/>
      <c r="F52" s="117"/>
      <c r="G52" s="117"/>
      <c r="H52" s="117"/>
      <c r="I52" s="117"/>
      <c r="J52" s="137">
        <f t="shared" si="79"/>
        <v>0</v>
      </c>
      <c r="K52" s="137">
        <f t="shared" si="80"/>
        <v>71641.791044776124</v>
      </c>
      <c r="L52" s="69">
        <f>+Administración!K14</f>
        <v>71641.791044776124</v>
      </c>
      <c r="M52" s="137">
        <f t="shared" si="81"/>
        <v>0</v>
      </c>
      <c r="N52" s="137">
        <f t="shared" si="82"/>
        <v>71641.791044776124</v>
      </c>
      <c r="O52" s="69">
        <f>+Administración!L14</f>
        <v>71641.791044776124</v>
      </c>
      <c r="P52" s="137">
        <f t="shared" si="83"/>
        <v>0</v>
      </c>
      <c r="Q52" s="137">
        <f t="shared" si="84"/>
        <v>71641.791044776124</v>
      </c>
      <c r="R52" s="69">
        <f>+Administración!M14</f>
        <v>71641.791044776124</v>
      </c>
      <c r="S52" s="137">
        <f t="shared" si="85"/>
        <v>0</v>
      </c>
      <c r="T52" s="137">
        <f t="shared" si="86"/>
        <v>71641.791044776124</v>
      </c>
      <c r="U52" s="69">
        <f>+Administración!N14</f>
        <v>71641.791044776124</v>
      </c>
      <c r="V52" s="137">
        <f t="shared" si="87"/>
        <v>0</v>
      </c>
      <c r="W52" s="137">
        <f t="shared" si="88"/>
        <v>71641.791044776124</v>
      </c>
      <c r="X52" s="69">
        <f>+Administración!O14</f>
        <v>71641.791044776124</v>
      </c>
      <c r="Y52" s="137">
        <f t="shared" si="89"/>
        <v>0</v>
      </c>
      <c r="Z52" s="137">
        <f t="shared" si="90"/>
        <v>358208.95522388059</v>
      </c>
      <c r="AA52" s="69">
        <f>+Administración!P14</f>
        <v>358208.95522388059</v>
      </c>
    </row>
    <row r="53" spans="1:27">
      <c r="A53" s="78"/>
      <c r="B53" s="78" t="s">
        <v>62</v>
      </c>
      <c r="C53" s="67">
        <f>+Administración!B15</f>
        <v>2</v>
      </c>
      <c r="D53" s="69">
        <f>+Administración!C15</f>
        <v>10000</v>
      </c>
      <c r="E53" s="117"/>
      <c r="F53" s="117"/>
      <c r="G53" s="117"/>
      <c r="H53" s="117"/>
      <c r="I53" s="117"/>
      <c r="J53" s="137">
        <f t="shared" si="79"/>
        <v>0</v>
      </c>
      <c r="K53" s="137">
        <f t="shared" si="80"/>
        <v>71641.791044776124</v>
      </c>
      <c r="L53" s="69">
        <f>+Administración!K15</f>
        <v>71641.791044776124</v>
      </c>
      <c r="M53" s="137">
        <f t="shared" si="81"/>
        <v>0</v>
      </c>
      <c r="N53" s="137">
        <f t="shared" si="82"/>
        <v>71641.791044776124</v>
      </c>
      <c r="O53" s="69">
        <f>+Administración!L15</f>
        <v>71641.791044776124</v>
      </c>
      <c r="P53" s="137">
        <f t="shared" si="83"/>
        <v>0</v>
      </c>
      <c r="Q53" s="137">
        <f t="shared" si="84"/>
        <v>71641.791044776124</v>
      </c>
      <c r="R53" s="69">
        <f>+Administración!M15</f>
        <v>71641.791044776124</v>
      </c>
      <c r="S53" s="137">
        <f t="shared" si="85"/>
        <v>0</v>
      </c>
      <c r="T53" s="137">
        <f t="shared" si="86"/>
        <v>71641.791044776124</v>
      </c>
      <c r="U53" s="69">
        <f>+Administración!N15</f>
        <v>71641.791044776124</v>
      </c>
      <c r="V53" s="137">
        <f t="shared" si="87"/>
        <v>0</v>
      </c>
      <c r="W53" s="137">
        <f t="shared" si="88"/>
        <v>71641.791044776124</v>
      </c>
      <c r="X53" s="69">
        <f>+Administración!O15</f>
        <v>71641.791044776124</v>
      </c>
      <c r="Y53" s="137">
        <f t="shared" si="89"/>
        <v>0</v>
      </c>
      <c r="Z53" s="137">
        <f t="shared" si="90"/>
        <v>358208.95522388059</v>
      </c>
      <c r="AA53" s="69">
        <f>+Administración!P15</f>
        <v>358208.95522388059</v>
      </c>
    </row>
    <row r="54" spans="1:27">
      <c r="A54" s="78"/>
      <c r="B54" s="78" t="s">
        <v>63</v>
      </c>
      <c r="C54" s="67">
        <f>+Administración!B16</f>
        <v>1</v>
      </c>
      <c r="D54" s="69">
        <f>+Administración!C16</f>
        <v>10000</v>
      </c>
      <c r="E54" s="117"/>
      <c r="F54" s="117"/>
      <c r="G54" s="117"/>
      <c r="H54" s="117"/>
      <c r="I54" s="117"/>
      <c r="J54" s="137">
        <f t="shared" si="79"/>
        <v>0</v>
      </c>
      <c r="K54" s="137">
        <f t="shared" si="80"/>
        <v>35820.895522388062</v>
      </c>
      <c r="L54" s="69">
        <f>+Administración!K16</f>
        <v>35820.895522388062</v>
      </c>
      <c r="M54" s="137">
        <f t="shared" si="81"/>
        <v>0</v>
      </c>
      <c r="N54" s="137">
        <f t="shared" si="82"/>
        <v>35820.895522388062</v>
      </c>
      <c r="O54" s="69">
        <f>+Administración!L16</f>
        <v>35820.895522388062</v>
      </c>
      <c r="P54" s="137">
        <f t="shared" si="83"/>
        <v>0</v>
      </c>
      <c r="Q54" s="137">
        <f t="shared" si="84"/>
        <v>35820.895522388062</v>
      </c>
      <c r="R54" s="69">
        <f>+Administración!M16</f>
        <v>35820.895522388062</v>
      </c>
      <c r="S54" s="137">
        <f t="shared" si="85"/>
        <v>0</v>
      </c>
      <c r="T54" s="137">
        <f t="shared" si="86"/>
        <v>35820.895522388062</v>
      </c>
      <c r="U54" s="69">
        <f>+Administración!N16</f>
        <v>35820.895522388062</v>
      </c>
      <c r="V54" s="137">
        <f t="shared" si="87"/>
        <v>0</v>
      </c>
      <c r="W54" s="137">
        <f t="shared" si="88"/>
        <v>35820.895522388062</v>
      </c>
      <c r="X54" s="69">
        <f>+Administración!O16</f>
        <v>35820.895522388062</v>
      </c>
      <c r="Y54" s="137">
        <f t="shared" si="89"/>
        <v>0</v>
      </c>
      <c r="Z54" s="137">
        <f t="shared" si="90"/>
        <v>179104.4776119403</v>
      </c>
      <c r="AA54" s="69">
        <f>+Administración!P16</f>
        <v>179104.4776119403</v>
      </c>
    </row>
    <row r="55" spans="1:27">
      <c r="A55" s="78"/>
      <c r="B55" s="78" t="s">
        <v>64</v>
      </c>
      <c r="C55" s="67">
        <f>+Administración!B17</f>
        <v>1</v>
      </c>
      <c r="D55" s="69">
        <f>+Administración!C17</f>
        <v>10000</v>
      </c>
      <c r="E55" s="117"/>
      <c r="F55" s="117"/>
      <c r="G55" s="117"/>
      <c r="H55" s="117"/>
      <c r="I55" s="117"/>
      <c r="J55" s="137">
        <f t="shared" si="79"/>
        <v>0</v>
      </c>
      <c r="K55" s="137">
        <f t="shared" si="80"/>
        <v>35820.895522388062</v>
      </c>
      <c r="L55" s="69">
        <f>+Administración!K17</f>
        <v>35820.895522388062</v>
      </c>
      <c r="M55" s="137">
        <f t="shared" si="81"/>
        <v>0</v>
      </c>
      <c r="N55" s="137">
        <f t="shared" si="82"/>
        <v>35820.895522388062</v>
      </c>
      <c r="O55" s="69">
        <f>+Administración!L17</f>
        <v>35820.895522388062</v>
      </c>
      <c r="P55" s="137">
        <f t="shared" si="83"/>
        <v>0</v>
      </c>
      <c r="Q55" s="137">
        <f t="shared" si="84"/>
        <v>35820.895522388062</v>
      </c>
      <c r="R55" s="69">
        <f>+Administración!M17</f>
        <v>35820.895522388062</v>
      </c>
      <c r="S55" s="137">
        <f t="shared" si="85"/>
        <v>0</v>
      </c>
      <c r="T55" s="137">
        <f t="shared" si="86"/>
        <v>35820.895522388062</v>
      </c>
      <c r="U55" s="69">
        <f>+Administración!N17</f>
        <v>35820.895522388062</v>
      </c>
      <c r="V55" s="137">
        <f t="shared" si="87"/>
        <v>0</v>
      </c>
      <c r="W55" s="137">
        <f t="shared" si="88"/>
        <v>35820.895522388062</v>
      </c>
      <c r="X55" s="69">
        <f>+Administración!O17</f>
        <v>35820.895522388062</v>
      </c>
      <c r="Y55" s="137">
        <f t="shared" si="89"/>
        <v>0</v>
      </c>
      <c r="Z55" s="137">
        <f t="shared" si="90"/>
        <v>179104.4776119403</v>
      </c>
      <c r="AA55" s="69">
        <f>+Administración!P17</f>
        <v>179104.4776119403</v>
      </c>
    </row>
    <row r="56" spans="1:27">
      <c r="A56" s="78"/>
      <c r="B56" s="78" t="s">
        <v>65</v>
      </c>
      <c r="C56" s="67">
        <f>+Administración!B18</f>
        <v>1</v>
      </c>
      <c r="D56" s="69">
        <f>+Administración!C18</f>
        <v>10000</v>
      </c>
      <c r="E56" s="117"/>
      <c r="F56" s="117"/>
      <c r="G56" s="117"/>
      <c r="H56" s="117"/>
      <c r="I56" s="117"/>
      <c r="J56" s="137">
        <f t="shared" si="79"/>
        <v>0</v>
      </c>
      <c r="K56" s="137">
        <f t="shared" si="80"/>
        <v>35820.895522388062</v>
      </c>
      <c r="L56" s="69">
        <f>+Administración!K18</f>
        <v>35820.895522388062</v>
      </c>
      <c r="M56" s="137">
        <f t="shared" si="81"/>
        <v>0</v>
      </c>
      <c r="N56" s="137">
        <f t="shared" si="82"/>
        <v>35820.895522388062</v>
      </c>
      <c r="O56" s="69">
        <f>+Administración!L18</f>
        <v>35820.895522388062</v>
      </c>
      <c r="P56" s="137">
        <f t="shared" si="83"/>
        <v>0</v>
      </c>
      <c r="Q56" s="137">
        <f t="shared" si="84"/>
        <v>35820.895522388062</v>
      </c>
      <c r="R56" s="69">
        <f>+Administración!M18</f>
        <v>35820.895522388062</v>
      </c>
      <c r="S56" s="137">
        <f t="shared" si="85"/>
        <v>0</v>
      </c>
      <c r="T56" s="137">
        <f t="shared" si="86"/>
        <v>35820.895522388062</v>
      </c>
      <c r="U56" s="69">
        <f>+Administración!N18</f>
        <v>35820.895522388062</v>
      </c>
      <c r="V56" s="137">
        <f t="shared" si="87"/>
        <v>0</v>
      </c>
      <c r="W56" s="137">
        <f t="shared" si="88"/>
        <v>35820.895522388062</v>
      </c>
      <c r="X56" s="69">
        <f>+Administración!O18</f>
        <v>35820.895522388062</v>
      </c>
      <c r="Y56" s="137">
        <f t="shared" si="89"/>
        <v>0</v>
      </c>
      <c r="Z56" s="137">
        <f t="shared" si="90"/>
        <v>179104.4776119403</v>
      </c>
      <c r="AA56" s="69">
        <f>+Administración!P18</f>
        <v>179104.4776119403</v>
      </c>
    </row>
    <row r="57" spans="1:27">
      <c r="A57" s="78"/>
      <c r="B57" s="78" t="s">
        <v>66</v>
      </c>
      <c r="C57" s="67">
        <f>+Administración!B19</f>
        <v>1</v>
      </c>
      <c r="D57" s="69">
        <f>+Administración!C19</f>
        <v>6000</v>
      </c>
      <c r="E57" s="117"/>
      <c r="F57" s="117"/>
      <c r="G57" s="117"/>
      <c r="H57" s="117"/>
      <c r="I57" s="117"/>
      <c r="J57" s="137">
        <f t="shared" si="79"/>
        <v>0</v>
      </c>
      <c r="K57" s="137">
        <f t="shared" si="80"/>
        <v>21492.537313432837</v>
      </c>
      <c r="L57" s="69">
        <f>+Administración!K19</f>
        <v>21492.537313432837</v>
      </c>
      <c r="M57" s="137">
        <f t="shared" si="81"/>
        <v>0</v>
      </c>
      <c r="N57" s="137">
        <f t="shared" si="82"/>
        <v>21492.537313432837</v>
      </c>
      <c r="O57" s="69">
        <f>+Administración!L19</f>
        <v>21492.537313432837</v>
      </c>
      <c r="P57" s="137">
        <f t="shared" si="83"/>
        <v>0</v>
      </c>
      <c r="Q57" s="137">
        <f t="shared" si="84"/>
        <v>21492.537313432837</v>
      </c>
      <c r="R57" s="69">
        <f>+Administración!M19</f>
        <v>21492.537313432837</v>
      </c>
      <c r="S57" s="137">
        <f t="shared" si="85"/>
        <v>0</v>
      </c>
      <c r="T57" s="137">
        <f t="shared" si="86"/>
        <v>21492.537313432837</v>
      </c>
      <c r="U57" s="69">
        <f>+Administración!N19</f>
        <v>21492.537313432837</v>
      </c>
      <c r="V57" s="137">
        <f t="shared" si="87"/>
        <v>0</v>
      </c>
      <c r="W57" s="137">
        <f t="shared" si="88"/>
        <v>21492.537313432837</v>
      </c>
      <c r="X57" s="69">
        <f>+Administración!O19</f>
        <v>21492.537313432837</v>
      </c>
      <c r="Y57" s="137">
        <f t="shared" si="89"/>
        <v>0</v>
      </c>
      <c r="Z57" s="137">
        <f t="shared" si="90"/>
        <v>107462.68656716419</v>
      </c>
      <c r="AA57" s="69">
        <f>+Administración!P19</f>
        <v>107462.68656716419</v>
      </c>
    </row>
    <row r="58" spans="1:27">
      <c r="A58" s="78"/>
      <c r="B58" s="78" t="s">
        <v>59</v>
      </c>
      <c r="C58" s="67">
        <f>+Administración!B20</f>
        <v>1</v>
      </c>
      <c r="D58" s="69">
        <f>+Administración!C20</f>
        <v>4000</v>
      </c>
      <c r="E58" s="117"/>
      <c r="F58" s="117"/>
      <c r="G58" s="117"/>
      <c r="H58" s="117"/>
      <c r="I58" s="117"/>
      <c r="J58" s="137">
        <f t="shared" si="79"/>
        <v>0</v>
      </c>
      <c r="K58" s="137">
        <f t="shared" si="80"/>
        <v>14328.358208955224</v>
      </c>
      <c r="L58" s="69">
        <f>+Administración!K20</f>
        <v>14328.358208955224</v>
      </c>
      <c r="M58" s="137">
        <f t="shared" si="81"/>
        <v>0</v>
      </c>
      <c r="N58" s="137">
        <f t="shared" si="82"/>
        <v>14328.358208955224</v>
      </c>
      <c r="O58" s="69">
        <f>+Administración!L20</f>
        <v>14328.358208955224</v>
      </c>
      <c r="P58" s="137">
        <f t="shared" si="83"/>
        <v>0</v>
      </c>
      <c r="Q58" s="137">
        <f t="shared" si="84"/>
        <v>14328.358208955224</v>
      </c>
      <c r="R58" s="69">
        <f>+Administración!M20</f>
        <v>14328.358208955224</v>
      </c>
      <c r="S58" s="137">
        <f t="shared" si="85"/>
        <v>0</v>
      </c>
      <c r="T58" s="137">
        <f t="shared" si="86"/>
        <v>14328.358208955224</v>
      </c>
      <c r="U58" s="69">
        <f>+Administración!N20</f>
        <v>14328.358208955224</v>
      </c>
      <c r="V58" s="137">
        <f t="shared" si="87"/>
        <v>0</v>
      </c>
      <c r="W58" s="137">
        <f t="shared" si="88"/>
        <v>14328.358208955224</v>
      </c>
      <c r="X58" s="69">
        <f>+Administración!O20</f>
        <v>14328.358208955224</v>
      </c>
      <c r="Y58" s="137">
        <f t="shared" si="89"/>
        <v>0</v>
      </c>
      <c r="Z58" s="137">
        <f t="shared" si="90"/>
        <v>71641.791044776124</v>
      </c>
      <c r="AA58" s="69">
        <f>+Administración!P20</f>
        <v>71641.791044776124</v>
      </c>
    </row>
    <row r="59" spans="1:27" s="111" customFormat="1">
      <c r="A59" s="76"/>
      <c r="B59" s="76" t="s">
        <v>67</v>
      </c>
      <c r="C59" s="140">
        <f>+Administración!B21</f>
        <v>0</v>
      </c>
      <c r="D59" s="139">
        <f>+Administración!C21</f>
        <v>0</v>
      </c>
      <c r="E59" s="138"/>
      <c r="F59" s="138"/>
      <c r="G59" s="138"/>
      <c r="H59" s="138"/>
      <c r="I59" s="138"/>
      <c r="J59" s="139">
        <f>+SUM(J60:J67)</f>
        <v>0</v>
      </c>
      <c r="K59" s="139">
        <f t="shared" ref="K59:AA59" si="92">+SUM(K60:K67)</f>
        <v>773731.34328358201</v>
      </c>
      <c r="L59" s="139">
        <f t="shared" si="92"/>
        <v>773731.34328358201</v>
      </c>
      <c r="M59" s="139">
        <f t="shared" si="92"/>
        <v>0</v>
      </c>
      <c r="N59" s="139">
        <f t="shared" si="92"/>
        <v>773731.34328358201</v>
      </c>
      <c r="O59" s="139">
        <f t="shared" si="92"/>
        <v>773731.34328358201</v>
      </c>
      <c r="P59" s="139">
        <f t="shared" si="92"/>
        <v>0</v>
      </c>
      <c r="Q59" s="139">
        <f t="shared" si="92"/>
        <v>773731.34328358201</v>
      </c>
      <c r="R59" s="139">
        <f t="shared" si="92"/>
        <v>773731.34328358201</v>
      </c>
      <c r="S59" s="139">
        <f t="shared" si="92"/>
        <v>0</v>
      </c>
      <c r="T59" s="139">
        <f t="shared" si="92"/>
        <v>773731.34328358201</v>
      </c>
      <c r="U59" s="139">
        <f t="shared" si="92"/>
        <v>773731.34328358201</v>
      </c>
      <c r="V59" s="139">
        <f t="shared" si="92"/>
        <v>0</v>
      </c>
      <c r="W59" s="139">
        <f t="shared" si="92"/>
        <v>773731.34328358201</v>
      </c>
      <c r="X59" s="139">
        <f t="shared" si="92"/>
        <v>773731.34328358201</v>
      </c>
      <c r="Y59" s="139">
        <f t="shared" si="92"/>
        <v>0</v>
      </c>
      <c r="Z59" s="139">
        <f t="shared" si="92"/>
        <v>3868656.7164179105</v>
      </c>
      <c r="AA59" s="139">
        <f t="shared" si="92"/>
        <v>3868656.7164179105</v>
      </c>
    </row>
    <row r="60" spans="1:27">
      <c r="A60" s="78"/>
      <c r="B60" s="78" t="s">
        <v>68</v>
      </c>
      <c r="C60" s="67">
        <f>+Administración!B22</f>
        <v>1</v>
      </c>
      <c r="D60" s="69">
        <f>+Administración!C22</f>
        <v>9000</v>
      </c>
      <c r="E60" s="117"/>
      <c r="F60" s="117"/>
      <c r="G60" s="117"/>
      <c r="H60" s="117"/>
      <c r="I60" s="117"/>
      <c r="J60" s="137">
        <f t="shared" si="79"/>
        <v>0</v>
      </c>
      <c r="K60" s="137">
        <f t="shared" si="80"/>
        <v>32238.805970149253</v>
      </c>
      <c r="L60" s="69">
        <f>+Administración!K22</f>
        <v>32238.805970149253</v>
      </c>
      <c r="M60" s="137">
        <f t="shared" si="81"/>
        <v>0</v>
      </c>
      <c r="N60" s="137">
        <f t="shared" si="82"/>
        <v>32238.805970149253</v>
      </c>
      <c r="O60" s="69">
        <f>+Administración!L22</f>
        <v>32238.805970149253</v>
      </c>
      <c r="P60" s="137">
        <f t="shared" si="83"/>
        <v>0</v>
      </c>
      <c r="Q60" s="137">
        <f t="shared" si="84"/>
        <v>32238.805970149253</v>
      </c>
      <c r="R60" s="69">
        <f>+Administración!M22</f>
        <v>32238.805970149253</v>
      </c>
      <c r="S60" s="137">
        <f t="shared" si="85"/>
        <v>0</v>
      </c>
      <c r="T60" s="137">
        <f t="shared" si="86"/>
        <v>32238.805970149253</v>
      </c>
      <c r="U60" s="69">
        <f>+Administración!N22</f>
        <v>32238.805970149253</v>
      </c>
      <c r="V60" s="137">
        <f t="shared" si="87"/>
        <v>0</v>
      </c>
      <c r="W60" s="137">
        <f t="shared" si="88"/>
        <v>32238.805970149253</v>
      </c>
      <c r="X60" s="69">
        <f>+Administración!O22</f>
        <v>32238.805970149253</v>
      </c>
      <c r="Y60" s="137">
        <f t="shared" si="89"/>
        <v>0</v>
      </c>
      <c r="Z60" s="137">
        <f t="shared" si="90"/>
        <v>161194.02985074627</v>
      </c>
      <c r="AA60" s="69">
        <f>+Administración!P22</f>
        <v>161194.02985074627</v>
      </c>
    </row>
    <row r="61" spans="1:27">
      <c r="A61" s="78"/>
      <c r="B61" s="78" t="s">
        <v>69</v>
      </c>
      <c r="C61" s="67">
        <f>+Administración!B23</f>
        <v>1</v>
      </c>
      <c r="D61" s="69">
        <f>+Administración!C23</f>
        <v>9000</v>
      </c>
      <c r="E61" s="117"/>
      <c r="F61" s="117"/>
      <c r="G61" s="117"/>
      <c r="H61" s="117"/>
      <c r="I61" s="117"/>
      <c r="J61" s="137">
        <f t="shared" si="79"/>
        <v>0</v>
      </c>
      <c r="K61" s="137">
        <f t="shared" si="80"/>
        <v>32238.805970149253</v>
      </c>
      <c r="L61" s="69">
        <f>+Administración!K23</f>
        <v>32238.805970149253</v>
      </c>
      <c r="M61" s="137">
        <f t="shared" si="81"/>
        <v>0</v>
      </c>
      <c r="N61" s="137">
        <f t="shared" si="82"/>
        <v>32238.805970149253</v>
      </c>
      <c r="O61" s="69">
        <f>+Administración!L23</f>
        <v>32238.805970149253</v>
      </c>
      <c r="P61" s="137">
        <f t="shared" si="83"/>
        <v>0</v>
      </c>
      <c r="Q61" s="137">
        <f t="shared" si="84"/>
        <v>32238.805970149253</v>
      </c>
      <c r="R61" s="69">
        <f>+Administración!M23</f>
        <v>32238.805970149253</v>
      </c>
      <c r="S61" s="137">
        <f t="shared" si="85"/>
        <v>0</v>
      </c>
      <c r="T61" s="137">
        <f t="shared" si="86"/>
        <v>32238.805970149253</v>
      </c>
      <c r="U61" s="69">
        <f>+Administración!N23</f>
        <v>32238.805970149253</v>
      </c>
      <c r="V61" s="137">
        <f t="shared" si="87"/>
        <v>0</v>
      </c>
      <c r="W61" s="137">
        <f t="shared" si="88"/>
        <v>32238.805970149253</v>
      </c>
      <c r="X61" s="69">
        <f>+Administración!O23</f>
        <v>32238.805970149253</v>
      </c>
      <c r="Y61" s="137">
        <f t="shared" si="89"/>
        <v>0</v>
      </c>
      <c r="Z61" s="137">
        <f t="shared" si="90"/>
        <v>161194.02985074627</v>
      </c>
      <c r="AA61" s="69">
        <f>+Administración!P23</f>
        <v>161194.02985074627</v>
      </c>
    </row>
    <row r="62" spans="1:27">
      <c r="A62" s="78"/>
      <c r="B62" s="78" t="s">
        <v>70</v>
      </c>
      <c r="C62" s="67">
        <f>+Administración!B24</f>
        <v>1</v>
      </c>
      <c r="D62" s="69">
        <f>+Administración!C24</f>
        <v>9000</v>
      </c>
      <c r="E62" s="117"/>
      <c r="F62" s="117"/>
      <c r="G62" s="117"/>
      <c r="H62" s="117"/>
      <c r="I62" s="117"/>
      <c r="J62" s="137">
        <f t="shared" si="79"/>
        <v>0</v>
      </c>
      <c r="K62" s="137">
        <f t="shared" si="80"/>
        <v>32238.805970149253</v>
      </c>
      <c r="L62" s="69">
        <f>+Administración!K24</f>
        <v>32238.805970149253</v>
      </c>
      <c r="M62" s="137">
        <f t="shared" si="81"/>
        <v>0</v>
      </c>
      <c r="N62" s="137">
        <f t="shared" si="82"/>
        <v>32238.805970149253</v>
      </c>
      <c r="O62" s="69">
        <f>+Administración!L24</f>
        <v>32238.805970149253</v>
      </c>
      <c r="P62" s="137">
        <f t="shared" si="83"/>
        <v>0</v>
      </c>
      <c r="Q62" s="137">
        <f t="shared" si="84"/>
        <v>32238.805970149253</v>
      </c>
      <c r="R62" s="69">
        <f>+Administración!M24</f>
        <v>32238.805970149253</v>
      </c>
      <c r="S62" s="137">
        <f t="shared" si="85"/>
        <v>0</v>
      </c>
      <c r="T62" s="137">
        <f t="shared" si="86"/>
        <v>32238.805970149253</v>
      </c>
      <c r="U62" s="69">
        <f>+Administración!N24</f>
        <v>32238.805970149253</v>
      </c>
      <c r="V62" s="137">
        <f t="shared" si="87"/>
        <v>0</v>
      </c>
      <c r="W62" s="137">
        <f t="shared" si="88"/>
        <v>32238.805970149253</v>
      </c>
      <c r="X62" s="69">
        <f>+Administración!O24</f>
        <v>32238.805970149253</v>
      </c>
      <c r="Y62" s="137">
        <f t="shared" si="89"/>
        <v>0</v>
      </c>
      <c r="Z62" s="137">
        <f t="shared" si="90"/>
        <v>161194.02985074627</v>
      </c>
      <c r="AA62" s="69">
        <f>+Administración!P24</f>
        <v>161194.02985074627</v>
      </c>
    </row>
    <row r="63" spans="1:27">
      <c r="A63" s="78"/>
      <c r="B63" s="78" t="s">
        <v>71</v>
      </c>
      <c r="C63" s="67">
        <f>+Administración!B25</f>
        <v>1</v>
      </c>
      <c r="D63" s="69">
        <f>+Administración!C25</f>
        <v>9000</v>
      </c>
      <c r="E63" s="117"/>
      <c r="F63" s="117"/>
      <c r="G63" s="117"/>
      <c r="H63" s="117"/>
      <c r="I63" s="117"/>
      <c r="J63" s="137">
        <f t="shared" si="79"/>
        <v>0</v>
      </c>
      <c r="K63" s="137">
        <f t="shared" si="80"/>
        <v>32238.805970149253</v>
      </c>
      <c r="L63" s="69">
        <f>+Administración!K25</f>
        <v>32238.805970149253</v>
      </c>
      <c r="M63" s="137">
        <f t="shared" si="81"/>
        <v>0</v>
      </c>
      <c r="N63" s="137">
        <f t="shared" si="82"/>
        <v>32238.805970149253</v>
      </c>
      <c r="O63" s="69">
        <f>+Administración!L25</f>
        <v>32238.805970149253</v>
      </c>
      <c r="P63" s="137">
        <f t="shared" si="83"/>
        <v>0</v>
      </c>
      <c r="Q63" s="137">
        <f t="shared" si="84"/>
        <v>32238.805970149253</v>
      </c>
      <c r="R63" s="69">
        <f>+Administración!M25</f>
        <v>32238.805970149253</v>
      </c>
      <c r="S63" s="137">
        <f t="shared" si="85"/>
        <v>0</v>
      </c>
      <c r="T63" s="137">
        <f t="shared" si="86"/>
        <v>32238.805970149253</v>
      </c>
      <c r="U63" s="69">
        <f>+Administración!N25</f>
        <v>32238.805970149253</v>
      </c>
      <c r="V63" s="137">
        <f t="shared" si="87"/>
        <v>0</v>
      </c>
      <c r="W63" s="137">
        <f t="shared" si="88"/>
        <v>32238.805970149253</v>
      </c>
      <c r="X63" s="69">
        <f>+Administración!O25</f>
        <v>32238.805970149253</v>
      </c>
      <c r="Y63" s="137">
        <f t="shared" si="89"/>
        <v>0</v>
      </c>
      <c r="Z63" s="137">
        <f t="shared" si="90"/>
        <v>161194.02985074627</v>
      </c>
      <c r="AA63" s="69">
        <f>+Administración!P25</f>
        <v>161194.02985074627</v>
      </c>
    </row>
    <row r="64" spans="1:27">
      <c r="A64" s="78"/>
      <c r="B64" s="78" t="s">
        <v>72</v>
      </c>
      <c r="C64" s="67">
        <f>+Administración!B26</f>
        <v>4</v>
      </c>
      <c r="D64" s="69">
        <f>+Administración!C26</f>
        <v>10000</v>
      </c>
      <c r="E64" s="117"/>
      <c r="F64" s="117"/>
      <c r="G64" s="117"/>
      <c r="H64" s="117"/>
      <c r="I64" s="117"/>
      <c r="J64" s="137">
        <f t="shared" si="79"/>
        <v>0</v>
      </c>
      <c r="K64" s="137">
        <f t="shared" si="80"/>
        <v>143283.58208955225</v>
      </c>
      <c r="L64" s="69">
        <f>+Administración!K26</f>
        <v>143283.58208955225</v>
      </c>
      <c r="M64" s="137">
        <f t="shared" si="81"/>
        <v>0</v>
      </c>
      <c r="N64" s="137">
        <f t="shared" si="82"/>
        <v>143283.58208955225</v>
      </c>
      <c r="O64" s="69">
        <f>+Administración!L26</f>
        <v>143283.58208955225</v>
      </c>
      <c r="P64" s="137">
        <f t="shared" si="83"/>
        <v>0</v>
      </c>
      <c r="Q64" s="137">
        <f t="shared" si="84"/>
        <v>143283.58208955225</v>
      </c>
      <c r="R64" s="69">
        <f>+Administración!M26</f>
        <v>143283.58208955225</v>
      </c>
      <c r="S64" s="137">
        <f t="shared" si="85"/>
        <v>0</v>
      </c>
      <c r="T64" s="137">
        <f t="shared" si="86"/>
        <v>143283.58208955225</v>
      </c>
      <c r="U64" s="69">
        <f>+Administración!N26</f>
        <v>143283.58208955225</v>
      </c>
      <c r="V64" s="137">
        <f t="shared" si="87"/>
        <v>0</v>
      </c>
      <c r="W64" s="137">
        <f t="shared" si="88"/>
        <v>143283.58208955225</v>
      </c>
      <c r="X64" s="69">
        <f>+Administración!O26</f>
        <v>143283.58208955225</v>
      </c>
      <c r="Y64" s="137">
        <f t="shared" si="89"/>
        <v>0</v>
      </c>
      <c r="Z64" s="137">
        <f t="shared" si="90"/>
        <v>716417.91044776118</v>
      </c>
      <c r="AA64" s="69">
        <f>+Administración!P26</f>
        <v>716417.91044776118</v>
      </c>
    </row>
    <row r="65" spans="1:27">
      <c r="A65" s="78"/>
      <c r="B65" s="78" t="s">
        <v>73</v>
      </c>
      <c r="C65" s="67">
        <f>+Administración!B27</f>
        <v>4</v>
      </c>
      <c r="D65" s="69">
        <f>+Administración!C27</f>
        <v>10000</v>
      </c>
      <c r="E65" s="117"/>
      <c r="F65" s="117"/>
      <c r="G65" s="117"/>
      <c r="H65" s="117"/>
      <c r="I65" s="117"/>
      <c r="J65" s="137">
        <f t="shared" si="79"/>
        <v>0</v>
      </c>
      <c r="K65" s="137">
        <f t="shared" si="80"/>
        <v>143283.58208955225</v>
      </c>
      <c r="L65" s="69">
        <f>+Administración!K27</f>
        <v>143283.58208955225</v>
      </c>
      <c r="M65" s="137">
        <f t="shared" si="81"/>
        <v>0</v>
      </c>
      <c r="N65" s="137">
        <f t="shared" si="82"/>
        <v>143283.58208955225</v>
      </c>
      <c r="O65" s="69">
        <f>+Administración!L27</f>
        <v>143283.58208955225</v>
      </c>
      <c r="P65" s="137">
        <f t="shared" si="83"/>
        <v>0</v>
      </c>
      <c r="Q65" s="137">
        <f t="shared" si="84"/>
        <v>143283.58208955225</v>
      </c>
      <c r="R65" s="69">
        <f>+Administración!M27</f>
        <v>143283.58208955225</v>
      </c>
      <c r="S65" s="137">
        <f t="shared" si="85"/>
        <v>0</v>
      </c>
      <c r="T65" s="137">
        <f t="shared" si="86"/>
        <v>143283.58208955225</v>
      </c>
      <c r="U65" s="69">
        <f>+Administración!N27</f>
        <v>143283.58208955225</v>
      </c>
      <c r="V65" s="137">
        <f t="shared" si="87"/>
        <v>0</v>
      </c>
      <c r="W65" s="137">
        <f t="shared" si="88"/>
        <v>143283.58208955225</v>
      </c>
      <c r="X65" s="69">
        <f>+Administración!O27</f>
        <v>143283.58208955225</v>
      </c>
      <c r="Y65" s="137">
        <f t="shared" si="89"/>
        <v>0</v>
      </c>
      <c r="Z65" s="137">
        <f t="shared" si="90"/>
        <v>716417.91044776118</v>
      </c>
      <c r="AA65" s="69">
        <f>+Administración!P27</f>
        <v>716417.91044776118</v>
      </c>
    </row>
    <row r="66" spans="1:27">
      <c r="A66" s="78"/>
      <c r="B66" s="78" t="s">
        <v>74</v>
      </c>
      <c r="C66" s="67">
        <f>+Administración!B28</f>
        <v>5</v>
      </c>
      <c r="D66" s="69">
        <f>+Administración!C28</f>
        <v>10000</v>
      </c>
      <c r="E66" s="117"/>
      <c r="F66" s="117"/>
      <c r="G66" s="117"/>
      <c r="H66" s="117"/>
      <c r="I66" s="117"/>
      <c r="J66" s="137">
        <f t="shared" si="79"/>
        <v>0</v>
      </c>
      <c r="K66" s="137">
        <f t="shared" si="80"/>
        <v>179104.4776119403</v>
      </c>
      <c r="L66" s="69">
        <f>+Administración!K28</f>
        <v>179104.4776119403</v>
      </c>
      <c r="M66" s="137">
        <f t="shared" si="81"/>
        <v>0</v>
      </c>
      <c r="N66" s="137">
        <f t="shared" si="82"/>
        <v>179104.4776119403</v>
      </c>
      <c r="O66" s="69">
        <f>+Administración!L28</f>
        <v>179104.4776119403</v>
      </c>
      <c r="P66" s="137">
        <f t="shared" si="83"/>
        <v>0</v>
      </c>
      <c r="Q66" s="137">
        <f t="shared" si="84"/>
        <v>179104.4776119403</v>
      </c>
      <c r="R66" s="69">
        <f>+Administración!M28</f>
        <v>179104.4776119403</v>
      </c>
      <c r="S66" s="137">
        <f t="shared" si="85"/>
        <v>0</v>
      </c>
      <c r="T66" s="137">
        <f t="shared" si="86"/>
        <v>179104.4776119403</v>
      </c>
      <c r="U66" s="69">
        <f>+Administración!N28</f>
        <v>179104.4776119403</v>
      </c>
      <c r="V66" s="137">
        <f t="shared" si="87"/>
        <v>0</v>
      </c>
      <c r="W66" s="137">
        <f t="shared" si="88"/>
        <v>179104.4776119403</v>
      </c>
      <c r="X66" s="69">
        <f>+Administración!O28</f>
        <v>179104.4776119403</v>
      </c>
      <c r="Y66" s="137">
        <f t="shared" si="89"/>
        <v>0</v>
      </c>
      <c r="Z66" s="137">
        <f t="shared" si="90"/>
        <v>895522.38805970154</v>
      </c>
      <c r="AA66" s="69">
        <f>+Administración!P28</f>
        <v>895522.38805970154</v>
      </c>
    </row>
    <row r="67" spans="1:27">
      <c r="A67" s="78"/>
      <c r="B67" s="78" t="s">
        <v>75</v>
      </c>
      <c r="C67" s="67">
        <f>+Administración!B29</f>
        <v>5</v>
      </c>
      <c r="D67" s="69">
        <f>+Administración!C29</f>
        <v>10000</v>
      </c>
      <c r="E67" s="117"/>
      <c r="F67" s="117"/>
      <c r="G67" s="117"/>
      <c r="H67" s="117"/>
      <c r="I67" s="117"/>
      <c r="J67" s="137">
        <f t="shared" si="79"/>
        <v>0</v>
      </c>
      <c r="K67" s="137">
        <f t="shared" si="80"/>
        <v>179104.4776119403</v>
      </c>
      <c r="L67" s="69">
        <f>+Administración!K29</f>
        <v>179104.4776119403</v>
      </c>
      <c r="M67" s="137">
        <f t="shared" si="81"/>
        <v>0</v>
      </c>
      <c r="N67" s="137">
        <f t="shared" si="82"/>
        <v>179104.4776119403</v>
      </c>
      <c r="O67" s="69">
        <f>+Administración!L29</f>
        <v>179104.4776119403</v>
      </c>
      <c r="P67" s="137">
        <f t="shared" si="83"/>
        <v>0</v>
      </c>
      <c r="Q67" s="137">
        <f t="shared" si="84"/>
        <v>179104.4776119403</v>
      </c>
      <c r="R67" s="69">
        <f>+Administración!M29</f>
        <v>179104.4776119403</v>
      </c>
      <c r="S67" s="137">
        <f t="shared" si="85"/>
        <v>0</v>
      </c>
      <c r="T67" s="137">
        <f t="shared" si="86"/>
        <v>179104.4776119403</v>
      </c>
      <c r="U67" s="69">
        <f>+Administración!N29</f>
        <v>179104.4776119403</v>
      </c>
      <c r="V67" s="137">
        <f t="shared" si="87"/>
        <v>0</v>
      </c>
      <c r="W67" s="137">
        <f t="shared" si="88"/>
        <v>179104.4776119403</v>
      </c>
      <c r="X67" s="69">
        <f>+Administración!O29</f>
        <v>179104.4776119403</v>
      </c>
      <c r="Y67" s="137">
        <f t="shared" si="89"/>
        <v>0</v>
      </c>
      <c r="Z67" s="137">
        <f t="shared" si="90"/>
        <v>895522.38805970154</v>
      </c>
      <c r="AA67" s="69">
        <f>+Administración!P29</f>
        <v>895522.38805970154</v>
      </c>
    </row>
    <row r="68" spans="1:27">
      <c r="A68" s="126"/>
      <c r="B68" s="126" t="s">
        <v>76</v>
      </c>
      <c r="C68" s="122">
        <f>+Administración!B30</f>
        <v>0</v>
      </c>
      <c r="D68" s="122">
        <f>+Administración!C30</f>
        <v>0</v>
      </c>
      <c r="E68" s="122"/>
      <c r="F68" s="122"/>
      <c r="G68" s="122"/>
      <c r="H68" s="122"/>
      <c r="I68" s="122"/>
      <c r="J68" s="122">
        <f t="shared" ref="J68:K68" si="93">+SUM(J69:J78)</f>
        <v>0</v>
      </c>
      <c r="K68" s="122">
        <f t="shared" si="93"/>
        <v>168358.2089552239</v>
      </c>
      <c r="L68" s="122">
        <f>+SUM(L69:L78)</f>
        <v>168358.2089552239</v>
      </c>
      <c r="M68" s="122">
        <f t="shared" ref="M68:AA68" si="94">+SUM(M69:M78)</f>
        <v>0</v>
      </c>
      <c r="N68" s="122">
        <f t="shared" si="94"/>
        <v>168358.2089552239</v>
      </c>
      <c r="O68" s="122">
        <f t="shared" si="94"/>
        <v>168358.2089552239</v>
      </c>
      <c r="P68" s="122">
        <f t="shared" si="94"/>
        <v>0</v>
      </c>
      <c r="Q68" s="122">
        <f t="shared" si="94"/>
        <v>168358.2089552239</v>
      </c>
      <c r="R68" s="122">
        <f t="shared" si="94"/>
        <v>168358.2089552239</v>
      </c>
      <c r="S68" s="122">
        <f t="shared" si="94"/>
        <v>0</v>
      </c>
      <c r="T68" s="122">
        <f t="shared" si="94"/>
        <v>168358.2089552239</v>
      </c>
      <c r="U68" s="122">
        <f t="shared" si="94"/>
        <v>168358.2089552239</v>
      </c>
      <c r="V68" s="122">
        <f t="shared" si="94"/>
        <v>0</v>
      </c>
      <c r="W68" s="122">
        <f t="shared" si="94"/>
        <v>168358.2089552239</v>
      </c>
      <c r="X68" s="122">
        <f t="shared" si="94"/>
        <v>168358.2089552239</v>
      </c>
      <c r="Y68" s="122">
        <f t="shared" si="94"/>
        <v>0</v>
      </c>
      <c r="Z68" s="122">
        <f t="shared" si="94"/>
        <v>841791.04477611929</v>
      </c>
      <c r="AA68" s="122">
        <f t="shared" si="94"/>
        <v>841791.04477611929</v>
      </c>
    </row>
    <row r="69" spans="1:27">
      <c r="A69" s="73"/>
      <c r="B69" s="73" t="s">
        <v>77</v>
      </c>
      <c r="C69" s="67">
        <f>+Administración!B31</f>
        <v>1</v>
      </c>
      <c r="D69" s="69">
        <f>+Administración!C31</f>
        <v>44000</v>
      </c>
      <c r="E69" s="117"/>
      <c r="F69" s="117"/>
      <c r="G69" s="117"/>
      <c r="H69" s="117"/>
      <c r="I69" s="117"/>
      <c r="J69" s="137">
        <f>0%*L69</f>
        <v>0</v>
      </c>
      <c r="K69" s="137">
        <f>100%*L69</f>
        <v>78805.970149253728</v>
      </c>
      <c r="L69" s="69">
        <f>+Administración!K31</f>
        <v>78805.970149253728</v>
      </c>
      <c r="M69" s="137">
        <f>0%*O69</f>
        <v>0</v>
      </c>
      <c r="N69" s="137">
        <f>100%*O69</f>
        <v>78805.970149253728</v>
      </c>
      <c r="O69" s="69">
        <f>+Administración!L31</f>
        <v>78805.970149253728</v>
      </c>
      <c r="P69" s="137">
        <f>0%*R69</f>
        <v>0</v>
      </c>
      <c r="Q69" s="137">
        <f>100%*R69</f>
        <v>78805.970149253728</v>
      </c>
      <c r="R69" s="69">
        <f>+Administración!M31</f>
        <v>78805.970149253728</v>
      </c>
      <c r="S69" s="137">
        <f>0%*U69</f>
        <v>0</v>
      </c>
      <c r="T69" s="137">
        <f>100%*U69</f>
        <v>78805.970149253728</v>
      </c>
      <c r="U69" s="69">
        <f>+Administración!N31</f>
        <v>78805.970149253728</v>
      </c>
      <c r="V69" s="137">
        <f>0%*X69</f>
        <v>0</v>
      </c>
      <c r="W69" s="137">
        <f>100%*X69</f>
        <v>78805.970149253728</v>
      </c>
      <c r="X69" s="69">
        <f>+Administración!O31</f>
        <v>78805.970149253728</v>
      </c>
      <c r="Y69" s="137">
        <f>0%*AA69</f>
        <v>0</v>
      </c>
      <c r="Z69" s="137">
        <f>100%*AA69</f>
        <v>394029.85074626864</v>
      </c>
      <c r="AA69" s="69">
        <f>+Administración!P31</f>
        <v>394029.85074626864</v>
      </c>
    </row>
    <row r="70" spans="1:27">
      <c r="A70" s="73"/>
      <c r="B70" s="73" t="s">
        <v>78</v>
      </c>
      <c r="C70" s="67">
        <f>+Administración!B32</f>
        <v>1</v>
      </c>
      <c r="D70" s="69">
        <f>+Administración!C32</f>
        <v>800</v>
      </c>
      <c r="E70" s="117"/>
      <c r="F70" s="117"/>
      <c r="G70" s="117"/>
      <c r="H70" s="117"/>
      <c r="I70" s="117"/>
      <c r="J70" s="137">
        <f t="shared" ref="J70:J78" si="95">0%*L70</f>
        <v>0</v>
      </c>
      <c r="K70" s="137">
        <f t="shared" ref="K70:K78" si="96">100%*L70</f>
        <v>1432.8358208955224</v>
      </c>
      <c r="L70" s="69">
        <f>+Administración!K32</f>
        <v>1432.8358208955224</v>
      </c>
      <c r="M70" s="137">
        <f t="shared" ref="M70:M78" si="97">0%*O70</f>
        <v>0</v>
      </c>
      <c r="N70" s="137">
        <f t="shared" ref="N70:N78" si="98">100%*O70</f>
        <v>1432.8358208955224</v>
      </c>
      <c r="O70" s="69">
        <f>+Administración!L32</f>
        <v>1432.8358208955224</v>
      </c>
      <c r="P70" s="137">
        <f t="shared" ref="P70:P78" si="99">0%*R70</f>
        <v>0</v>
      </c>
      <c r="Q70" s="137">
        <f t="shared" ref="Q70:Q78" si="100">100%*R70</f>
        <v>1432.8358208955224</v>
      </c>
      <c r="R70" s="69">
        <f>+Administración!M32</f>
        <v>1432.8358208955224</v>
      </c>
      <c r="S70" s="137">
        <f t="shared" ref="S70:S78" si="101">0%*U70</f>
        <v>0</v>
      </c>
      <c r="T70" s="137">
        <f t="shared" ref="T70:T78" si="102">100%*U70</f>
        <v>1432.8358208955224</v>
      </c>
      <c r="U70" s="69">
        <f>+Administración!N32</f>
        <v>1432.8358208955224</v>
      </c>
      <c r="V70" s="137">
        <f t="shared" ref="V70:V78" si="103">0%*X70</f>
        <v>0</v>
      </c>
      <c r="W70" s="137">
        <f t="shared" ref="W70:W78" si="104">100%*X70</f>
        <v>1432.8358208955224</v>
      </c>
      <c r="X70" s="69">
        <f>+Administración!O32</f>
        <v>1432.8358208955224</v>
      </c>
      <c r="Y70" s="137">
        <f t="shared" ref="Y70:Y78" si="105">0%*AA70</f>
        <v>0</v>
      </c>
      <c r="Z70" s="137">
        <f t="shared" ref="Z70:Z78" si="106">100%*AA70</f>
        <v>7164.1791044776119</v>
      </c>
      <c r="AA70" s="69">
        <f>+Administración!P32</f>
        <v>7164.1791044776119</v>
      </c>
    </row>
    <row r="71" spans="1:27">
      <c r="A71" s="73"/>
      <c r="B71" s="73" t="s">
        <v>79</v>
      </c>
      <c r="C71" s="67">
        <f>+Administración!B33</f>
        <v>1</v>
      </c>
      <c r="D71" s="69">
        <f>+Administración!C33</f>
        <v>200</v>
      </c>
      <c r="E71" s="117"/>
      <c r="F71" s="117"/>
      <c r="G71" s="117"/>
      <c r="H71" s="117"/>
      <c r="I71" s="117"/>
      <c r="J71" s="137">
        <f t="shared" si="95"/>
        <v>0</v>
      </c>
      <c r="K71" s="137">
        <f t="shared" si="96"/>
        <v>358.20895522388059</v>
      </c>
      <c r="L71" s="69">
        <f>+Administración!K33</f>
        <v>358.20895522388059</v>
      </c>
      <c r="M71" s="137">
        <f t="shared" si="97"/>
        <v>0</v>
      </c>
      <c r="N71" s="137">
        <f t="shared" si="98"/>
        <v>358.20895522388059</v>
      </c>
      <c r="O71" s="69">
        <f>+Administración!L33</f>
        <v>358.20895522388059</v>
      </c>
      <c r="P71" s="137">
        <f t="shared" si="99"/>
        <v>0</v>
      </c>
      <c r="Q71" s="137">
        <f t="shared" si="100"/>
        <v>358.20895522388059</v>
      </c>
      <c r="R71" s="69">
        <f>+Administración!M33</f>
        <v>358.20895522388059</v>
      </c>
      <c r="S71" s="137">
        <f t="shared" si="101"/>
        <v>0</v>
      </c>
      <c r="T71" s="137">
        <f t="shared" si="102"/>
        <v>358.20895522388059</v>
      </c>
      <c r="U71" s="69">
        <f>+Administración!N33</f>
        <v>358.20895522388059</v>
      </c>
      <c r="V71" s="137">
        <f t="shared" si="103"/>
        <v>0</v>
      </c>
      <c r="W71" s="137">
        <f t="shared" si="104"/>
        <v>358.20895522388059</v>
      </c>
      <c r="X71" s="69">
        <f>+Administración!O33</f>
        <v>358.20895522388059</v>
      </c>
      <c r="Y71" s="137">
        <f t="shared" si="105"/>
        <v>0</v>
      </c>
      <c r="Z71" s="137">
        <f t="shared" si="106"/>
        <v>1791.044776119403</v>
      </c>
      <c r="AA71" s="69">
        <f>+Administración!P33</f>
        <v>1791.044776119403</v>
      </c>
    </row>
    <row r="72" spans="1:27">
      <c r="A72" s="73"/>
      <c r="B72" s="73" t="s">
        <v>80</v>
      </c>
      <c r="C72" s="67">
        <f>+Administración!B34</f>
        <v>1</v>
      </c>
      <c r="D72" s="69">
        <f>+Administración!C34</f>
        <v>10000</v>
      </c>
      <c r="E72" s="117"/>
      <c r="F72" s="117"/>
      <c r="G72" s="117"/>
      <c r="H72" s="117"/>
      <c r="I72" s="117"/>
      <c r="J72" s="137">
        <f t="shared" si="95"/>
        <v>0</v>
      </c>
      <c r="K72" s="137">
        <f t="shared" si="96"/>
        <v>17910.447761194031</v>
      </c>
      <c r="L72" s="69">
        <f>+Administración!K34</f>
        <v>17910.447761194031</v>
      </c>
      <c r="M72" s="137">
        <f t="shared" si="97"/>
        <v>0</v>
      </c>
      <c r="N72" s="137">
        <f t="shared" si="98"/>
        <v>17910.447761194031</v>
      </c>
      <c r="O72" s="69">
        <f>+Administración!L34</f>
        <v>17910.447761194031</v>
      </c>
      <c r="P72" s="137">
        <f t="shared" si="99"/>
        <v>0</v>
      </c>
      <c r="Q72" s="137">
        <f t="shared" si="100"/>
        <v>17910.447761194031</v>
      </c>
      <c r="R72" s="69">
        <f>+Administración!M34</f>
        <v>17910.447761194031</v>
      </c>
      <c r="S72" s="137">
        <f t="shared" si="101"/>
        <v>0</v>
      </c>
      <c r="T72" s="137">
        <f t="shared" si="102"/>
        <v>17910.447761194031</v>
      </c>
      <c r="U72" s="69">
        <f>+Administración!N34</f>
        <v>17910.447761194031</v>
      </c>
      <c r="V72" s="137">
        <f t="shared" si="103"/>
        <v>0</v>
      </c>
      <c r="W72" s="137">
        <f t="shared" si="104"/>
        <v>17910.447761194031</v>
      </c>
      <c r="X72" s="69">
        <f>+Administración!O34</f>
        <v>17910.447761194031</v>
      </c>
      <c r="Y72" s="137">
        <f t="shared" si="105"/>
        <v>0</v>
      </c>
      <c r="Z72" s="137">
        <f t="shared" si="106"/>
        <v>89552.238805970148</v>
      </c>
      <c r="AA72" s="69">
        <f>+Administración!P34</f>
        <v>89552.238805970148</v>
      </c>
    </row>
    <row r="73" spans="1:27">
      <c r="A73" s="73"/>
      <c r="B73" s="73" t="s">
        <v>81</v>
      </c>
      <c r="C73" s="67">
        <f>+Administración!B35</f>
        <v>2</v>
      </c>
      <c r="D73" s="69">
        <f>+Administración!C35</f>
        <v>2000</v>
      </c>
      <c r="E73" s="117"/>
      <c r="F73" s="117"/>
      <c r="G73" s="117"/>
      <c r="H73" s="117"/>
      <c r="I73" s="117"/>
      <c r="J73" s="137">
        <f t="shared" si="95"/>
        <v>0</v>
      </c>
      <c r="K73" s="137">
        <f t="shared" si="96"/>
        <v>7164.1791044776119</v>
      </c>
      <c r="L73" s="69">
        <f>+Administración!K35</f>
        <v>7164.1791044776119</v>
      </c>
      <c r="M73" s="137">
        <f t="shared" si="97"/>
        <v>0</v>
      </c>
      <c r="N73" s="137">
        <f t="shared" si="98"/>
        <v>7164.1791044776119</v>
      </c>
      <c r="O73" s="69">
        <f>+Administración!L35</f>
        <v>7164.1791044776119</v>
      </c>
      <c r="P73" s="137">
        <f t="shared" si="99"/>
        <v>0</v>
      </c>
      <c r="Q73" s="137">
        <f t="shared" si="100"/>
        <v>7164.1791044776119</v>
      </c>
      <c r="R73" s="69">
        <f>+Administración!M35</f>
        <v>7164.1791044776119</v>
      </c>
      <c r="S73" s="137">
        <f t="shared" si="101"/>
        <v>0</v>
      </c>
      <c r="T73" s="137">
        <f t="shared" si="102"/>
        <v>7164.1791044776119</v>
      </c>
      <c r="U73" s="69">
        <f>+Administración!N35</f>
        <v>7164.1791044776119</v>
      </c>
      <c r="V73" s="137">
        <f t="shared" si="103"/>
        <v>0</v>
      </c>
      <c r="W73" s="137">
        <f t="shared" si="104"/>
        <v>7164.1791044776119</v>
      </c>
      <c r="X73" s="69">
        <f>+Administración!O35</f>
        <v>7164.1791044776119</v>
      </c>
      <c r="Y73" s="137">
        <f t="shared" si="105"/>
        <v>0</v>
      </c>
      <c r="Z73" s="137">
        <f t="shared" si="106"/>
        <v>35820.895522388062</v>
      </c>
      <c r="AA73" s="69">
        <f>+Administración!P35</f>
        <v>35820.895522388062</v>
      </c>
    </row>
    <row r="74" spans="1:27">
      <c r="A74" s="73"/>
      <c r="B74" s="73" t="s">
        <v>82</v>
      </c>
      <c r="C74" s="67">
        <f>+Administración!B36</f>
        <v>3</v>
      </c>
      <c r="D74" s="69">
        <f>+Administración!C36</f>
        <v>1500</v>
      </c>
      <c r="E74" s="114"/>
      <c r="F74" s="114"/>
      <c r="G74" s="114"/>
      <c r="H74" s="114"/>
      <c r="I74" s="114"/>
      <c r="J74" s="137">
        <f t="shared" si="95"/>
        <v>0</v>
      </c>
      <c r="K74" s="137">
        <f t="shared" si="96"/>
        <v>8059.7014925373132</v>
      </c>
      <c r="L74" s="69">
        <f>+Administración!K36</f>
        <v>8059.7014925373132</v>
      </c>
      <c r="M74" s="137">
        <f t="shared" si="97"/>
        <v>0</v>
      </c>
      <c r="N74" s="137">
        <f t="shared" si="98"/>
        <v>8059.7014925373132</v>
      </c>
      <c r="O74" s="69">
        <f>+Administración!L36</f>
        <v>8059.7014925373132</v>
      </c>
      <c r="P74" s="137">
        <f t="shared" si="99"/>
        <v>0</v>
      </c>
      <c r="Q74" s="137">
        <f t="shared" si="100"/>
        <v>8059.7014925373132</v>
      </c>
      <c r="R74" s="69">
        <f>+Administración!M36</f>
        <v>8059.7014925373132</v>
      </c>
      <c r="S74" s="137">
        <f t="shared" si="101"/>
        <v>0</v>
      </c>
      <c r="T74" s="137">
        <f t="shared" si="102"/>
        <v>8059.7014925373132</v>
      </c>
      <c r="U74" s="69">
        <f>+Administración!N36</f>
        <v>8059.7014925373132</v>
      </c>
      <c r="V74" s="137">
        <f t="shared" si="103"/>
        <v>0</v>
      </c>
      <c r="W74" s="137">
        <f t="shared" si="104"/>
        <v>8059.7014925373132</v>
      </c>
      <c r="X74" s="69">
        <f>+Administración!O36</f>
        <v>8059.7014925373132</v>
      </c>
      <c r="Y74" s="137">
        <f t="shared" si="105"/>
        <v>0</v>
      </c>
      <c r="Z74" s="137">
        <f t="shared" si="106"/>
        <v>40298.507462686568</v>
      </c>
      <c r="AA74" s="69">
        <f>+Administración!P36</f>
        <v>40298.507462686568</v>
      </c>
    </row>
    <row r="75" spans="1:27">
      <c r="A75" s="73"/>
      <c r="B75" s="73" t="s">
        <v>83</v>
      </c>
      <c r="C75" s="67">
        <f>+Administración!B37</f>
        <v>1</v>
      </c>
      <c r="D75" s="69">
        <f>+Administración!C37</f>
        <v>3000</v>
      </c>
      <c r="E75" s="114"/>
      <c r="F75" s="114"/>
      <c r="G75" s="114"/>
      <c r="H75" s="114"/>
      <c r="I75" s="114"/>
      <c r="J75" s="137">
        <f t="shared" si="95"/>
        <v>0</v>
      </c>
      <c r="K75" s="137">
        <f t="shared" si="96"/>
        <v>5373.1343283582091</v>
      </c>
      <c r="L75" s="69">
        <f>+Administración!K37</f>
        <v>5373.1343283582091</v>
      </c>
      <c r="M75" s="137">
        <f t="shared" si="97"/>
        <v>0</v>
      </c>
      <c r="N75" s="137">
        <f t="shared" si="98"/>
        <v>5373.1343283582091</v>
      </c>
      <c r="O75" s="69">
        <f>+Administración!L37</f>
        <v>5373.1343283582091</v>
      </c>
      <c r="P75" s="137">
        <f t="shared" si="99"/>
        <v>0</v>
      </c>
      <c r="Q75" s="137">
        <f t="shared" si="100"/>
        <v>5373.1343283582091</v>
      </c>
      <c r="R75" s="69">
        <f>+Administración!M37</f>
        <v>5373.1343283582091</v>
      </c>
      <c r="S75" s="137">
        <f t="shared" si="101"/>
        <v>0</v>
      </c>
      <c r="T75" s="137">
        <f t="shared" si="102"/>
        <v>5373.1343283582091</v>
      </c>
      <c r="U75" s="69">
        <f>+Administración!N37</f>
        <v>5373.1343283582091</v>
      </c>
      <c r="V75" s="137">
        <f t="shared" si="103"/>
        <v>0</v>
      </c>
      <c r="W75" s="137">
        <f t="shared" si="104"/>
        <v>5373.1343283582091</v>
      </c>
      <c r="X75" s="69">
        <f>+Administración!O37</f>
        <v>5373.1343283582091</v>
      </c>
      <c r="Y75" s="137">
        <f t="shared" si="105"/>
        <v>0</v>
      </c>
      <c r="Z75" s="137">
        <f t="shared" si="106"/>
        <v>26865.671641791047</v>
      </c>
      <c r="AA75" s="69">
        <f>+Administración!P37</f>
        <v>26865.671641791047</v>
      </c>
    </row>
    <row r="76" spans="1:27">
      <c r="A76" s="73"/>
      <c r="B76" s="73" t="s">
        <v>84</v>
      </c>
      <c r="C76" s="67">
        <f>+Administración!B38</f>
        <v>1</v>
      </c>
      <c r="D76" s="69">
        <f>+Administración!C38</f>
        <v>7000</v>
      </c>
      <c r="E76" s="114"/>
      <c r="F76" s="114"/>
      <c r="G76" s="114"/>
      <c r="H76" s="114"/>
      <c r="I76" s="114"/>
      <c r="J76" s="137">
        <f t="shared" si="95"/>
        <v>0</v>
      </c>
      <c r="K76" s="137">
        <f t="shared" si="96"/>
        <v>12537.313432835821</v>
      </c>
      <c r="L76" s="69">
        <f>+Administración!K38</f>
        <v>12537.313432835821</v>
      </c>
      <c r="M76" s="137">
        <f t="shared" si="97"/>
        <v>0</v>
      </c>
      <c r="N76" s="137">
        <f t="shared" si="98"/>
        <v>12537.313432835821</v>
      </c>
      <c r="O76" s="69">
        <f>+Administración!L38</f>
        <v>12537.313432835821</v>
      </c>
      <c r="P76" s="137">
        <f t="shared" si="99"/>
        <v>0</v>
      </c>
      <c r="Q76" s="137">
        <f t="shared" si="100"/>
        <v>12537.313432835821</v>
      </c>
      <c r="R76" s="69">
        <f>+Administración!M38</f>
        <v>12537.313432835821</v>
      </c>
      <c r="S76" s="137">
        <f t="shared" si="101"/>
        <v>0</v>
      </c>
      <c r="T76" s="137">
        <f t="shared" si="102"/>
        <v>12537.313432835821</v>
      </c>
      <c r="U76" s="69">
        <f>+Administración!N38</f>
        <v>12537.313432835821</v>
      </c>
      <c r="V76" s="137">
        <f t="shared" si="103"/>
        <v>0</v>
      </c>
      <c r="W76" s="137">
        <f t="shared" si="104"/>
        <v>12537.313432835821</v>
      </c>
      <c r="X76" s="69">
        <f>+Administración!O38</f>
        <v>12537.313432835821</v>
      </c>
      <c r="Y76" s="137">
        <f t="shared" si="105"/>
        <v>0</v>
      </c>
      <c r="Z76" s="137">
        <f t="shared" si="106"/>
        <v>62686.567164179105</v>
      </c>
      <c r="AA76" s="69">
        <f>+Administración!P38</f>
        <v>62686.567164179105</v>
      </c>
    </row>
    <row r="77" spans="1:27">
      <c r="A77" s="73"/>
      <c r="B77" s="73" t="s">
        <v>85</v>
      </c>
      <c r="C77" s="67">
        <f>+Administración!B39</f>
        <v>1</v>
      </c>
      <c r="D77" s="69">
        <f>+Administración!C39</f>
        <v>20000</v>
      </c>
      <c r="E77" s="114"/>
      <c r="F77" s="114"/>
      <c r="G77" s="114"/>
      <c r="H77" s="114"/>
      <c r="I77" s="114"/>
      <c r="J77" s="137">
        <f t="shared" si="95"/>
        <v>0</v>
      </c>
      <c r="K77" s="137">
        <f t="shared" si="96"/>
        <v>35820.895522388062</v>
      </c>
      <c r="L77" s="69">
        <f>+Administración!K39</f>
        <v>35820.895522388062</v>
      </c>
      <c r="M77" s="137">
        <f t="shared" si="97"/>
        <v>0</v>
      </c>
      <c r="N77" s="137">
        <f t="shared" si="98"/>
        <v>35820.895522388062</v>
      </c>
      <c r="O77" s="69">
        <f>+Administración!L39</f>
        <v>35820.895522388062</v>
      </c>
      <c r="P77" s="137">
        <f t="shared" si="99"/>
        <v>0</v>
      </c>
      <c r="Q77" s="137">
        <f t="shared" si="100"/>
        <v>35820.895522388062</v>
      </c>
      <c r="R77" s="69">
        <f>+Administración!M39</f>
        <v>35820.895522388062</v>
      </c>
      <c r="S77" s="137">
        <f t="shared" si="101"/>
        <v>0</v>
      </c>
      <c r="T77" s="137">
        <f t="shared" si="102"/>
        <v>35820.895522388062</v>
      </c>
      <c r="U77" s="69">
        <f>+Administración!N39</f>
        <v>35820.895522388062</v>
      </c>
      <c r="V77" s="137">
        <f t="shared" si="103"/>
        <v>0</v>
      </c>
      <c r="W77" s="137">
        <f t="shared" si="104"/>
        <v>35820.895522388062</v>
      </c>
      <c r="X77" s="69">
        <f>+Administración!O39</f>
        <v>35820.895522388062</v>
      </c>
      <c r="Y77" s="137">
        <f t="shared" si="105"/>
        <v>0</v>
      </c>
      <c r="Z77" s="137">
        <f t="shared" si="106"/>
        <v>179104.4776119403</v>
      </c>
      <c r="AA77" s="69">
        <f>+Administración!P39</f>
        <v>179104.4776119403</v>
      </c>
    </row>
    <row r="78" spans="1:27">
      <c r="A78" s="73"/>
      <c r="B78" s="73" t="s">
        <v>86</v>
      </c>
      <c r="C78" s="67">
        <f>+Administración!B40</f>
        <v>1</v>
      </c>
      <c r="D78" s="69">
        <f>+Administración!C40</f>
        <v>500</v>
      </c>
      <c r="E78" s="114"/>
      <c r="F78" s="114"/>
      <c r="G78" s="114"/>
      <c r="H78" s="114"/>
      <c r="I78" s="114"/>
      <c r="J78" s="137">
        <f t="shared" si="95"/>
        <v>0</v>
      </c>
      <c r="K78" s="137">
        <f t="shared" si="96"/>
        <v>895.52238805970148</v>
      </c>
      <c r="L78" s="69">
        <f>+Administración!K40</f>
        <v>895.52238805970148</v>
      </c>
      <c r="M78" s="137">
        <f t="shared" si="97"/>
        <v>0</v>
      </c>
      <c r="N78" s="137">
        <f t="shared" si="98"/>
        <v>895.52238805970148</v>
      </c>
      <c r="O78" s="69">
        <f>+Administración!L40</f>
        <v>895.52238805970148</v>
      </c>
      <c r="P78" s="137">
        <f t="shared" si="99"/>
        <v>0</v>
      </c>
      <c r="Q78" s="137">
        <f t="shared" si="100"/>
        <v>895.52238805970148</v>
      </c>
      <c r="R78" s="69">
        <f>+Administración!M40</f>
        <v>895.52238805970148</v>
      </c>
      <c r="S78" s="137">
        <f t="shared" si="101"/>
        <v>0</v>
      </c>
      <c r="T78" s="137">
        <f t="shared" si="102"/>
        <v>895.52238805970148</v>
      </c>
      <c r="U78" s="69">
        <f>+Administración!N40</f>
        <v>895.52238805970148</v>
      </c>
      <c r="V78" s="137">
        <f t="shared" si="103"/>
        <v>0</v>
      </c>
      <c r="W78" s="137">
        <f t="shared" si="104"/>
        <v>895.52238805970148</v>
      </c>
      <c r="X78" s="69">
        <f>+Administración!O40</f>
        <v>895.52238805970148</v>
      </c>
      <c r="Y78" s="137">
        <f t="shared" si="105"/>
        <v>0</v>
      </c>
      <c r="Z78" s="137">
        <f t="shared" si="106"/>
        <v>4477.6119402985078</v>
      </c>
      <c r="AA78" s="69">
        <f>+Administración!P40</f>
        <v>4477.6119402985078</v>
      </c>
    </row>
    <row r="79" spans="1:27" ht="28.5" customHeight="1">
      <c r="A79" s="126"/>
      <c r="B79" s="126" t="s">
        <v>87</v>
      </c>
      <c r="C79" s="122">
        <f>+Administración!B41</f>
        <v>0</v>
      </c>
      <c r="D79" s="122">
        <f>+Administración!C41</f>
        <v>0</v>
      </c>
      <c r="E79" s="122"/>
      <c r="F79" s="122"/>
      <c r="G79" s="122"/>
      <c r="H79" s="122"/>
      <c r="I79" s="122"/>
      <c r="J79" s="122">
        <f>+SUM(J80:J94)</f>
        <v>0</v>
      </c>
      <c r="K79" s="122">
        <f t="shared" ref="K79" si="107">+SUM(K80:K94)</f>
        <v>165283.58208955225</v>
      </c>
      <c r="L79" s="122">
        <f>+SUM(L80:L94)</f>
        <v>165283.58208955225</v>
      </c>
      <c r="M79" s="122">
        <f t="shared" ref="M79:AA79" si="108">+SUM(M80:M94)</f>
        <v>0</v>
      </c>
      <c r="N79" s="122">
        <f t="shared" si="108"/>
        <v>0</v>
      </c>
      <c r="O79" s="122">
        <f t="shared" si="108"/>
        <v>0</v>
      </c>
      <c r="P79" s="122">
        <f t="shared" si="108"/>
        <v>0</v>
      </c>
      <c r="Q79" s="122">
        <f t="shared" si="108"/>
        <v>0</v>
      </c>
      <c r="R79" s="122">
        <f t="shared" si="108"/>
        <v>0</v>
      </c>
      <c r="S79" s="122">
        <f t="shared" si="108"/>
        <v>0</v>
      </c>
      <c r="T79" s="122">
        <f t="shared" si="108"/>
        <v>0</v>
      </c>
      <c r="U79" s="122">
        <f t="shared" si="108"/>
        <v>0</v>
      </c>
      <c r="V79" s="122">
        <f t="shared" si="108"/>
        <v>0</v>
      </c>
      <c r="W79" s="122">
        <f t="shared" si="108"/>
        <v>0</v>
      </c>
      <c r="X79" s="122">
        <f t="shared" si="108"/>
        <v>0</v>
      </c>
      <c r="Y79" s="122">
        <f t="shared" si="108"/>
        <v>0</v>
      </c>
      <c r="Z79" s="122">
        <f t="shared" si="108"/>
        <v>165283.58208955225</v>
      </c>
      <c r="AA79" s="122">
        <f t="shared" si="108"/>
        <v>165283.58208955225</v>
      </c>
    </row>
    <row r="80" spans="1:27" hidden="1">
      <c r="A80" s="73"/>
      <c r="B80" s="73" t="s">
        <v>88</v>
      </c>
      <c r="C80" s="67">
        <f>+Administración!B42</f>
        <v>34.5</v>
      </c>
      <c r="D80" s="69">
        <f>+Administración!C42</f>
        <v>5000</v>
      </c>
      <c r="E80" s="114"/>
      <c r="F80" s="114"/>
      <c r="G80" s="114"/>
      <c r="H80" s="114"/>
      <c r="I80" s="114"/>
      <c r="J80" s="137">
        <f>0%*L80</f>
        <v>0</v>
      </c>
      <c r="K80" s="137">
        <f>100%*L80</f>
        <v>51492.537313432833</v>
      </c>
      <c r="L80" s="69">
        <f>+Administración!K42</f>
        <v>51492.537313432833</v>
      </c>
      <c r="M80" s="137">
        <f>0%*O80</f>
        <v>0</v>
      </c>
      <c r="N80" s="137">
        <f>100%*O80</f>
        <v>0</v>
      </c>
      <c r="O80" s="69">
        <f>+Administración!L42</f>
        <v>0</v>
      </c>
      <c r="P80" s="137">
        <f>0%*R80</f>
        <v>0</v>
      </c>
      <c r="Q80" s="137">
        <f>100%*R80</f>
        <v>0</v>
      </c>
      <c r="R80" s="69">
        <f>+Administración!M42</f>
        <v>0</v>
      </c>
      <c r="S80" s="137">
        <f>0%*U80</f>
        <v>0</v>
      </c>
      <c r="T80" s="137">
        <f>100%*U80</f>
        <v>0</v>
      </c>
      <c r="U80" s="69">
        <f>+Administración!N42</f>
        <v>0</v>
      </c>
      <c r="V80" s="137">
        <f>0%*X80</f>
        <v>0</v>
      </c>
      <c r="W80" s="137">
        <f>100%*X80</f>
        <v>0</v>
      </c>
      <c r="X80" s="69">
        <f>+Administración!O42</f>
        <v>0</v>
      </c>
      <c r="Y80" s="137">
        <f>0%*AA80</f>
        <v>0</v>
      </c>
      <c r="Z80" s="137">
        <f>100%*AA80</f>
        <v>51492.537313432833</v>
      </c>
      <c r="AA80" s="69">
        <f>+Administración!P42</f>
        <v>51492.537313432833</v>
      </c>
    </row>
    <row r="81" spans="1:27" hidden="1">
      <c r="A81" s="73"/>
      <c r="B81" s="73" t="s">
        <v>89</v>
      </c>
      <c r="C81" s="67">
        <f>+Administración!B43</f>
        <v>3</v>
      </c>
      <c r="D81" s="69">
        <f>+Administración!C43</f>
        <v>5000</v>
      </c>
      <c r="E81" s="114"/>
      <c r="F81" s="114"/>
      <c r="G81" s="114"/>
      <c r="H81" s="114"/>
      <c r="I81" s="114"/>
      <c r="J81" s="137">
        <f t="shared" ref="J81:J94" si="109">0%*L81</f>
        <v>0</v>
      </c>
      <c r="K81" s="137">
        <f t="shared" ref="K81:K94" si="110">100%*L81</f>
        <v>4477.6119402985078</v>
      </c>
      <c r="L81" s="69">
        <f>+Administración!K43</f>
        <v>4477.6119402985078</v>
      </c>
      <c r="M81" s="137">
        <f t="shared" ref="M81:M94" si="111">0%*O81</f>
        <v>0</v>
      </c>
      <c r="N81" s="137">
        <f t="shared" ref="N81:N94" si="112">100%*O81</f>
        <v>0</v>
      </c>
      <c r="O81" s="69">
        <f>+Administración!L43</f>
        <v>0</v>
      </c>
      <c r="P81" s="137">
        <f t="shared" ref="P81:P94" si="113">0%*R81</f>
        <v>0</v>
      </c>
      <c r="Q81" s="137">
        <f t="shared" ref="Q81:Q94" si="114">100%*R81</f>
        <v>0</v>
      </c>
      <c r="R81" s="69">
        <f>+Administración!M43</f>
        <v>0</v>
      </c>
      <c r="S81" s="137">
        <f t="shared" ref="S81:S94" si="115">0%*U81</f>
        <v>0</v>
      </c>
      <c r="T81" s="137">
        <f t="shared" ref="T81:T94" si="116">100%*U81</f>
        <v>0</v>
      </c>
      <c r="U81" s="69">
        <f>+Administración!N43</f>
        <v>0</v>
      </c>
      <c r="V81" s="137">
        <f t="shared" ref="V81:V94" si="117">0%*X81</f>
        <v>0</v>
      </c>
      <c r="W81" s="137">
        <f t="shared" ref="W81:W94" si="118">100%*X81</f>
        <v>0</v>
      </c>
      <c r="X81" s="69">
        <f>+Administración!O43</f>
        <v>0</v>
      </c>
      <c r="Y81" s="137">
        <f t="shared" ref="Y81:Y94" si="119">0%*AA81</f>
        <v>0</v>
      </c>
      <c r="Z81" s="137">
        <f t="shared" ref="Z81:Z94" si="120">100%*AA81</f>
        <v>4477.6119402985078</v>
      </c>
      <c r="AA81" s="69">
        <f>+Administración!P43</f>
        <v>4477.6119402985078</v>
      </c>
    </row>
    <row r="82" spans="1:27" hidden="1">
      <c r="A82" s="73"/>
      <c r="B82" s="73" t="s">
        <v>90</v>
      </c>
      <c r="C82" s="67">
        <f>+Administración!B44</f>
        <v>10</v>
      </c>
      <c r="D82" s="69">
        <f>+Administración!C44</f>
        <v>2000</v>
      </c>
      <c r="E82" s="114"/>
      <c r="F82" s="114"/>
      <c r="G82" s="114"/>
      <c r="H82" s="114"/>
      <c r="I82" s="114"/>
      <c r="J82" s="137">
        <f t="shared" si="109"/>
        <v>0</v>
      </c>
      <c r="K82" s="137">
        <f t="shared" si="110"/>
        <v>5970.1492537313434</v>
      </c>
      <c r="L82" s="69">
        <f>+Administración!K44</f>
        <v>5970.1492537313434</v>
      </c>
      <c r="M82" s="137">
        <f t="shared" si="111"/>
        <v>0</v>
      </c>
      <c r="N82" s="137">
        <f t="shared" si="112"/>
        <v>0</v>
      </c>
      <c r="O82" s="69">
        <f>+Administración!L44</f>
        <v>0</v>
      </c>
      <c r="P82" s="137">
        <f t="shared" si="113"/>
        <v>0</v>
      </c>
      <c r="Q82" s="137">
        <f t="shared" si="114"/>
        <v>0</v>
      </c>
      <c r="R82" s="69">
        <f>+Administración!M44</f>
        <v>0</v>
      </c>
      <c r="S82" s="137">
        <f t="shared" si="115"/>
        <v>0</v>
      </c>
      <c r="T82" s="137">
        <f t="shared" si="116"/>
        <v>0</v>
      </c>
      <c r="U82" s="69">
        <f>+Administración!N44</f>
        <v>0</v>
      </c>
      <c r="V82" s="137">
        <f t="shared" si="117"/>
        <v>0</v>
      </c>
      <c r="W82" s="137">
        <f t="shared" si="118"/>
        <v>0</v>
      </c>
      <c r="X82" s="69">
        <f>+Administración!O44</f>
        <v>0</v>
      </c>
      <c r="Y82" s="137">
        <f t="shared" si="119"/>
        <v>0</v>
      </c>
      <c r="Z82" s="137">
        <f t="shared" si="120"/>
        <v>5970.1492537313434</v>
      </c>
      <c r="AA82" s="69">
        <f>+Administración!P44</f>
        <v>5970.1492537313434</v>
      </c>
    </row>
    <row r="83" spans="1:27" hidden="1">
      <c r="A83" s="73"/>
      <c r="B83" s="73" t="s">
        <v>91</v>
      </c>
      <c r="C83" s="67">
        <f>+Administración!B45</f>
        <v>2</v>
      </c>
      <c r="D83" s="69">
        <f>+Administración!C45</f>
        <v>10000</v>
      </c>
      <c r="E83" s="114"/>
      <c r="F83" s="114"/>
      <c r="G83" s="114"/>
      <c r="H83" s="114"/>
      <c r="I83" s="114"/>
      <c r="J83" s="137">
        <f t="shared" si="109"/>
        <v>0</v>
      </c>
      <c r="K83" s="137">
        <f t="shared" si="110"/>
        <v>5970.1492537313434</v>
      </c>
      <c r="L83" s="69">
        <f>+Administración!K45</f>
        <v>5970.1492537313434</v>
      </c>
      <c r="M83" s="137">
        <f t="shared" si="111"/>
        <v>0</v>
      </c>
      <c r="N83" s="137">
        <f t="shared" si="112"/>
        <v>0</v>
      </c>
      <c r="O83" s="69">
        <f>+Administración!L45</f>
        <v>0</v>
      </c>
      <c r="P83" s="137">
        <f t="shared" si="113"/>
        <v>0</v>
      </c>
      <c r="Q83" s="137">
        <f t="shared" si="114"/>
        <v>0</v>
      </c>
      <c r="R83" s="69">
        <f>+Administración!M45</f>
        <v>0</v>
      </c>
      <c r="S83" s="137">
        <f t="shared" si="115"/>
        <v>0</v>
      </c>
      <c r="T83" s="137">
        <f t="shared" si="116"/>
        <v>0</v>
      </c>
      <c r="U83" s="69">
        <f>+Administración!N45</f>
        <v>0</v>
      </c>
      <c r="V83" s="137">
        <f t="shared" si="117"/>
        <v>0</v>
      </c>
      <c r="W83" s="137">
        <f t="shared" si="118"/>
        <v>0</v>
      </c>
      <c r="X83" s="69">
        <f>+Administración!O45</f>
        <v>0</v>
      </c>
      <c r="Y83" s="137">
        <f t="shared" si="119"/>
        <v>0</v>
      </c>
      <c r="Z83" s="137">
        <f t="shared" si="120"/>
        <v>5970.1492537313434</v>
      </c>
      <c r="AA83" s="69">
        <f>+Administración!P45</f>
        <v>5970.1492537313434</v>
      </c>
    </row>
    <row r="84" spans="1:27" hidden="1">
      <c r="A84" s="73"/>
      <c r="B84" s="73" t="s">
        <v>92</v>
      </c>
      <c r="C84" s="67">
        <f>+Administración!B46</f>
        <v>5</v>
      </c>
      <c r="D84" s="69">
        <f>+Administración!C46</f>
        <v>1500</v>
      </c>
      <c r="E84" s="114"/>
      <c r="F84" s="114"/>
      <c r="G84" s="114"/>
      <c r="H84" s="114"/>
      <c r="I84" s="114"/>
      <c r="J84" s="137">
        <f t="shared" si="109"/>
        <v>0</v>
      </c>
      <c r="K84" s="137">
        <f t="shared" si="110"/>
        <v>2238.8059701492539</v>
      </c>
      <c r="L84" s="69">
        <f>+Administración!K46</f>
        <v>2238.8059701492539</v>
      </c>
      <c r="M84" s="137">
        <f t="shared" si="111"/>
        <v>0</v>
      </c>
      <c r="N84" s="137">
        <f t="shared" si="112"/>
        <v>0</v>
      </c>
      <c r="O84" s="69">
        <f>+Administración!L46</f>
        <v>0</v>
      </c>
      <c r="P84" s="137">
        <f t="shared" si="113"/>
        <v>0</v>
      </c>
      <c r="Q84" s="137">
        <f t="shared" si="114"/>
        <v>0</v>
      </c>
      <c r="R84" s="69">
        <f>+Administración!M46</f>
        <v>0</v>
      </c>
      <c r="S84" s="137">
        <f t="shared" si="115"/>
        <v>0</v>
      </c>
      <c r="T84" s="137">
        <f t="shared" si="116"/>
        <v>0</v>
      </c>
      <c r="U84" s="69">
        <f>+Administración!N46</f>
        <v>0</v>
      </c>
      <c r="V84" s="137">
        <f t="shared" si="117"/>
        <v>0</v>
      </c>
      <c r="W84" s="137">
        <f t="shared" si="118"/>
        <v>0</v>
      </c>
      <c r="X84" s="69">
        <f>+Administración!O46</f>
        <v>0</v>
      </c>
      <c r="Y84" s="137">
        <f t="shared" si="119"/>
        <v>0</v>
      </c>
      <c r="Z84" s="137">
        <f t="shared" si="120"/>
        <v>2238.8059701492539</v>
      </c>
      <c r="AA84" s="69">
        <f>+Administración!P46</f>
        <v>2238.8059701492539</v>
      </c>
    </row>
    <row r="85" spans="1:27" hidden="1">
      <c r="A85" s="73"/>
      <c r="B85" s="73" t="s">
        <v>93</v>
      </c>
      <c r="C85" s="67">
        <f>+Administración!B47</f>
        <v>4</v>
      </c>
      <c r="D85" s="69">
        <f>+Administración!C47</f>
        <v>4500</v>
      </c>
      <c r="E85" s="114"/>
      <c r="F85" s="114"/>
      <c r="G85" s="114"/>
      <c r="H85" s="114"/>
      <c r="I85" s="114"/>
      <c r="J85" s="137">
        <f t="shared" si="109"/>
        <v>0</v>
      </c>
      <c r="K85" s="137">
        <f t="shared" si="110"/>
        <v>5373.1343283582091</v>
      </c>
      <c r="L85" s="69">
        <f>+Administración!K47</f>
        <v>5373.1343283582091</v>
      </c>
      <c r="M85" s="137">
        <f t="shared" si="111"/>
        <v>0</v>
      </c>
      <c r="N85" s="137">
        <f t="shared" si="112"/>
        <v>0</v>
      </c>
      <c r="O85" s="69">
        <f>+Administración!L47</f>
        <v>0</v>
      </c>
      <c r="P85" s="137">
        <f t="shared" si="113"/>
        <v>0</v>
      </c>
      <c r="Q85" s="137">
        <f t="shared" si="114"/>
        <v>0</v>
      </c>
      <c r="R85" s="69">
        <f>+Administración!M47</f>
        <v>0</v>
      </c>
      <c r="S85" s="137">
        <f t="shared" si="115"/>
        <v>0</v>
      </c>
      <c r="T85" s="137">
        <f t="shared" si="116"/>
        <v>0</v>
      </c>
      <c r="U85" s="69">
        <f>+Administración!N47</f>
        <v>0</v>
      </c>
      <c r="V85" s="137">
        <f t="shared" si="117"/>
        <v>0</v>
      </c>
      <c r="W85" s="137">
        <f t="shared" si="118"/>
        <v>0</v>
      </c>
      <c r="X85" s="69">
        <f>+Administración!O47</f>
        <v>0</v>
      </c>
      <c r="Y85" s="137">
        <f t="shared" si="119"/>
        <v>0</v>
      </c>
      <c r="Z85" s="137">
        <f t="shared" si="120"/>
        <v>5373.1343283582091</v>
      </c>
      <c r="AA85" s="69">
        <f>+Administración!P47</f>
        <v>5373.1343283582091</v>
      </c>
    </row>
    <row r="86" spans="1:27" hidden="1">
      <c r="A86" s="73"/>
      <c r="B86" s="73" t="s">
        <v>94</v>
      </c>
      <c r="C86" s="67">
        <f>+Administración!B48</f>
        <v>4</v>
      </c>
      <c r="D86" s="69">
        <f>+Administración!C48</f>
        <v>4000</v>
      </c>
      <c r="E86" s="114"/>
      <c r="F86" s="114"/>
      <c r="G86" s="114"/>
      <c r="H86" s="114"/>
      <c r="I86" s="114"/>
      <c r="J86" s="137">
        <f t="shared" si="109"/>
        <v>0</v>
      </c>
      <c r="K86" s="137">
        <f t="shared" si="110"/>
        <v>4776.1194029850749</v>
      </c>
      <c r="L86" s="69">
        <f>+Administración!K48</f>
        <v>4776.1194029850749</v>
      </c>
      <c r="M86" s="137">
        <f t="shared" si="111"/>
        <v>0</v>
      </c>
      <c r="N86" s="137">
        <f t="shared" si="112"/>
        <v>0</v>
      </c>
      <c r="O86" s="69">
        <f>+Administración!L48</f>
        <v>0</v>
      </c>
      <c r="P86" s="137">
        <f t="shared" si="113"/>
        <v>0</v>
      </c>
      <c r="Q86" s="137">
        <f t="shared" si="114"/>
        <v>0</v>
      </c>
      <c r="R86" s="69">
        <f>+Administración!M48</f>
        <v>0</v>
      </c>
      <c r="S86" s="137">
        <f t="shared" si="115"/>
        <v>0</v>
      </c>
      <c r="T86" s="137">
        <f t="shared" si="116"/>
        <v>0</v>
      </c>
      <c r="U86" s="69">
        <f>+Administración!N48</f>
        <v>0</v>
      </c>
      <c r="V86" s="137">
        <f t="shared" si="117"/>
        <v>0</v>
      </c>
      <c r="W86" s="137">
        <f t="shared" si="118"/>
        <v>0</v>
      </c>
      <c r="X86" s="69">
        <f>+Administración!O48</f>
        <v>0</v>
      </c>
      <c r="Y86" s="137">
        <f t="shared" si="119"/>
        <v>0</v>
      </c>
      <c r="Z86" s="137">
        <f t="shared" si="120"/>
        <v>4776.1194029850749</v>
      </c>
      <c r="AA86" s="69">
        <f>+Administración!P48</f>
        <v>4776.1194029850749</v>
      </c>
    </row>
    <row r="87" spans="1:27" hidden="1">
      <c r="A87" s="73"/>
      <c r="B87" s="73" t="s">
        <v>95</v>
      </c>
      <c r="C87" s="67">
        <f>+Administración!B49</f>
        <v>4</v>
      </c>
      <c r="D87" s="69">
        <f>+Administración!C49</f>
        <v>1000</v>
      </c>
      <c r="E87" s="114"/>
      <c r="F87" s="114"/>
      <c r="G87" s="114"/>
      <c r="H87" s="114"/>
      <c r="I87" s="114"/>
      <c r="J87" s="137">
        <f t="shared" si="109"/>
        <v>0</v>
      </c>
      <c r="K87" s="137">
        <f t="shared" si="110"/>
        <v>1194.0298507462687</v>
      </c>
      <c r="L87" s="69">
        <f>+Administración!K49</f>
        <v>1194.0298507462687</v>
      </c>
      <c r="M87" s="137">
        <f t="shared" si="111"/>
        <v>0</v>
      </c>
      <c r="N87" s="137">
        <f t="shared" si="112"/>
        <v>0</v>
      </c>
      <c r="O87" s="69">
        <f>+Administración!L49</f>
        <v>0</v>
      </c>
      <c r="P87" s="137">
        <f t="shared" si="113"/>
        <v>0</v>
      </c>
      <c r="Q87" s="137">
        <f t="shared" si="114"/>
        <v>0</v>
      </c>
      <c r="R87" s="69">
        <f>+Administración!M49</f>
        <v>0</v>
      </c>
      <c r="S87" s="137">
        <f t="shared" si="115"/>
        <v>0</v>
      </c>
      <c r="T87" s="137">
        <f t="shared" si="116"/>
        <v>0</v>
      </c>
      <c r="U87" s="69">
        <f>+Administración!N49</f>
        <v>0</v>
      </c>
      <c r="V87" s="137">
        <f t="shared" si="117"/>
        <v>0</v>
      </c>
      <c r="W87" s="137">
        <f t="shared" si="118"/>
        <v>0</v>
      </c>
      <c r="X87" s="69">
        <f>+Administración!O49</f>
        <v>0</v>
      </c>
      <c r="Y87" s="137">
        <f t="shared" si="119"/>
        <v>0</v>
      </c>
      <c r="Z87" s="137">
        <f t="shared" si="120"/>
        <v>1194.0298507462687</v>
      </c>
      <c r="AA87" s="69">
        <f>+Administración!P49</f>
        <v>1194.0298507462687</v>
      </c>
    </row>
    <row r="88" spans="1:27" hidden="1">
      <c r="A88" s="73"/>
      <c r="B88" s="73" t="s">
        <v>96</v>
      </c>
      <c r="C88" s="67">
        <f>+Administración!B50</f>
        <v>34.5</v>
      </c>
      <c r="D88" s="69">
        <f>+Administración!C50</f>
        <v>3500</v>
      </c>
      <c r="E88" s="114"/>
      <c r="F88" s="114"/>
      <c r="G88" s="114"/>
      <c r="H88" s="114"/>
      <c r="I88" s="114"/>
      <c r="J88" s="137">
        <f t="shared" si="109"/>
        <v>0</v>
      </c>
      <c r="K88" s="137">
        <f t="shared" si="110"/>
        <v>36044.776119402981</v>
      </c>
      <c r="L88" s="69">
        <f>+Administración!K50</f>
        <v>36044.776119402981</v>
      </c>
      <c r="M88" s="137">
        <f t="shared" si="111"/>
        <v>0</v>
      </c>
      <c r="N88" s="137">
        <f t="shared" si="112"/>
        <v>0</v>
      </c>
      <c r="O88" s="69">
        <f>+Administración!L50</f>
        <v>0</v>
      </c>
      <c r="P88" s="137">
        <f t="shared" si="113"/>
        <v>0</v>
      </c>
      <c r="Q88" s="137">
        <f t="shared" si="114"/>
        <v>0</v>
      </c>
      <c r="R88" s="69">
        <f>+Administración!M50</f>
        <v>0</v>
      </c>
      <c r="S88" s="137">
        <f t="shared" si="115"/>
        <v>0</v>
      </c>
      <c r="T88" s="137">
        <f t="shared" si="116"/>
        <v>0</v>
      </c>
      <c r="U88" s="69">
        <f>+Administración!N50</f>
        <v>0</v>
      </c>
      <c r="V88" s="137">
        <f t="shared" si="117"/>
        <v>0</v>
      </c>
      <c r="W88" s="137">
        <f t="shared" si="118"/>
        <v>0</v>
      </c>
      <c r="X88" s="69">
        <f>+Administración!O50</f>
        <v>0</v>
      </c>
      <c r="Y88" s="137">
        <f t="shared" si="119"/>
        <v>0</v>
      </c>
      <c r="Z88" s="137">
        <f t="shared" si="120"/>
        <v>36044.776119402981</v>
      </c>
      <c r="AA88" s="69">
        <f>+Administración!P50</f>
        <v>36044.776119402981</v>
      </c>
    </row>
    <row r="89" spans="1:27" hidden="1">
      <c r="A89" s="73"/>
      <c r="B89" s="73" t="s">
        <v>97</v>
      </c>
      <c r="C89" s="67">
        <f>+Administración!B51</f>
        <v>34.5</v>
      </c>
      <c r="D89" s="69">
        <f>+Administración!C51</f>
        <v>1100</v>
      </c>
      <c r="E89" s="114"/>
      <c r="F89" s="114"/>
      <c r="G89" s="114"/>
      <c r="H89" s="114"/>
      <c r="I89" s="114"/>
      <c r="J89" s="137">
        <f t="shared" si="109"/>
        <v>0</v>
      </c>
      <c r="K89" s="137">
        <f t="shared" si="110"/>
        <v>11328.358208955224</v>
      </c>
      <c r="L89" s="69">
        <f>+Administración!K51</f>
        <v>11328.358208955224</v>
      </c>
      <c r="M89" s="137">
        <f t="shared" si="111"/>
        <v>0</v>
      </c>
      <c r="N89" s="137">
        <f t="shared" si="112"/>
        <v>0</v>
      </c>
      <c r="O89" s="69">
        <f>+Administración!L51</f>
        <v>0</v>
      </c>
      <c r="P89" s="137">
        <f t="shared" si="113"/>
        <v>0</v>
      </c>
      <c r="Q89" s="137">
        <f t="shared" si="114"/>
        <v>0</v>
      </c>
      <c r="R89" s="69">
        <f>+Administración!M51</f>
        <v>0</v>
      </c>
      <c r="S89" s="137">
        <f t="shared" si="115"/>
        <v>0</v>
      </c>
      <c r="T89" s="137">
        <f t="shared" si="116"/>
        <v>0</v>
      </c>
      <c r="U89" s="69">
        <f>+Administración!N51</f>
        <v>0</v>
      </c>
      <c r="V89" s="137">
        <f t="shared" si="117"/>
        <v>0</v>
      </c>
      <c r="W89" s="137">
        <f t="shared" si="118"/>
        <v>0</v>
      </c>
      <c r="X89" s="69">
        <f>+Administración!O51</f>
        <v>0</v>
      </c>
      <c r="Y89" s="137">
        <f t="shared" si="119"/>
        <v>0</v>
      </c>
      <c r="Z89" s="137">
        <f t="shared" si="120"/>
        <v>11328.358208955224</v>
      </c>
      <c r="AA89" s="69">
        <f>+Administración!P51</f>
        <v>11328.358208955224</v>
      </c>
    </row>
    <row r="90" spans="1:27" hidden="1">
      <c r="A90" s="73"/>
      <c r="B90" s="73" t="s">
        <v>98</v>
      </c>
      <c r="C90" s="67">
        <f>+Administración!B52</f>
        <v>2</v>
      </c>
      <c r="D90" s="69">
        <f>+Administración!C52</f>
        <v>2000</v>
      </c>
      <c r="E90" s="114"/>
      <c r="F90" s="114"/>
      <c r="G90" s="114"/>
      <c r="H90" s="114"/>
      <c r="I90" s="114"/>
      <c r="J90" s="137">
        <f t="shared" si="109"/>
        <v>0</v>
      </c>
      <c r="K90" s="137">
        <f t="shared" si="110"/>
        <v>1194.0298507462687</v>
      </c>
      <c r="L90" s="69">
        <f>+Administración!K52</f>
        <v>1194.0298507462687</v>
      </c>
      <c r="M90" s="137">
        <f t="shared" si="111"/>
        <v>0</v>
      </c>
      <c r="N90" s="137">
        <f t="shared" si="112"/>
        <v>0</v>
      </c>
      <c r="O90" s="69">
        <f>+Administración!L52</f>
        <v>0</v>
      </c>
      <c r="P90" s="137">
        <f t="shared" si="113"/>
        <v>0</v>
      </c>
      <c r="Q90" s="137">
        <f t="shared" si="114"/>
        <v>0</v>
      </c>
      <c r="R90" s="69">
        <f>+Administración!M52</f>
        <v>0</v>
      </c>
      <c r="S90" s="137">
        <f t="shared" si="115"/>
        <v>0</v>
      </c>
      <c r="T90" s="137">
        <f t="shared" si="116"/>
        <v>0</v>
      </c>
      <c r="U90" s="69">
        <f>+Administración!N52</f>
        <v>0</v>
      </c>
      <c r="V90" s="137">
        <f t="shared" si="117"/>
        <v>0</v>
      </c>
      <c r="W90" s="137">
        <f t="shared" si="118"/>
        <v>0</v>
      </c>
      <c r="X90" s="69">
        <f>+Administración!O52</f>
        <v>0</v>
      </c>
      <c r="Y90" s="137">
        <f t="shared" si="119"/>
        <v>0</v>
      </c>
      <c r="Z90" s="137">
        <f t="shared" si="120"/>
        <v>1194.0298507462687</v>
      </c>
      <c r="AA90" s="69">
        <f>+Administración!P52</f>
        <v>1194.0298507462687</v>
      </c>
    </row>
    <row r="91" spans="1:27" hidden="1">
      <c r="A91" s="73"/>
      <c r="B91" s="73" t="s">
        <v>99</v>
      </c>
      <c r="C91" s="67">
        <f>+Administración!B53</f>
        <v>40</v>
      </c>
      <c r="D91" s="69">
        <f>+Administración!C53</f>
        <v>700</v>
      </c>
      <c r="E91" s="114"/>
      <c r="F91" s="114"/>
      <c r="G91" s="114"/>
      <c r="H91" s="114"/>
      <c r="I91" s="114"/>
      <c r="J91" s="137">
        <f t="shared" si="109"/>
        <v>0</v>
      </c>
      <c r="K91" s="137">
        <f t="shared" si="110"/>
        <v>8358.2089552238813</v>
      </c>
      <c r="L91" s="69">
        <f>+Administración!K53</f>
        <v>8358.2089552238813</v>
      </c>
      <c r="M91" s="137">
        <f t="shared" si="111"/>
        <v>0</v>
      </c>
      <c r="N91" s="137">
        <f t="shared" si="112"/>
        <v>0</v>
      </c>
      <c r="O91" s="69">
        <f>+Administración!L53</f>
        <v>0</v>
      </c>
      <c r="P91" s="137">
        <f t="shared" si="113"/>
        <v>0</v>
      </c>
      <c r="Q91" s="137">
        <f t="shared" si="114"/>
        <v>0</v>
      </c>
      <c r="R91" s="69">
        <f>+Administración!M53</f>
        <v>0</v>
      </c>
      <c r="S91" s="137">
        <f t="shared" si="115"/>
        <v>0</v>
      </c>
      <c r="T91" s="137">
        <f t="shared" si="116"/>
        <v>0</v>
      </c>
      <c r="U91" s="69">
        <f>+Administración!N53</f>
        <v>0</v>
      </c>
      <c r="V91" s="137">
        <f t="shared" si="117"/>
        <v>0</v>
      </c>
      <c r="W91" s="137">
        <f t="shared" si="118"/>
        <v>0</v>
      </c>
      <c r="X91" s="69">
        <f>+Administración!O53</f>
        <v>0</v>
      </c>
      <c r="Y91" s="137">
        <f t="shared" si="119"/>
        <v>0</v>
      </c>
      <c r="Z91" s="137">
        <f t="shared" si="120"/>
        <v>8358.2089552238813</v>
      </c>
      <c r="AA91" s="69">
        <f>+Administración!P53</f>
        <v>8358.2089552238813</v>
      </c>
    </row>
    <row r="92" spans="1:27" hidden="1">
      <c r="A92" s="73"/>
      <c r="B92" s="73" t="s">
        <v>100</v>
      </c>
      <c r="C92" s="67">
        <f>+Administración!B54</f>
        <v>10</v>
      </c>
      <c r="D92" s="69">
        <f>+Administración!C54</f>
        <v>1500</v>
      </c>
      <c r="E92" s="114"/>
      <c r="F92" s="114"/>
      <c r="G92" s="114"/>
      <c r="H92" s="114"/>
      <c r="I92" s="114"/>
      <c r="J92" s="137">
        <f t="shared" si="109"/>
        <v>0</v>
      </c>
      <c r="K92" s="137">
        <f t="shared" si="110"/>
        <v>4477.6119402985078</v>
      </c>
      <c r="L92" s="69">
        <f>+Administración!K54</f>
        <v>4477.6119402985078</v>
      </c>
      <c r="M92" s="137">
        <f t="shared" si="111"/>
        <v>0</v>
      </c>
      <c r="N92" s="137">
        <f t="shared" si="112"/>
        <v>0</v>
      </c>
      <c r="O92" s="69">
        <f>+Administración!L54</f>
        <v>0</v>
      </c>
      <c r="P92" s="137">
        <f t="shared" si="113"/>
        <v>0</v>
      </c>
      <c r="Q92" s="137">
        <f t="shared" si="114"/>
        <v>0</v>
      </c>
      <c r="R92" s="69">
        <f>+Administración!M54</f>
        <v>0</v>
      </c>
      <c r="S92" s="137">
        <f t="shared" si="115"/>
        <v>0</v>
      </c>
      <c r="T92" s="137">
        <f t="shared" si="116"/>
        <v>0</v>
      </c>
      <c r="U92" s="69">
        <f>+Administración!N54</f>
        <v>0</v>
      </c>
      <c r="V92" s="137">
        <f t="shared" si="117"/>
        <v>0</v>
      </c>
      <c r="W92" s="137">
        <f t="shared" si="118"/>
        <v>0</v>
      </c>
      <c r="X92" s="69">
        <f>+Administración!O54</f>
        <v>0</v>
      </c>
      <c r="Y92" s="137">
        <f t="shared" si="119"/>
        <v>0</v>
      </c>
      <c r="Z92" s="137">
        <f t="shared" si="120"/>
        <v>4477.6119402985078</v>
      </c>
      <c r="AA92" s="69">
        <f>+Administración!P54</f>
        <v>4477.6119402985078</v>
      </c>
    </row>
    <row r="93" spans="1:27" hidden="1">
      <c r="A93" s="73"/>
      <c r="B93" s="73" t="s">
        <v>101</v>
      </c>
      <c r="C93" s="67">
        <f>+Administración!B55</f>
        <v>2.5</v>
      </c>
      <c r="D93" s="69">
        <f>+Administración!C55</f>
        <v>10000</v>
      </c>
      <c r="E93" s="114"/>
      <c r="F93" s="114"/>
      <c r="G93" s="114"/>
      <c r="H93" s="114"/>
      <c r="I93" s="114"/>
      <c r="J93" s="137">
        <f t="shared" si="109"/>
        <v>0</v>
      </c>
      <c r="K93" s="137">
        <f t="shared" si="110"/>
        <v>7462.686567164179</v>
      </c>
      <c r="L93" s="69">
        <f>+Administración!K55</f>
        <v>7462.686567164179</v>
      </c>
      <c r="M93" s="137">
        <f t="shared" si="111"/>
        <v>0</v>
      </c>
      <c r="N93" s="137">
        <f t="shared" si="112"/>
        <v>0</v>
      </c>
      <c r="O93" s="69">
        <f>+Administración!L55</f>
        <v>0</v>
      </c>
      <c r="P93" s="137">
        <f t="shared" si="113"/>
        <v>0</v>
      </c>
      <c r="Q93" s="137">
        <f t="shared" si="114"/>
        <v>0</v>
      </c>
      <c r="R93" s="69">
        <f>+Administración!M55</f>
        <v>0</v>
      </c>
      <c r="S93" s="137">
        <f t="shared" si="115"/>
        <v>0</v>
      </c>
      <c r="T93" s="137">
        <f t="shared" si="116"/>
        <v>0</v>
      </c>
      <c r="U93" s="69">
        <f>+Administración!N55</f>
        <v>0</v>
      </c>
      <c r="V93" s="137">
        <f t="shared" si="117"/>
        <v>0</v>
      </c>
      <c r="W93" s="137">
        <f t="shared" si="118"/>
        <v>0</v>
      </c>
      <c r="X93" s="69">
        <f>+Administración!O55</f>
        <v>0</v>
      </c>
      <c r="Y93" s="137">
        <f t="shared" si="119"/>
        <v>0</v>
      </c>
      <c r="Z93" s="137">
        <f t="shared" si="120"/>
        <v>7462.686567164179</v>
      </c>
      <c r="AA93" s="69">
        <f>+Administración!P55</f>
        <v>7462.686567164179</v>
      </c>
    </row>
    <row r="94" spans="1:27" ht="16.149999999999999" hidden="1" thickBot="1">
      <c r="A94" s="73"/>
      <c r="B94" s="73" t="s">
        <v>102</v>
      </c>
      <c r="C94" s="67">
        <f>+Administración!B56</f>
        <v>1</v>
      </c>
      <c r="D94" s="69">
        <f>+Administración!C56</f>
        <v>50000</v>
      </c>
      <c r="E94" s="114"/>
      <c r="F94" s="114"/>
      <c r="G94" s="114"/>
      <c r="H94" s="114"/>
      <c r="I94" s="114"/>
      <c r="J94" s="137">
        <f t="shared" si="109"/>
        <v>0</v>
      </c>
      <c r="K94" s="137">
        <f t="shared" si="110"/>
        <v>14925.373134328358</v>
      </c>
      <c r="L94" s="69">
        <f>+Administración!K56</f>
        <v>14925.373134328358</v>
      </c>
      <c r="M94" s="137">
        <f t="shared" si="111"/>
        <v>0</v>
      </c>
      <c r="N94" s="137">
        <f t="shared" si="112"/>
        <v>0</v>
      </c>
      <c r="O94" s="69">
        <f>+Administración!L56</f>
        <v>0</v>
      </c>
      <c r="P94" s="137">
        <f t="shared" si="113"/>
        <v>0</v>
      </c>
      <c r="Q94" s="137">
        <f t="shared" si="114"/>
        <v>0</v>
      </c>
      <c r="R94" s="69">
        <f>+Administración!M56</f>
        <v>0</v>
      </c>
      <c r="S94" s="137">
        <f t="shared" si="115"/>
        <v>0</v>
      </c>
      <c r="T94" s="137">
        <f t="shared" si="116"/>
        <v>0</v>
      </c>
      <c r="U94" s="69">
        <f>+Administración!N56</f>
        <v>0</v>
      </c>
      <c r="V94" s="137">
        <f t="shared" si="117"/>
        <v>0</v>
      </c>
      <c r="W94" s="137">
        <f t="shared" si="118"/>
        <v>0</v>
      </c>
      <c r="X94" s="69">
        <f>+Administración!O56</f>
        <v>0</v>
      </c>
      <c r="Y94" s="137">
        <f t="shared" si="119"/>
        <v>0</v>
      </c>
      <c r="Z94" s="137">
        <f t="shared" si="120"/>
        <v>14925.373134328358</v>
      </c>
      <c r="AA94" s="116">
        <f>+Administración!P56</f>
        <v>14925.373134328358</v>
      </c>
    </row>
    <row r="95" spans="1:27" s="123" customFormat="1" ht="20.25" customHeight="1">
      <c r="A95" s="119"/>
      <c r="B95" s="119" t="s">
        <v>103</v>
      </c>
      <c r="C95" s="81"/>
      <c r="D95" s="120"/>
      <c r="E95" s="120"/>
      <c r="F95" s="120"/>
      <c r="G95" s="120"/>
      <c r="H95" s="120"/>
      <c r="I95" s="120"/>
      <c r="J95" s="149">
        <f>+SUM(J96:J100)</f>
        <v>800000</v>
      </c>
      <c r="K95" s="149">
        <f t="shared" ref="K95:AA95" si="121">+SUM(K96:K100)</f>
        <v>0</v>
      </c>
      <c r="L95" s="149">
        <f t="shared" si="121"/>
        <v>800000</v>
      </c>
      <c r="M95" s="149">
        <f t="shared" si="121"/>
        <v>50000</v>
      </c>
      <c r="N95" s="149">
        <f t="shared" si="121"/>
        <v>0</v>
      </c>
      <c r="O95" s="149">
        <f t="shared" si="121"/>
        <v>50000</v>
      </c>
      <c r="P95" s="149">
        <f t="shared" si="121"/>
        <v>50000</v>
      </c>
      <c r="Q95" s="149">
        <f t="shared" si="121"/>
        <v>0</v>
      </c>
      <c r="R95" s="149">
        <f t="shared" si="121"/>
        <v>50000</v>
      </c>
      <c r="S95" s="149">
        <f t="shared" si="121"/>
        <v>50000</v>
      </c>
      <c r="T95" s="149">
        <f t="shared" si="121"/>
        <v>0</v>
      </c>
      <c r="U95" s="149">
        <f t="shared" si="121"/>
        <v>50000</v>
      </c>
      <c r="V95" s="149">
        <f t="shared" si="121"/>
        <v>800000</v>
      </c>
      <c r="W95" s="149">
        <f t="shared" si="121"/>
        <v>0</v>
      </c>
      <c r="X95" s="149">
        <f t="shared" si="121"/>
        <v>800000</v>
      </c>
      <c r="Y95" s="149">
        <f>+SUM(Y96:Y100)</f>
        <v>1750000</v>
      </c>
      <c r="Z95" s="149">
        <f t="shared" si="121"/>
        <v>0</v>
      </c>
      <c r="AA95" s="149">
        <f t="shared" si="121"/>
        <v>1750000</v>
      </c>
    </row>
    <row r="96" spans="1:27">
      <c r="A96" s="73"/>
      <c r="B96" s="73" t="s">
        <v>104</v>
      </c>
      <c r="C96" s="67">
        <v>5</v>
      </c>
      <c r="D96" s="69">
        <v>50000</v>
      </c>
      <c r="E96" s="69">
        <v>1</v>
      </c>
      <c r="F96" s="69">
        <v>1</v>
      </c>
      <c r="G96" s="69">
        <v>1</v>
      </c>
      <c r="H96" s="69">
        <v>1</v>
      </c>
      <c r="I96" s="69">
        <v>1</v>
      </c>
      <c r="J96" s="69">
        <f>100%*L96</f>
        <v>50000</v>
      </c>
      <c r="K96" s="69">
        <f>0%*L96</f>
        <v>0</v>
      </c>
      <c r="L96" s="69">
        <f>+E96*D96</f>
        <v>50000</v>
      </c>
      <c r="M96" s="69">
        <f>100%*O96</f>
        <v>50000</v>
      </c>
      <c r="N96" s="69">
        <f>0%*O96</f>
        <v>0</v>
      </c>
      <c r="O96" s="69">
        <f>+F96*D96</f>
        <v>50000</v>
      </c>
      <c r="P96" s="69">
        <f>100%*R96</f>
        <v>50000</v>
      </c>
      <c r="Q96" s="69">
        <f>0%*R96</f>
        <v>0</v>
      </c>
      <c r="R96" s="69">
        <f>+G96*D96</f>
        <v>50000</v>
      </c>
      <c r="S96" s="69">
        <f>100%*U96</f>
        <v>50000</v>
      </c>
      <c r="T96" s="69">
        <f>0%*U96</f>
        <v>0</v>
      </c>
      <c r="U96" s="69">
        <f>+H96*D96</f>
        <v>50000</v>
      </c>
      <c r="V96" s="69">
        <f>100%*X96</f>
        <v>50000</v>
      </c>
      <c r="W96" s="69">
        <f>0%*X96</f>
        <v>0</v>
      </c>
      <c r="X96" s="69">
        <f>+I96*D96</f>
        <v>50000</v>
      </c>
      <c r="Y96" s="69">
        <f t="shared" ref="Y96:Z100" si="122">+V96+S96+P96+M96+J96</f>
        <v>250000</v>
      </c>
      <c r="Z96" s="69">
        <f t="shared" si="122"/>
        <v>0</v>
      </c>
      <c r="AA96" s="69">
        <f>+X96+U96+R96+O96+L96</f>
        <v>250000</v>
      </c>
    </row>
    <row r="97" spans="1:27">
      <c r="A97" s="73"/>
      <c r="B97" s="73" t="s">
        <v>105</v>
      </c>
      <c r="C97" s="67">
        <v>1</v>
      </c>
      <c r="D97" s="69">
        <v>100000</v>
      </c>
      <c r="E97" s="69">
        <v>1</v>
      </c>
      <c r="F97" s="69"/>
      <c r="G97" s="69"/>
      <c r="H97" s="69"/>
      <c r="I97" s="69"/>
      <c r="J97" s="69">
        <f t="shared" ref="J97:J100" si="123">100%*L97</f>
        <v>100000</v>
      </c>
      <c r="K97" s="69">
        <f t="shared" ref="K97:K100" si="124">0%*L97</f>
        <v>0</v>
      </c>
      <c r="L97" s="69">
        <f t="shared" ref="L97:L100" si="125">+E97*D97</f>
        <v>100000</v>
      </c>
      <c r="M97" s="69">
        <f t="shared" ref="M97:M100" si="126">100%*O97</f>
        <v>0</v>
      </c>
      <c r="N97" s="69">
        <f t="shared" ref="N97:N100" si="127">0%*O97</f>
        <v>0</v>
      </c>
      <c r="O97" s="69">
        <f>+'Auditoría M&amp;E'!E9</f>
        <v>0</v>
      </c>
      <c r="P97" s="69">
        <f t="shared" ref="P97:P100" si="128">100%*R97</f>
        <v>0</v>
      </c>
      <c r="Q97" s="69">
        <f t="shared" ref="Q97:Q100" si="129">0%*R97</f>
        <v>0</v>
      </c>
      <c r="R97" s="69">
        <f t="shared" ref="R97:R100" si="130">+G97*D97</f>
        <v>0</v>
      </c>
      <c r="S97" s="69">
        <f t="shared" ref="S97:S100" si="131">100%*U97</f>
        <v>0</v>
      </c>
      <c r="T97" s="69">
        <f t="shared" ref="T97:T100" si="132">0%*U97</f>
        <v>0</v>
      </c>
      <c r="U97" s="69">
        <f t="shared" ref="U97:U100" si="133">+H97*D97</f>
        <v>0</v>
      </c>
      <c r="V97" s="69">
        <f t="shared" ref="V97:V100" si="134">100%*X97</f>
        <v>0</v>
      </c>
      <c r="W97" s="69">
        <f t="shared" ref="W97:W100" si="135">0%*X97</f>
        <v>0</v>
      </c>
      <c r="X97" s="69">
        <f t="shared" ref="X97:X100" si="136">+I97*D97</f>
        <v>0</v>
      </c>
      <c r="Y97" s="69">
        <f t="shared" si="122"/>
        <v>100000</v>
      </c>
      <c r="Z97" s="69">
        <f t="shared" si="122"/>
        <v>0</v>
      </c>
      <c r="AA97" s="69">
        <f t="shared" ref="AA97:AA100" si="137">+X97+U97+R97+O97+L97</f>
        <v>100000</v>
      </c>
    </row>
    <row r="98" spans="1:27">
      <c r="A98" s="73"/>
      <c r="B98" s="73" t="s">
        <v>106</v>
      </c>
      <c r="C98" s="67">
        <v>2</v>
      </c>
      <c r="D98" s="69">
        <v>500000</v>
      </c>
      <c r="E98" s="69">
        <v>1</v>
      </c>
      <c r="F98" s="69"/>
      <c r="G98" s="69"/>
      <c r="H98" s="69"/>
      <c r="I98" s="69">
        <v>1</v>
      </c>
      <c r="J98" s="69">
        <f t="shared" si="123"/>
        <v>500000</v>
      </c>
      <c r="K98" s="69">
        <f t="shared" si="124"/>
        <v>0</v>
      </c>
      <c r="L98" s="69">
        <f t="shared" si="125"/>
        <v>500000</v>
      </c>
      <c r="M98" s="69">
        <f t="shared" si="126"/>
        <v>0</v>
      </c>
      <c r="N98" s="69">
        <f t="shared" si="127"/>
        <v>0</v>
      </c>
      <c r="O98" s="69">
        <f>+'Auditoría M&amp;E'!E10</f>
        <v>0</v>
      </c>
      <c r="P98" s="69">
        <f t="shared" si="128"/>
        <v>0</v>
      </c>
      <c r="Q98" s="69">
        <f t="shared" si="129"/>
        <v>0</v>
      </c>
      <c r="R98" s="69">
        <f t="shared" si="130"/>
        <v>0</v>
      </c>
      <c r="S98" s="69">
        <f t="shared" si="131"/>
        <v>0</v>
      </c>
      <c r="T98" s="69">
        <f t="shared" si="132"/>
        <v>0</v>
      </c>
      <c r="U98" s="69">
        <f t="shared" si="133"/>
        <v>0</v>
      </c>
      <c r="V98" s="69">
        <f t="shared" si="134"/>
        <v>500000</v>
      </c>
      <c r="W98" s="69">
        <f t="shared" si="135"/>
        <v>0</v>
      </c>
      <c r="X98" s="69">
        <f t="shared" si="136"/>
        <v>500000</v>
      </c>
      <c r="Y98" s="69">
        <f t="shared" si="122"/>
        <v>1000000</v>
      </c>
      <c r="Z98" s="69">
        <f t="shared" si="122"/>
        <v>0</v>
      </c>
      <c r="AA98" s="69">
        <f t="shared" si="137"/>
        <v>1000000</v>
      </c>
    </row>
    <row r="99" spans="1:27">
      <c r="A99" s="73"/>
      <c r="B99" s="73" t="s">
        <v>107</v>
      </c>
      <c r="C99" s="67">
        <v>1</v>
      </c>
      <c r="D99" s="69">
        <v>150000</v>
      </c>
      <c r="E99" s="69">
        <v>1</v>
      </c>
      <c r="F99" s="69"/>
      <c r="G99" s="69"/>
      <c r="H99" s="69"/>
      <c r="I99" s="69"/>
      <c r="J99" s="69">
        <f t="shared" si="123"/>
        <v>150000</v>
      </c>
      <c r="K99" s="69">
        <f t="shared" si="124"/>
        <v>0</v>
      </c>
      <c r="L99" s="69">
        <f t="shared" si="125"/>
        <v>150000</v>
      </c>
      <c r="M99" s="69">
        <f t="shared" si="126"/>
        <v>0</v>
      </c>
      <c r="N99" s="69">
        <f t="shared" si="127"/>
        <v>0</v>
      </c>
      <c r="O99" s="69">
        <f>+'Auditoría M&amp;E'!E11</f>
        <v>0</v>
      </c>
      <c r="P99" s="69">
        <f t="shared" si="128"/>
        <v>0</v>
      </c>
      <c r="Q99" s="69">
        <f t="shared" si="129"/>
        <v>0</v>
      </c>
      <c r="R99" s="69">
        <f t="shared" si="130"/>
        <v>0</v>
      </c>
      <c r="S99" s="69">
        <f t="shared" si="131"/>
        <v>0</v>
      </c>
      <c r="T99" s="69">
        <f t="shared" si="132"/>
        <v>0</v>
      </c>
      <c r="U99" s="69">
        <f t="shared" si="133"/>
        <v>0</v>
      </c>
      <c r="V99" s="69">
        <f t="shared" si="134"/>
        <v>0</v>
      </c>
      <c r="W99" s="69">
        <f t="shared" si="135"/>
        <v>0</v>
      </c>
      <c r="X99" s="69">
        <f t="shared" si="136"/>
        <v>0</v>
      </c>
      <c r="Y99" s="69">
        <f t="shared" si="122"/>
        <v>150000</v>
      </c>
      <c r="Z99" s="69">
        <f t="shared" si="122"/>
        <v>0</v>
      </c>
      <c r="AA99" s="69">
        <f t="shared" si="137"/>
        <v>150000</v>
      </c>
    </row>
    <row r="100" spans="1:27" ht="16.149999999999999" thickBot="1">
      <c r="A100" s="73"/>
      <c r="B100" s="73" t="s">
        <v>108</v>
      </c>
      <c r="C100" s="186">
        <v>1</v>
      </c>
      <c r="D100" s="143">
        <v>250000</v>
      </c>
      <c r="E100" s="143"/>
      <c r="F100" s="143"/>
      <c r="G100" s="143"/>
      <c r="H100" s="143"/>
      <c r="I100" s="143">
        <v>1</v>
      </c>
      <c r="J100" s="69">
        <f t="shared" si="123"/>
        <v>0</v>
      </c>
      <c r="K100" s="69">
        <f t="shared" si="124"/>
        <v>0</v>
      </c>
      <c r="L100" s="69">
        <f t="shared" si="125"/>
        <v>0</v>
      </c>
      <c r="M100" s="69">
        <f t="shared" si="126"/>
        <v>0</v>
      </c>
      <c r="N100" s="69">
        <f t="shared" si="127"/>
        <v>0</v>
      </c>
      <c r="O100" s="143"/>
      <c r="P100" s="69">
        <f t="shared" si="128"/>
        <v>0</v>
      </c>
      <c r="Q100" s="69">
        <f t="shared" si="129"/>
        <v>0</v>
      </c>
      <c r="R100" s="69">
        <f t="shared" si="130"/>
        <v>0</v>
      </c>
      <c r="S100" s="69">
        <f t="shared" si="131"/>
        <v>0</v>
      </c>
      <c r="T100" s="69">
        <f t="shared" si="132"/>
        <v>0</v>
      </c>
      <c r="U100" s="69">
        <f t="shared" si="133"/>
        <v>0</v>
      </c>
      <c r="V100" s="69">
        <f t="shared" si="134"/>
        <v>250000</v>
      </c>
      <c r="W100" s="69">
        <f t="shared" si="135"/>
        <v>0</v>
      </c>
      <c r="X100" s="69">
        <f t="shared" si="136"/>
        <v>250000</v>
      </c>
      <c r="Y100" s="69">
        <f t="shared" si="122"/>
        <v>250000</v>
      </c>
      <c r="Z100" s="69">
        <f t="shared" si="122"/>
        <v>0</v>
      </c>
      <c r="AA100" s="69">
        <f t="shared" si="137"/>
        <v>250000</v>
      </c>
    </row>
    <row r="101" spans="1:27" ht="18.600000000000001" thickBot="1">
      <c r="A101" s="84"/>
      <c r="B101" s="84" t="s">
        <v>109</v>
      </c>
      <c r="C101" s="127"/>
      <c r="D101" s="127"/>
      <c r="E101" s="127"/>
      <c r="F101" s="127"/>
      <c r="G101" s="127"/>
      <c r="H101" s="127"/>
      <c r="I101" s="127"/>
      <c r="J101" s="127">
        <f t="shared" ref="J101:Z101" si="138">+J95+J44+J28+J19+J10</f>
        <v>957440</v>
      </c>
      <c r="K101" s="127">
        <f t="shared" si="138"/>
        <v>1596858.5074626864</v>
      </c>
      <c r="L101" s="127">
        <f t="shared" si="138"/>
        <v>2554298.5074626864</v>
      </c>
      <c r="M101" s="127">
        <f t="shared" si="138"/>
        <v>4222730.4091045875</v>
      </c>
      <c r="N101" s="127">
        <f t="shared" si="138"/>
        <v>2312980.1371277999</v>
      </c>
      <c r="O101" s="127">
        <f t="shared" si="138"/>
        <v>6535710.5462323874</v>
      </c>
      <c r="P101" s="127">
        <f t="shared" si="138"/>
        <v>36161390.056103252</v>
      </c>
      <c r="Q101" s="127">
        <f>+Q95+Q44+Q28+Q19+Q10</f>
        <v>9323905.4254933596</v>
      </c>
      <c r="R101" s="127">
        <f t="shared" si="138"/>
        <v>45485295.481596619</v>
      </c>
      <c r="S101" s="127">
        <f t="shared" si="138"/>
        <v>43584110.16586829</v>
      </c>
      <c r="T101" s="127">
        <f t="shared" si="138"/>
        <v>10953283.010563735</v>
      </c>
      <c r="U101" s="127">
        <f t="shared" si="138"/>
        <v>54537393.176432028</v>
      </c>
      <c r="V101" s="127">
        <f t="shared" si="138"/>
        <v>32526035.637580574</v>
      </c>
      <c r="W101" s="127">
        <f t="shared" si="138"/>
        <v>8361266.6506956993</v>
      </c>
      <c r="X101" s="127">
        <f t="shared" si="138"/>
        <v>40887302.28827627</v>
      </c>
      <c r="Y101" s="127">
        <f>+Y95+Y44+Y28+Y19+Y10</f>
        <v>117451706.2686567</v>
      </c>
      <c r="Z101" s="127">
        <f t="shared" si="138"/>
        <v>32548293.731343281</v>
      </c>
      <c r="AA101" s="125">
        <f>+AA95+AA44+AA28+AA19+AA10</f>
        <v>150000000</v>
      </c>
    </row>
    <row r="102" spans="1:27">
      <c r="J102" s="278"/>
      <c r="K102" s="278"/>
      <c r="L102" s="278"/>
      <c r="M102" s="278"/>
      <c r="N102" s="278"/>
      <c r="O102" s="278"/>
      <c r="P102" s="278"/>
      <c r="AA102" s="113"/>
    </row>
    <row r="103" spans="1:27">
      <c r="Y103" s="113"/>
      <c r="AA103" s="113"/>
    </row>
  </sheetData>
  <mergeCells count="16">
    <mergeCell ref="A7:A9"/>
    <mergeCell ref="A2:AA2"/>
    <mergeCell ref="A4:AA4"/>
    <mergeCell ref="A3:AA3"/>
    <mergeCell ref="A5:AA5"/>
    <mergeCell ref="P8:R8"/>
    <mergeCell ref="S8:U8"/>
    <mergeCell ref="V8:X8"/>
    <mergeCell ref="B7:B9"/>
    <mergeCell ref="C7:C8"/>
    <mergeCell ref="D7:D8"/>
    <mergeCell ref="E7:I7"/>
    <mergeCell ref="J7:X7"/>
    <mergeCell ref="Y7:AA8"/>
    <mergeCell ref="J8:L8"/>
    <mergeCell ref="M8:O8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978E0F-886B-4805-A2B5-41E1201C5145}">
  <dimension ref="A2:S18"/>
  <sheetViews>
    <sheetView zoomScale="110" zoomScaleNormal="110" workbookViewId="0" xr3:uid="{FA5716E8-37E0-5D45-B037-7E83B3A91767}">
      <selection activeCell="B5" sqref="B1:I1048576"/>
    </sheetView>
  </sheetViews>
  <sheetFormatPr defaultColWidth="11.25" defaultRowHeight="15.6"/>
  <cols>
    <col min="1" max="1" width="45.25" customWidth="1"/>
    <col min="2" max="2" width="7.125" hidden="1" customWidth="1"/>
    <col min="3" max="3" width="9.75" hidden="1" customWidth="1"/>
    <col min="4" max="4" width="7.25" hidden="1" customWidth="1"/>
    <col min="5" max="5" width="11.375" hidden="1" customWidth="1"/>
    <col min="6" max="8" width="7.25" hidden="1" customWidth="1"/>
    <col min="9" max="9" width="11.5" hidden="1" customWidth="1"/>
    <col min="10" max="15" width="9.625" customWidth="1"/>
  </cols>
  <sheetData>
    <row r="2" spans="1:19">
      <c r="A2" s="295" t="s">
        <v>351</v>
      </c>
      <c r="B2" s="295"/>
      <c r="C2" s="295"/>
      <c r="D2" s="295"/>
      <c r="E2" s="295"/>
      <c r="F2" s="295"/>
      <c r="G2" s="295"/>
      <c r="H2" s="295"/>
      <c r="I2" s="295"/>
      <c r="J2" s="295"/>
      <c r="K2" s="295"/>
      <c r="L2" s="295"/>
      <c r="M2" s="295"/>
      <c r="N2" s="295"/>
      <c r="O2" s="295"/>
    </row>
    <row r="3" spans="1:19">
      <c r="A3" s="295" t="s">
        <v>1</v>
      </c>
      <c r="B3" s="295"/>
      <c r="C3" s="295"/>
      <c r="D3" s="295"/>
      <c r="E3" s="295"/>
      <c r="F3" s="295"/>
      <c r="G3" s="295"/>
      <c r="H3" s="295"/>
      <c r="I3" s="295"/>
      <c r="J3" s="295"/>
      <c r="K3" s="295"/>
      <c r="L3" s="295"/>
      <c r="M3" s="295"/>
      <c r="N3" s="295"/>
      <c r="O3" s="295"/>
    </row>
    <row r="4" spans="1:19">
      <c r="I4" s="113"/>
      <c r="J4" s="113"/>
    </row>
    <row r="5" spans="1:19" ht="15.75" customHeight="1">
      <c r="A5" s="338" t="s">
        <v>352</v>
      </c>
      <c r="B5" s="299" t="s">
        <v>6</v>
      </c>
      <c r="C5" s="291" t="s">
        <v>353</v>
      </c>
      <c r="D5" s="296" t="s">
        <v>8</v>
      </c>
      <c r="E5" s="297"/>
      <c r="F5" s="297"/>
      <c r="G5" s="297"/>
      <c r="H5" s="298"/>
      <c r="I5" s="300" t="s">
        <v>7</v>
      </c>
      <c r="J5" s="296" t="s">
        <v>9</v>
      </c>
      <c r="K5" s="297"/>
      <c r="L5" s="297"/>
      <c r="M5" s="297"/>
      <c r="N5" s="298"/>
      <c r="O5" s="300" t="s">
        <v>10</v>
      </c>
    </row>
    <row r="6" spans="1:19">
      <c r="A6" s="338"/>
      <c r="B6" s="299"/>
      <c r="C6" s="293"/>
      <c r="D6" s="286" t="s">
        <v>11</v>
      </c>
      <c r="E6" s="286" t="s">
        <v>12</v>
      </c>
      <c r="F6" s="286" t="s">
        <v>13</v>
      </c>
      <c r="G6" s="286" t="s">
        <v>14</v>
      </c>
      <c r="H6" s="286" t="s">
        <v>15</v>
      </c>
      <c r="I6" s="300"/>
      <c r="J6" s="286" t="s">
        <v>11</v>
      </c>
      <c r="K6" s="286" t="s">
        <v>12</v>
      </c>
      <c r="L6" s="286" t="s">
        <v>13</v>
      </c>
      <c r="M6" s="286" t="s">
        <v>14</v>
      </c>
      <c r="N6" s="286" t="s">
        <v>15</v>
      </c>
      <c r="O6" s="300"/>
    </row>
    <row r="7" spans="1:19" ht="27.6">
      <c r="A7" s="152" t="s">
        <v>20</v>
      </c>
      <c r="B7" s="151">
        <f>+SUM(D7:H7)</f>
        <v>1</v>
      </c>
      <c r="C7" s="150" t="s">
        <v>354</v>
      </c>
      <c r="D7" s="150"/>
      <c r="E7" s="150">
        <v>1</v>
      </c>
      <c r="F7" s="150"/>
      <c r="G7" s="150"/>
      <c r="H7" s="150"/>
      <c r="I7" s="155">
        <v>238957.37182536721</v>
      </c>
      <c r="J7" s="155">
        <f>+D7*$I7</f>
        <v>0</v>
      </c>
      <c r="K7" s="155">
        <f t="shared" ref="K7:N7" si="0">+E7*$I7</f>
        <v>238957.37182536721</v>
      </c>
      <c r="L7" s="155">
        <f t="shared" si="0"/>
        <v>0</v>
      </c>
      <c r="M7" s="155">
        <f t="shared" si="0"/>
        <v>0</v>
      </c>
      <c r="N7" s="155">
        <f t="shared" si="0"/>
        <v>0</v>
      </c>
      <c r="O7" s="155">
        <f>+SUM(J7:N7)</f>
        <v>238957.37182536721</v>
      </c>
    </row>
    <row r="8" spans="1:19" ht="41.45">
      <c r="A8" s="273" t="s">
        <v>21</v>
      </c>
      <c r="B8" s="279">
        <f t="shared" ref="B8:B14" si="1">+SUM(D8:H8)</f>
        <v>4</v>
      </c>
      <c r="C8" s="280" t="s">
        <v>354</v>
      </c>
      <c r="D8" s="280"/>
      <c r="E8" s="280">
        <v>1</v>
      </c>
      <c r="F8" s="280">
        <v>1</v>
      </c>
      <c r="G8" s="280">
        <v>2</v>
      </c>
      <c r="H8" s="280"/>
      <c r="I8" s="155">
        <v>160000</v>
      </c>
      <c r="J8" s="155">
        <f t="shared" ref="J8:J14" si="2">+D8*$I8</f>
        <v>0</v>
      </c>
      <c r="K8" s="155">
        <f t="shared" ref="K8:K14" si="3">+E8*$I8</f>
        <v>160000</v>
      </c>
      <c r="L8" s="155">
        <f t="shared" ref="L8:L14" si="4">+F8*$I8</f>
        <v>160000</v>
      </c>
      <c r="M8" s="155">
        <f t="shared" ref="M8:M14" si="5">+G8*$I8</f>
        <v>320000</v>
      </c>
      <c r="N8" s="155">
        <f t="shared" ref="N8:N14" si="6">+H8*$I8</f>
        <v>0</v>
      </c>
      <c r="O8" s="155">
        <f>+SUM(J8:N8)</f>
        <v>640000</v>
      </c>
    </row>
    <row r="9" spans="1:19" ht="27.6">
      <c r="A9" s="273" t="s">
        <v>22</v>
      </c>
      <c r="B9" s="279">
        <f t="shared" si="1"/>
        <v>16</v>
      </c>
      <c r="C9" s="279" t="s">
        <v>355</v>
      </c>
      <c r="D9" s="279">
        <v>0</v>
      </c>
      <c r="E9" s="279">
        <v>0</v>
      </c>
      <c r="F9" s="279">
        <v>4</v>
      </c>
      <c r="G9" s="279">
        <v>4</v>
      </c>
      <c r="H9" s="279">
        <v>8</v>
      </c>
      <c r="I9" s="155">
        <f>185000+10312.5</f>
        <v>195312.5</v>
      </c>
      <c r="J9" s="155">
        <f t="shared" si="2"/>
        <v>0</v>
      </c>
      <c r="K9" s="155">
        <f t="shared" si="3"/>
        <v>0</v>
      </c>
      <c r="L9" s="155">
        <f t="shared" si="4"/>
        <v>781250</v>
      </c>
      <c r="M9" s="155">
        <f t="shared" si="5"/>
        <v>781250</v>
      </c>
      <c r="N9" s="155">
        <f t="shared" si="6"/>
        <v>1562500</v>
      </c>
      <c r="O9" s="155">
        <f t="shared" ref="O9:O14" si="7">+SUM(J9:N9)</f>
        <v>3125000</v>
      </c>
    </row>
    <row r="10" spans="1:19" ht="27.6">
      <c r="A10" s="273" t="s">
        <v>23</v>
      </c>
      <c r="B10" s="279">
        <f t="shared" si="1"/>
        <v>1</v>
      </c>
      <c r="C10" s="280" t="s">
        <v>354</v>
      </c>
      <c r="D10" s="280"/>
      <c r="E10" s="280">
        <v>1</v>
      </c>
      <c r="F10" s="280"/>
      <c r="G10" s="280"/>
      <c r="H10" s="280"/>
      <c r="I10" s="155">
        <v>300000</v>
      </c>
      <c r="J10" s="155">
        <f t="shared" si="2"/>
        <v>0</v>
      </c>
      <c r="K10" s="155">
        <f t="shared" si="3"/>
        <v>300000</v>
      </c>
      <c r="L10" s="155">
        <f t="shared" si="4"/>
        <v>0</v>
      </c>
      <c r="M10" s="155">
        <f t="shared" si="5"/>
        <v>0</v>
      </c>
      <c r="N10" s="155">
        <f t="shared" si="6"/>
        <v>0</v>
      </c>
      <c r="O10" s="155">
        <f t="shared" si="7"/>
        <v>300000</v>
      </c>
      <c r="S10" s="113"/>
    </row>
    <row r="11" spans="1:19" ht="27.6">
      <c r="A11" s="273" t="s">
        <v>24</v>
      </c>
      <c r="B11" s="279">
        <f t="shared" si="1"/>
        <v>1</v>
      </c>
      <c r="C11" s="280" t="s">
        <v>354</v>
      </c>
      <c r="D11" s="280"/>
      <c r="E11" s="280">
        <v>0.4</v>
      </c>
      <c r="F11" s="280">
        <v>0.6</v>
      </c>
      <c r="G11" s="280"/>
      <c r="H11" s="280"/>
      <c r="I11" s="155">
        <v>300000</v>
      </c>
      <c r="J11" s="155">
        <f t="shared" si="2"/>
        <v>0</v>
      </c>
      <c r="K11" s="155">
        <f t="shared" si="3"/>
        <v>120000</v>
      </c>
      <c r="L11" s="155">
        <f t="shared" si="4"/>
        <v>180000</v>
      </c>
      <c r="M11" s="155">
        <f t="shared" si="5"/>
        <v>0</v>
      </c>
      <c r="N11" s="155">
        <f t="shared" si="6"/>
        <v>0</v>
      </c>
      <c r="O11" s="155">
        <f t="shared" si="7"/>
        <v>300000</v>
      </c>
    </row>
    <row r="12" spans="1:19" ht="27.6">
      <c r="A12" s="273" t="s">
        <v>25</v>
      </c>
      <c r="B12" s="151">
        <f t="shared" si="1"/>
        <v>1</v>
      </c>
      <c r="C12" s="150" t="s">
        <v>354</v>
      </c>
      <c r="D12" s="150">
        <v>1</v>
      </c>
      <c r="E12" s="150"/>
      <c r="F12" s="150"/>
      <c r="G12" s="150"/>
      <c r="H12" s="150"/>
      <c r="I12" s="155">
        <v>160000</v>
      </c>
      <c r="J12" s="155">
        <f t="shared" si="2"/>
        <v>160000</v>
      </c>
      <c r="K12" s="155">
        <f t="shared" si="3"/>
        <v>0</v>
      </c>
      <c r="L12" s="155">
        <f t="shared" si="4"/>
        <v>0</v>
      </c>
      <c r="M12" s="155">
        <f t="shared" si="5"/>
        <v>0</v>
      </c>
      <c r="N12" s="155">
        <f t="shared" si="6"/>
        <v>0</v>
      </c>
      <c r="O12" s="155">
        <f t="shared" si="7"/>
        <v>160000</v>
      </c>
    </row>
    <row r="13" spans="1:19" ht="27.6">
      <c r="A13" s="153" t="s">
        <v>26</v>
      </c>
      <c r="B13" s="151">
        <f t="shared" si="1"/>
        <v>1</v>
      </c>
      <c r="C13" s="150" t="s">
        <v>354</v>
      </c>
      <c r="D13" s="150">
        <v>0.2</v>
      </c>
      <c r="E13" s="150">
        <v>0.8</v>
      </c>
      <c r="F13" s="150"/>
      <c r="G13" s="150"/>
      <c r="H13" s="150"/>
      <c r="I13" s="155">
        <v>160000</v>
      </c>
      <c r="J13" s="155">
        <f t="shared" si="2"/>
        <v>32000</v>
      </c>
      <c r="K13" s="155">
        <f>+E13*$I13</f>
        <v>128000</v>
      </c>
      <c r="L13" s="155">
        <f t="shared" si="4"/>
        <v>0</v>
      </c>
      <c r="M13" s="155">
        <f t="shared" si="5"/>
        <v>0</v>
      </c>
      <c r="N13" s="155">
        <f t="shared" si="6"/>
        <v>0</v>
      </c>
      <c r="O13" s="155">
        <f t="shared" si="7"/>
        <v>160000</v>
      </c>
    </row>
    <row r="14" spans="1:19" ht="27.6">
      <c r="A14" s="153" t="s">
        <v>205</v>
      </c>
      <c r="B14" s="151">
        <f t="shared" si="1"/>
        <v>50</v>
      </c>
      <c r="C14" s="151" t="s">
        <v>355</v>
      </c>
      <c r="D14" s="151"/>
      <c r="E14" s="151">
        <v>10</v>
      </c>
      <c r="F14" s="151">
        <v>15</v>
      </c>
      <c r="G14" s="151">
        <v>15</v>
      </c>
      <c r="H14" s="151">
        <v>10</v>
      </c>
      <c r="I14" s="155">
        <v>125000</v>
      </c>
      <c r="J14" s="155">
        <f t="shared" si="2"/>
        <v>0</v>
      </c>
      <c r="K14" s="155">
        <f t="shared" si="3"/>
        <v>1250000</v>
      </c>
      <c r="L14" s="155">
        <f t="shared" si="4"/>
        <v>1875000</v>
      </c>
      <c r="M14" s="155">
        <f t="shared" si="5"/>
        <v>1875000</v>
      </c>
      <c r="N14" s="155">
        <f t="shared" si="6"/>
        <v>1250000</v>
      </c>
      <c r="O14" s="155">
        <f t="shared" si="7"/>
        <v>6250000</v>
      </c>
    </row>
    <row r="15" spans="1:19" ht="16.149999999999999" thickBot="1">
      <c r="A15" s="83" t="s">
        <v>356</v>
      </c>
      <c r="B15" s="83"/>
      <c r="C15" s="83"/>
      <c r="D15" s="83"/>
      <c r="E15" s="83"/>
      <c r="F15" s="83"/>
      <c r="G15" s="83"/>
      <c r="H15" s="83"/>
      <c r="I15" s="83"/>
      <c r="J15" s="90">
        <f>+SUM(J7:J14)</f>
        <v>192000</v>
      </c>
      <c r="K15" s="90">
        <f t="shared" ref="K15:N15" si="8">+SUM(K7:K14)</f>
        <v>2196957.3718253672</v>
      </c>
      <c r="L15" s="90">
        <f t="shared" si="8"/>
        <v>2996250</v>
      </c>
      <c r="M15" s="90">
        <f t="shared" si="8"/>
        <v>2976250</v>
      </c>
      <c r="N15" s="90">
        <f t="shared" si="8"/>
        <v>2812500</v>
      </c>
      <c r="O15" s="118">
        <f>+SUM(J15:N15)</f>
        <v>11173957.371825367</v>
      </c>
    </row>
    <row r="16" spans="1:19">
      <c r="E16" s="113"/>
    </row>
    <row r="17" spans="5:5">
      <c r="E17" s="113"/>
    </row>
    <row r="18" spans="5:5">
      <c r="E18" s="113"/>
    </row>
  </sheetData>
  <mergeCells count="9">
    <mergeCell ref="O5:O6"/>
    <mergeCell ref="A2:O2"/>
    <mergeCell ref="A3:O3"/>
    <mergeCell ref="J5:N5"/>
    <mergeCell ref="D5:H5"/>
    <mergeCell ref="A5:A6"/>
    <mergeCell ref="B5:B6"/>
    <mergeCell ref="C5:C6"/>
    <mergeCell ref="I5:I6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CD664E-2A76-4FDF-84D0-5DB2B629CEE3}">
  <dimension ref="A2:W17"/>
  <sheetViews>
    <sheetView tabSelected="1" workbookViewId="0" xr3:uid="{647813D9-AB76-591E-9A3D-59C21A6A2064}">
      <selection activeCell="P4" sqref="P4"/>
    </sheetView>
  </sheetViews>
  <sheetFormatPr defaultColWidth="11.25" defaultRowHeight="15.6"/>
  <cols>
    <col min="1" max="1" width="51.625" customWidth="1"/>
    <col min="2" max="2" width="7.375" hidden="1" customWidth="1"/>
    <col min="3" max="3" width="10.5" hidden="1" customWidth="1"/>
    <col min="4" max="9" width="9.5" hidden="1" customWidth="1"/>
    <col min="10" max="13" width="9.5" customWidth="1"/>
    <col min="18" max="18" width="12.625" hidden="1" customWidth="1"/>
    <col min="19" max="22" width="0" hidden="1" customWidth="1"/>
    <col min="23" max="23" width="12.625" bestFit="1" customWidth="1"/>
  </cols>
  <sheetData>
    <row r="2" spans="1:23">
      <c r="A2" s="340" t="s">
        <v>357</v>
      </c>
      <c r="B2" s="340"/>
      <c r="C2" s="340"/>
      <c r="D2" s="340"/>
      <c r="E2" s="340"/>
      <c r="F2" s="340"/>
      <c r="G2" s="340"/>
      <c r="H2" s="340"/>
      <c r="I2" s="340"/>
      <c r="J2" s="340"/>
      <c r="K2" s="340"/>
      <c r="L2" s="340"/>
      <c r="M2" s="340"/>
      <c r="N2" s="340"/>
      <c r="R2" s="63">
        <v>2500000</v>
      </c>
      <c r="S2" s="112">
        <v>0.02</v>
      </c>
      <c r="T2" t="s">
        <v>358</v>
      </c>
      <c r="U2" s="113">
        <f>+S2*$R$2</f>
        <v>50000</v>
      </c>
    </row>
    <row r="3" spans="1:23">
      <c r="A3" s="340" t="s">
        <v>1</v>
      </c>
      <c r="B3" s="340"/>
      <c r="C3" s="340"/>
      <c r="D3" s="340"/>
      <c r="E3" s="340"/>
      <c r="F3" s="340"/>
      <c r="G3" s="340"/>
      <c r="H3" s="340"/>
      <c r="I3" s="340"/>
      <c r="J3" s="340"/>
      <c r="K3" s="340"/>
      <c r="L3" s="340"/>
      <c r="M3" s="340"/>
      <c r="N3" s="340"/>
      <c r="S3" s="112">
        <v>0.03</v>
      </c>
      <c r="T3" t="s">
        <v>359</v>
      </c>
      <c r="U3" s="113">
        <f>+S3*$R$2</f>
        <v>75000</v>
      </c>
    </row>
    <row r="4" spans="1:23">
      <c r="S4" s="112">
        <v>0.05</v>
      </c>
      <c r="T4" t="s">
        <v>360</v>
      </c>
      <c r="U4" s="113">
        <f>+S4*$R$2</f>
        <v>125000</v>
      </c>
    </row>
    <row r="5" spans="1:23">
      <c r="A5" s="338" t="s">
        <v>361</v>
      </c>
      <c r="B5" s="299" t="s">
        <v>6</v>
      </c>
      <c r="C5" s="300" t="s">
        <v>7</v>
      </c>
      <c r="D5" s="296" t="s">
        <v>8</v>
      </c>
      <c r="E5" s="297"/>
      <c r="F5" s="297"/>
      <c r="G5" s="297"/>
      <c r="H5" s="298"/>
      <c r="I5" s="296" t="s">
        <v>9</v>
      </c>
      <c r="J5" s="297"/>
      <c r="K5" s="297"/>
      <c r="L5" s="297"/>
      <c r="M5" s="298"/>
      <c r="N5" s="300" t="s">
        <v>10</v>
      </c>
      <c r="S5" s="110">
        <v>0.01</v>
      </c>
      <c r="T5" t="s">
        <v>362</v>
      </c>
      <c r="U5" s="113">
        <f>+S5*$R$2</f>
        <v>25000</v>
      </c>
    </row>
    <row r="6" spans="1:23">
      <c r="A6" s="338"/>
      <c r="B6" s="299"/>
      <c r="C6" s="300"/>
      <c r="D6" s="286" t="s">
        <v>11</v>
      </c>
      <c r="E6" s="286" t="s">
        <v>12</v>
      </c>
      <c r="F6" s="286" t="s">
        <v>13</v>
      </c>
      <c r="G6" s="286" t="s">
        <v>14</v>
      </c>
      <c r="H6" s="286" t="s">
        <v>15</v>
      </c>
      <c r="I6" s="286" t="s">
        <v>11</v>
      </c>
      <c r="J6" s="286" t="s">
        <v>12</v>
      </c>
      <c r="K6" s="286" t="s">
        <v>13</v>
      </c>
      <c r="L6" s="286" t="s">
        <v>14</v>
      </c>
      <c r="M6" s="286" t="s">
        <v>15</v>
      </c>
      <c r="N6" s="300"/>
      <c r="S6" s="110">
        <v>0.89</v>
      </c>
      <c r="T6" t="s">
        <v>363</v>
      </c>
      <c r="U6" s="113">
        <f>+S6*$R$2</f>
        <v>2225000</v>
      </c>
      <c r="W6" s="161"/>
    </row>
    <row r="7" spans="1:23" ht="27.6">
      <c r="A7" s="91" t="s">
        <v>111</v>
      </c>
      <c r="B7" s="115">
        <f>+SUM(D7:H7)</f>
        <v>7</v>
      </c>
      <c r="C7" s="69">
        <f>+U2</f>
        <v>50000</v>
      </c>
      <c r="D7" s="69"/>
      <c r="E7" s="69">
        <v>7</v>
      </c>
      <c r="F7" s="69">
        <v>0</v>
      </c>
      <c r="G7" s="69"/>
      <c r="H7" s="69"/>
      <c r="I7" s="69">
        <f>+D7*$C7</f>
        <v>0</v>
      </c>
      <c r="J7" s="69">
        <f t="shared" ref="J7:M7" si="0">+E7*$C7</f>
        <v>350000</v>
      </c>
      <c r="K7" s="69">
        <f t="shared" si="0"/>
        <v>0</v>
      </c>
      <c r="L7" s="69">
        <f t="shared" si="0"/>
        <v>0</v>
      </c>
      <c r="M7" s="69">
        <f t="shared" si="0"/>
        <v>0</v>
      </c>
      <c r="N7" s="69">
        <f>+SUM(I7:M7)</f>
        <v>350000</v>
      </c>
      <c r="R7" s="63">
        <v>3500000</v>
      </c>
      <c r="S7" s="112">
        <v>0.02</v>
      </c>
      <c r="U7" s="113">
        <f>+S7*$R$7</f>
        <v>70000</v>
      </c>
    </row>
    <row r="8" spans="1:23" ht="27.6">
      <c r="A8" s="91" t="s">
        <v>112</v>
      </c>
      <c r="B8" s="115">
        <f t="shared" ref="B8:B16" si="1">+SUM(D8:H8)</f>
        <v>10</v>
      </c>
      <c r="C8" s="69">
        <f>+U7</f>
        <v>70000</v>
      </c>
      <c r="D8" s="69"/>
      <c r="E8" s="69">
        <v>10</v>
      </c>
      <c r="F8" s="69">
        <v>0</v>
      </c>
      <c r="G8" s="69">
        <v>0</v>
      </c>
      <c r="H8" s="69"/>
      <c r="I8" s="69">
        <f t="shared" ref="I8:I12" si="2">+D8*$C8</f>
        <v>0</v>
      </c>
      <c r="J8" s="69">
        <f t="shared" ref="J8:J13" si="3">+E8*$C8</f>
        <v>700000</v>
      </c>
      <c r="K8" s="69">
        <f t="shared" ref="K8:K13" si="4">+F8*$C8</f>
        <v>0</v>
      </c>
      <c r="L8" s="69">
        <f t="shared" ref="L8:L13" si="5">+G8*$C8</f>
        <v>0</v>
      </c>
      <c r="M8" s="69">
        <f t="shared" ref="M8:M13" si="6">+H8*$C8</f>
        <v>0</v>
      </c>
      <c r="N8" s="69">
        <f t="shared" ref="N8:N17" si="7">+SUM(I8:M8)</f>
        <v>700000</v>
      </c>
      <c r="S8" s="112">
        <v>0.03</v>
      </c>
      <c r="U8" s="113">
        <f t="shared" ref="U8:U11" si="8">+S8*$R$7</f>
        <v>105000</v>
      </c>
    </row>
    <row r="9" spans="1:23" ht="27.6">
      <c r="A9" s="91" t="s">
        <v>113</v>
      </c>
      <c r="B9" s="115">
        <f t="shared" si="1"/>
        <v>7</v>
      </c>
      <c r="C9" s="69">
        <f>+U3</f>
        <v>75000</v>
      </c>
      <c r="D9" s="69"/>
      <c r="E9" s="69"/>
      <c r="F9" s="69">
        <v>3</v>
      </c>
      <c r="G9" s="69">
        <v>4</v>
      </c>
      <c r="H9" s="69"/>
      <c r="I9" s="69">
        <f t="shared" si="2"/>
        <v>0</v>
      </c>
      <c r="J9" s="69">
        <f t="shared" si="3"/>
        <v>0</v>
      </c>
      <c r="K9" s="69">
        <f t="shared" si="4"/>
        <v>225000</v>
      </c>
      <c r="L9" s="69">
        <f t="shared" si="5"/>
        <v>300000</v>
      </c>
      <c r="M9" s="69">
        <f t="shared" si="6"/>
        <v>0</v>
      </c>
      <c r="N9" s="69">
        <f t="shared" si="7"/>
        <v>525000</v>
      </c>
      <c r="S9" s="110">
        <v>0.01</v>
      </c>
      <c r="U9" s="113">
        <f t="shared" si="8"/>
        <v>35000</v>
      </c>
    </row>
    <row r="10" spans="1:23" ht="27.6">
      <c r="A10" s="91" t="s">
        <v>114</v>
      </c>
      <c r="B10" s="115">
        <f t="shared" si="1"/>
        <v>10</v>
      </c>
      <c r="C10" s="69">
        <f>+U8</f>
        <v>105000</v>
      </c>
      <c r="D10" s="69"/>
      <c r="E10" s="69"/>
      <c r="F10" s="69">
        <v>2</v>
      </c>
      <c r="G10" s="69">
        <v>6</v>
      </c>
      <c r="H10" s="69">
        <v>2</v>
      </c>
      <c r="I10" s="69">
        <f t="shared" si="2"/>
        <v>0</v>
      </c>
      <c r="J10" s="69">
        <f t="shared" si="3"/>
        <v>0</v>
      </c>
      <c r="K10" s="69">
        <f t="shared" si="4"/>
        <v>210000</v>
      </c>
      <c r="L10" s="69">
        <f t="shared" si="5"/>
        <v>630000</v>
      </c>
      <c r="M10" s="69">
        <f t="shared" si="6"/>
        <v>210000</v>
      </c>
      <c r="N10" s="69">
        <f t="shared" si="7"/>
        <v>1050000</v>
      </c>
      <c r="S10" s="112">
        <v>0.08</v>
      </c>
      <c r="U10" s="113">
        <f t="shared" si="8"/>
        <v>280000</v>
      </c>
    </row>
    <row r="11" spans="1:23" ht="27.6">
      <c r="A11" s="91" t="s">
        <v>115</v>
      </c>
      <c r="B11" s="115">
        <f t="shared" si="1"/>
        <v>7</v>
      </c>
      <c r="C11" s="69">
        <f>+U6</f>
        <v>2225000</v>
      </c>
      <c r="D11" s="69"/>
      <c r="E11" s="69"/>
      <c r="F11" s="69">
        <v>3</v>
      </c>
      <c r="G11" s="69">
        <v>4</v>
      </c>
      <c r="H11" s="69"/>
      <c r="I11" s="69">
        <f t="shared" si="2"/>
        <v>0</v>
      </c>
      <c r="J11" s="69">
        <f t="shared" si="3"/>
        <v>0</v>
      </c>
      <c r="K11" s="69">
        <f t="shared" si="4"/>
        <v>6675000</v>
      </c>
      <c r="L11" s="69">
        <f t="shared" si="5"/>
        <v>8900000</v>
      </c>
      <c r="M11" s="69">
        <f t="shared" si="6"/>
        <v>0</v>
      </c>
      <c r="N11" s="69">
        <f t="shared" si="7"/>
        <v>15575000</v>
      </c>
      <c r="S11" s="110">
        <v>0.86</v>
      </c>
      <c r="U11" s="113">
        <f t="shared" si="8"/>
        <v>3010000</v>
      </c>
    </row>
    <row r="12" spans="1:23" ht="27.6">
      <c r="A12" s="91" t="s">
        <v>116</v>
      </c>
      <c r="B12" s="115">
        <f t="shared" si="1"/>
        <v>10</v>
      </c>
      <c r="C12" s="69">
        <f>+U11</f>
        <v>3010000</v>
      </c>
      <c r="D12" s="69"/>
      <c r="E12" s="69"/>
      <c r="F12" s="69">
        <v>2</v>
      </c>
      <c r="G12" s="69">
        <v>6</v>
      </c>
      <c r="H12" s="69">
        <v>2</v>
      </c>
      <c r="I12" s="69">
        <f t="shared" si="2"/>
        <v>0</v>
      </c>
      <c r="J12" s="69">
        <f t="shared" si="3"/>
        <v>0</v>
      </c>
      <c r="K12" s="69">
        <f t="shared" si="4"/>
        <v>6020000</v>
      </c>
      <c r="L12" s="69">
        <f t="shared" si="5"/>
        <v>18060000</v>
      </c>
      <c r="M12" s="69">
        <f t="shared" si="6"/>
        <v>6020000</v>
      </c>
      <c r="N12" s="69">
        <f t="shared" si="7"/>
        <v>30100000</v>
      </c>
    </row>
    <row r="13" spans="1:23" ht="27.6">
      <c r="A13" s="91" t="s">
        <v>117</v>
      </c>
      <c r="B13" s="115">
        <f t="shared" si="1"/>
        <v>7</v>
      </c>
      <c r="C13" s="69">
        <f>+U5</f>
        <v>25000</v>
      </c>
      <c r="D13" s="69"/>
      <c r="E13" s="69">
        <v>7</v>
      </c>
      <c r="F13" s="69">
        <v>0</v>
      </c>
      <c r="G13" s="69"/>
      <c r="H13" s="69"/>
      <c r="I13" s="69">
        <f>+D13*$C13</f>
        <v>0</v>
      </c>
      <c r="J13" s="69">
        <f t="shared" si="3"/>
        <v>175000</v>
      </c>
      <c r="K13" s="69">
        <f t="shared" si="4"/>
        <v>0</v>
      </c>
      <c r="L13" s="69">
        <f t="shared" si="5"/>
        <v>0</v>
      </c>
      <c r="M13" s="69">
        <f t="shared" si="6"/>
        <v>0</v>
      </c>
      <c r="N13" s="69">
        <f t="shared" si="7"/>
        <v>175000</v>
      </c>
    </row>
    <row r="14" spans="1:23" ht="27.6">
      <c r="A14" s="91" t="s">
        <v>118</v>
      </c>
      <c r="B14" s="115">
        <f>+SUM(D14:H14)</f>
        <v>10</v>
      </c>
      <c r="C14" s="69">
        <f>+U9</f>
        <v>35000</v>
      </c>
      <c r="D14" s="69"/>
      <c r="E14" s="69">
        <v>10</v>
      </c>
      <c r="F14" s="69">
        <v>0</v>
      </c>
      <c r="G14" s="69">
        <v>0</v>
      </c>
      <c r="H14" s="69"/>
      <c r="I14" s="69">
        <f t="shared" ref="I14:I16" si="9">+D14*$C14</f>
        <v>0</v>
      </c>
      <c r="J14" s="69">
        <f>+E14*$C14</f>
        <v>350000</v>
      </c>
      <c r="K14" s="69">
        <f t="shared" ref="K14:K16" si="10">+F14*$C14</f>
        <v>0</v>
      </c>
      <c r="L14" s="69">
        <f t="shared" ref="L14:L16" si="11">+G14*$C14</f>
        <v>0</v>
      </c>
      <c r="M14" s="69">
        <f t="shared" ref="M14:M16" si="12">+H14*$C14</f>
        <v>0</v>
      </c>
      <c r="N14" s="69">
        <f t="shared" si="7"/>
        <v>350000</v>
      </c>
    </row>
    <row r="15" spans="1:23" ht="27.6">
      <c r="A15" s="91" t="s">
        <v>119</v>
      </c>
      <c r="B15" s="115">
        <f t="shared" si="1"/>
        <v>7</v>
      </c>
      <c r="C15" s="69">
        <f>+U4</f>
        <v>125000</v>
      </c>
      <c r="D15" s="69"/>
      <c r="E15" s="69"/>
      <c r="F15" s="69">
        <v>3</v>
      </c>
      <c r="G15" s="69">
        <v>4</v>
      </c>
      <c r="H15" s="69"/>
      <c r="I15" s="69">
        <f t="shared" si="9"/>
        <v>0</v>
      </c>
      <c r="J15" s="69">
        <f t="shared" ref="J15:J16" si="13">+E15*$C15</f>
        <v>0</v>
      </c>
      <c r="K15" s="69">
        <f t="shared" si="10"/>
        <v>375000</v>
      </c>
      <c r="L15" s="69">
        <f t="shared" si="11"/>
        <v>500000</v>
      </c>
      <c r="M15" s="69">
        <f t="shared" si="12"/>
        <v>0</v>
      </c>
      <c r="N15" s="69">
        <f t="shared" si="7"/>
        <v>875000</v>
      </c>
    </row>
    <row r="16" spans="1:23" ht="28.15" thickBot="1">
      <c r="A16" s="91" t="s">
        <v>120</v>
      </c>
      <c r="B16" s="115">
        <f t="shared" si="1"/>
        <v>10</v>
      </c>
      <c r="C16" s="69">
        <f>+U10</f>
        <v>280000</v>
      </c>
      <c r="D16" s="69"/>
      <c r="E16" s="69"/>
      <c r="F16" s="69">
        <v>2</v>
      </c>
      <c r="G16" s="69">
        <v>6</v>
      </c>
      <c r="H16" s="69">
        <v>2</v>
      </c>
      <c r="I16" s="69">
        <f t="shared" si="9"/>
        <v>0</v>
      </c>
      <c r="J16" s="69">
        <f t="shared" si="13"/>
        <v>0</v>
      </c>
      <c r="K16" s="69">
        <f t="shared" si="10"/>
        <v>560000</v>
      </c>
      <c r="L16" s="69">
        <f t="shared" si="11"/>
        <v>1680000</v>
      </c>
      <c r="M16" s="69">
        <f t="shared" si="12"/>
        <v>560000</v>
      </c>
      <c r="N16" s="116">
        <f t="shared" si="7"/>
        <v>2800000</v>
      </c>
    </row>
    <row r="17" spans="1:14" ht="16.149999999999999" thickBot="1">
      <c r="A17" s="83" t="s">
        <v>356</v>
      </c>
      <c r="B17" s="83"/>
      <c r="C17" s="83"/>
      <c r="D17" s="83"/>
      <c r="E17" s="83"/>
      <c r="F17" s="83"/>
      <c r="G17" s="83"/>
      <c r="H17" s="83"/>
      <c r="I17" s="90">
        <f>+SUM(I7:I16)</f>
        <v>0</v>
      </c>
      <c r="J17" s="90">
        <f>+SUM(J7:J16)</f>
        <v>1575000</v>
      </c>
      <c r="K17" s="90">
        <f t="shared" ref="K17:M17" si="14">+SUM(K7:K16)</f>
        <v>14065000</v>
      </c>
      <c r="L17" s="90">
        <f t="shared" si="14"/>
        <v>30070000</v>
      </c>
      <c r="M17" s="90">
        <f t="shared" si="14"/>
        <v>6790000</v>
      </c>
      <c r="N17" s="104">
        <f t="shared" si="7"/>
        <v>52500000</v>
      </c>
    </row>
  </sheetData>
  <mergeCells count="8">
    <mergeCell ref="N5:N6"/>
    <mergeCell ref="D5:H5"/>
    <mergeCell ref="I5:M5"/>
    <mergeCell ref="A2:N2"/>
    <mergeCell ref="A3:N3"/>
    <mergeCell ref="A5:A6"/>
    <mergeCell ref="B5:B6"/>
    <mergeCell ref="C5:C6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9FE5AA-F8AA-1945-B2C3-55C97C59DC0C}">
  <dimension ref="A2:S55"/>
  <sheetViews>
    <sheetView zoomScale="80" zoomScaleNormal="80" workbookViewId="0" xr3:uid="{37076F95-1359-5451-BB52-D8BF04901F77}">
      <pane ySplit="6" topLeftCell="A34" activePane="bottomLeft" state="frozen"/>
      <selection pane="bottomLeft" activeCell="S40" sqref="S40"/>
    </sheetView>
  </sheetViews>
  <sheetFormatPr defaultColWidth="10.875" defaultRowHeight="13.9"/>
  <cols>
    <col min="1" max="1" width="74.625" style="1" customWidth="1"/>
    <col min="2" max="2" width="12.75" style="1" hidden="1" customWidth="1"/>
    <col min="3" max="7" width="10" style="1" hidden="1" customWidth="1"/>
    <col min="8" max="8" width="25.375" style="1" hidden="1" customWidth="1"/>
    <col min="9" max="12" width="10.875" style="1" hidden="1" customWidth="1"/>
    <col min="13" max="16384" width="10.875" style="1"/>
  </cols>
  <sheetData>
    <row r="2" spans="1:18" ht="15.6">
      <c r="A2" s="295" t="s">
        <v>364</v>
      </c>
      <c r="B2" s="295"/>
      <c r="C2" s="295"/>
      <c r="D2" s="295"/>
      <c r="E2" s="295"/>
      <c r="F2" s="295"/>
      <c r="G2" s="295"/>
      <c r="H2" s="295"/>
      <c r="I2" s="295"/>
      <c r="J2" s="295"/>
      <c r="K2" s="295"/>
      <c r="L2" s="295"/>
      <c r="M2" s="295"/>
      <c r="N2" s="295"/>
      <c r="O2" s="295"/>
      <c r="P2" s="295"/>
      <c r="Q2" s="295"/>
      <c r="R2" s="295"/>
    </row>
    <row r="3" spans="1:18" ht="15.6">
      <c r="A3" s="295" t="s">
        <v>1</v>
      </c>
      <c r="B3" s="295"/>
      <c r="C3" s="295"/>
      <c r="D3" s="295"/>
      <c r="E3" s="295"/>
      <c r="F3" s="295"/>
      <c r="G3" s="295"/>
      <c r="H3" s="295"/>
      <c r="I3" s="295"/>
      <c r="J3" s="295"/>
      <c r="K3" s="295"/>
      <c r="L3" s="295"/>
      <c r="M3" s="295"/>
      <c r="N3" s="295"/>
      <c r="O3" s="295"/>
      <c r="P3" s="295"/>
      <c r="Q3" s="295"/>
      <c r="R3" s="295"/>
    </row>
    <row r="5" spans="1:18" s="92" customFormat="1">
      <c r="A5" s="299" t="s">
        <v>365</v>
      </c>
      <c r="B5" s="343" t="s">
        <v>366</v>
      </c>
      <c r="C5" s="341" t="s">
        <v>367</v>
      </c>
      <c r="D5" s="341"/>
      <c r="E5" s="341"/>
      <c r="F5" s="341"/>
      <c r="G5" s="341"/>
      <c r="H5" s="341" t="s">
        <v>368</v>
      </c>
      <c r="I5" s="342" t="s">
        <v>369</v>
      </c>
      <c r="J5" s="342" t="s">
        <v>370</v>
      </c>
      <c r="K5" s="98" t="s">
        <v>371</v>
      </c>
      <c r="L5" s="98">
        <v>3.35</v>
      </c>
      <c r="M5" s="341" t="s">
        <v>372</v>
      </c>
      <c r="N5" s="341"/>
      <c r="O5" s="341"/>
      <c r="P5" s="341"/>
      <c r="Q5" s="341"/>
      <c r="R5" s="299" t="s">
        <v>10</v>
      </c>
    </row>
    <row r="6" spans="1:18" s="92" customFormat="1">
      <c r="A6" s="299"/>
      <c r="B6" s="344"/>
      <c r="C6" s="289">
        <v>2019</v>
      </c>
      <c r="D6" s="289">
        <v>2020</v>
      </c>
      <c r="E6" s="289">
        <v>2021</v>
      </c>
      <c r="F6" s="289">
        <v>2022</v>
      </c>
      <c r="G6" s="289">
        <v>2023</v>
      </c>
      <c r="H6" s="341"/>
      <c r="I6" s="342"/>
      <c r="J6" s="342"/>
      <c r="M6" s="289">
        <v>2019</v>
      </c>
      <c r="N6" s="289">
        <v>2020</v>
      </c>
      <c r="O6" s="289">
        <v>2021</v>
      </c>
      <c r="P6" s="289">
        <v>2022</v>
      </c>
      <c r="Q6" s="289">
        <v>2023</v>
      </c>
      <c r="R6" s="299"/>
    </row>
    <row r="7" spans="1:18" s="93" customFormat="1">
      <c r="A7" s="99" t="s">
        <v>121</v>
      </c>
      <c r="B7" s="100">
        <f>+R7*3.35</f>
        <v>1407000</v>
      </c>
      <c r="C7" s="100">
        <f t="shared" ref="C7:G7" si="0">+SUM(C8:C9)</f>
        <v>0</v>
      </c>
      <c r="D7" s="100">
        <f t="shared" si="0"/>
        <v>0</v>
      </c>
      <c r="E7" s="100">
        <f t="shared" si="0"/>
        <v>0</v>
      </c>
      <c r="F7" s="100">
        <f>+SUM(F8:F9)</f>
        <v>1407000</v>
      </c>
      <c r="G7" s="100">
        <f t="shared" si="0"/>
        <v>0</v>
      </c>
      <c r="H7" s="101"/>
      <c r="I7" s="102"/>
      <c r="J7" s="102"/>
      <c r="K7" s="102"/>
      <c r="L7" s="102"/>
      <c r="M7" s="100">
        <f t="shared" ref="M7:N7" si="1">+SUM(M8:M9)</f>
        <v>0</v>
      </c>
      <c r="N7" s="100">
        <f t="shared" si="1"/>
        <v>0</v>
      </c>
      <c r="O7" s="100">
        <f>+SUM(O8:O9)</f>
        <v>0</v>
      </c>
      <c r="P7" s="100">
        <f>+SUM(P8:P9)</f>
        <v>420000</v>
      </c>
      <c r="Q7" s="100">
        <f t="shared" ref="Q7:R7" si="2">+SUM(Q8:Q9)</f>
        <v>0</v>
      </c>
      <c r="R7" s="100">
        <f t="shared" si="2"/>
        <v>420000</v>
      </c>
    </row>
    <row r="8" spans="1:18" s="92" customFormat="1">
      <c r="A8" s="94" t="s">
        <v>122</v>
      </c>
      <c r="B8" s="95">
        <f t="shared" ref="B8:B52" si="3">+R8*3.35</f>
        <v>1072000</v>
      </c>
      <c r="C8" s="95">
        <f>'Metas Comp. 3'!B4*'Componente 3'!$J8</f>
        <v>0</v>
      </c>
      <c r="D8" s="95">
        <f>'Metas Comp. 3'!C4*'Componente 3'!$J8</f>
        <v>0</v>
      </c>
      <c r="E8" s="95">
        <f>'Metas Comp. 3'!D4*'Componente 3'!$J8</f>
        <v>0</v>
      </c>
      <c r="F8" s="95">
        <f>'Metas Comp. 3'!E4*'Componente 3'!$J8</f>
        <v>1072000</v>
      </c>
      <c r="G8" s="95">
        <f>'Metas Comp. 3'!F4*'Componente 3'!$J8</f>
        <v>0</v>
      </c>
      <c r="H8" s="96" t="s">
        <v>373</v>
      </c>
      <c r="I8" s="97">
        <f>'Costos rev tras100d'!I7</f>
        <v>80000</v>
      </c>
      <c r="J8" s="97">
        <f>I8*$L$5</f>
        <v>268000</v>
      </c>
      <c r="M8" s="95">
        <f>+C8/$L$5</f>
        <v>0</v>
      </c>
      <c r="N8" s="95">
        <f t="shared" ref="N8" si="4">+D8/$L$5</f>
        <v>0</v>
      </c>
      <c r="P8" s="95">
        <f>+F8/$L$5</f>
        <v>320000</v>
      </c>
      <c r="Q8" s="95">
        <f t="shared" ref="Q8" si="5">+G8*$L$5</f>
        <v>0</v>
      </c>
      <c r="R8" s="95">
        <f>+SUM(M8:Q8)</f>
        <v>320000</v>
      </c>
    </row>
    <row r="9" spans="1:18" s="92" customFormat="1">
      <c r="A9" s="94" t="s">
        <v>123</v>
      </c>
      <c r="B9" s="95">
        <f t="shared" si="3"/>
        <v>335000</v>
      </c>
      <c r="C9" s="95">
        <f>'Metas Comp. 3'!B5*'Componente 3'!$J9</f>
        <v>0</v>
      </c>
      <c r="D9" s="95">
        <f>'Metas Comp. 3'!C5*'Componente 3'!$J9</f>
        <v>0</v>
      </c>
      <c r="E9" s="95">
        <f>'Metas Comp. 3'!D5*'Componente 3'!$J9</f>
        <v>0</v>
      </c>
      <c r="F9" s="95">
        <f>'Metas Comp. 3'!E5*'Componente 3'!$J9</f>
        <v>335000</v>
      </c>
      <c r="G9" s="95">
        <f>'Metas Comp. 3'!F5*'Componente 3'!$J9</f>
        <v>0</v>
      </c>
      <c r="H9" s="96" t="s">
        <v>373</v>
      </c>
      <c r="I9" s="97">
        <f>'Costos rev tras100d'!I8</f>
        <v>50000</v>
      </c>
      <c r="J9" s="97">
        <f>I9*$L$5</f>
        <v>167500</v>
      </c>
      <c r="M9" s="95">
        <f>+C9/$L$5</f>
        <v>0</v>
      </c>
      <c r="N9" s="95">
        <f t="shared" ref="N9" si="6">+D9/$L$5</f>
        <v>0</v>
      </c>
      <c r="O9" s="95">
        <f t="shared" ref="O9" si="7">+E9/$L$5</f>
        <v>0</v>
      </c>
      <c r="P9" s="95">
        <f t="shared" ref="P9" si="8">+F9/$L$5</f>
        <v>100000</v>
      </c>
      <c r="Q9" s="95">
        <f t="shared" ref="Q9:Q14" si="9">+G9*$L$5</f>
        <v>0</v>
      </c>
      <c r="R9" s="95">
        <f t="shared" ref="R9:R51" si="10">+SUM(M9:Q9)</f>
        <v>100000</v>
      </c>
    </row>
    <row r="10" spans="1:18" s="93" customFormat="1">
      <c r="A10" s="99" t="s">
        <v>124</v>
      </c>
      <c r="B10" s="100">
        <f t="shared" si="3"/>
        <v>1072000</v>
      </c>
      <c r="C10" s="100">
        <f t="shared" ref="C10:G10" si="11">+SUM(C11:C14)</f>
        <v>0</v>
      </c>
      <c r="D10" s="100">
        <f t="shared" si="11"/>
        <v>0</v>
      </c>
      <c r="E10" s="100">
        <f t="shared" si="11"/>
        <v>0</v>
      </c>
      <c r="F10" s="100">
        <f>+SUM(F11:F14)</f>
        <v>1072000</v>
      </c>
      <c r="G10" s="100">
        <f t="shared" si="11"/>
        <v>0</v>
      </c>
      <c r="H10" s="101"/>
      <c r="I10" s="102"/>
      <c r="J10" s="102"/>
      <c r="K10" s="102"/>
      <c r="L10" s="102"/>
      <c r="M10" s="100">
        <f t="shared" ref="M10:R10" si="12">+SUM(M11:M14)</f>
        <v>0</v>
      </c>
      <c r="N10" s="100">
        <f t="shared" si="12"/>
        <v>0</v>
      </c>
      <c r="O10" s="100">
        <f t="shared" si="12"/>
        <v>0</v>
      </c>
      <c r="P10" s="100">
        <f>+SUM(P11:P14)</f>
        <v>320000</v>
      </c>
      <c r="Q10" s="100">
        <f t="shared" si="12"/>
        <v>0</v>
      </c>
      <c r="R10" s="100">
        <f t="shared" si="12"/>
        <v>320000</v>
      </c>
    </row>
    <row r="11" spans="1:18" s="92" customFormat="1">
      <c r="A11" s="94" t="s">
        <v>125</v>
      </c>
      <c r="B11" s="95">
        <f t="shared" si="3"/>
        <v>268000</v>
      </c>
      <c r="C11" s="95">
        <f>'Metas Comp. 3'!B7*'Componente 3'!$J11</f>
        <v>0</v>
      </c>
      <c r="D11" s="95">
        <f>'Metas Comp. 3'!C7*'Componente 3'!$J11</f>
        <v>0</v>
      </c>
      <c r="E11" s="95">
        <f>'Metas Comp. 3'!D7*'Componente 3'!$J11</f>
        <v>0</v>
      </c>
      <c r="F11" s="95">
        <f>'Metas Comp. 3'!E7*'Componente 3'!$J11</f>
        <v>268000</v>
      </c>
      <c r="G11" s="95">
        <f>'Metas Comp. 3'!F7*'Componente 3'!$J11</f>
        <v>0</v>
      </c>
      <c r="H11" s="96" t="s">
        <v>354</v>
      </c>
      <c r="I11" s="97">
        <f>'Costos rev tras100d'!I10</f>
        <v>80000</v>
      </c>
      <c r="J11" s="97">
        <f>I11*$L$5</f>
        <v>268000</v>
      </c>
      <c r="M11" s="95">
        <f>+C11/$L$5</f>
        <v>0</v>
      </c>
      <c r="N11" s="95">
        <f t="shared" ref="N11:P11" si="13">+D11/$L$5</f>
        <v>0</v>
      </c>
      <c r="O11" s="95">
        <f t="shared" si="13"/>
        <v>0</v>
      </c>
      <c r="P11" s="95">
        <f t="shared" si="13"/>
        <v>80000</v>
      </c>
      <c r="Q11" s="95">
        <f t="shared" si="9"/>
        <v>0</v>
      </c>
      <c r="R11" s="95">
        <f t="shared" si="10"/>
        <v>80000</v>
      </c>
    </row>
    <row r="12" spans="1:18" s="92" customFormat="1">
      <c r="A12" s="94" t="s">
        <v>126</v>
      </c>
      <c r="B12" s="95">
        <f t="shared" si="3"/>
        <v>268000</v>
      </c>
      <c r="C12" s="95">
        <f>'Metas Comp. 3'!B8*'Componente 3'!$J12</f>
        <v>0</v>
      </c>
      <c r="D12" s="95">
        <f>'Metas Comp. 3'!C8*'Componente 3'!$J12</f>
        <v>0</v>
      </c>
      <c r="E12" s="95">
        <f>'Metas Comp. 3'!D8*'Componente 3'!$J12</f>
        <v>0</v>
      </c>
      <c r="F12" s="95">
        <f>'Metas Comp. 3'!E8*'Componente 3'!$J12</f>
        <v>268000</v>
      </c>
      <c r="G12" s="95">
        <f>'Metas Comp. 3'!F8*'Componente 3'!$J12</f>
        <v>0</v>
      </c>
      <c r="H12" s="96" t="s">
        <v>354</v>
      </c>
      <c r="I12" s="97">
        <f>'Costos rev tras100d'!I11</f>
        <v>80000</v>
      </c>
      <c r="J12" s="97">
        <f>I12*$L$5</f>
        <v>268000</v>
      </c>
      <c r="M12" s="95">
        <f t="shared" ref="M12:M14" si="14">+C12/$L$5</f>
        <v>0</v>
      </c>
      <c r="N12" s="95">
        <f t="shared" ref="N12:N14" si="15">+D12/$L$5</f>
        <v>0</v>
      </c>
      <c r="O12" s="95">
        <f t="shared" ref="O12:O14" si="16">+E12/$L$5</f>
        <v>0</v>
      </c>
      <c r="P12" s="95">
        <f t="shared" ref="P12:P14" si="17">+F12/$L$5</f>
        <v>80000</v>
      </c>
      <c r="Q12" s="95">
        <f t="shared" si="9"/>
        <v>0</v>
      </c>
      <c r="R12" s="95">
        <f t="shared" si="10"/>
        <v>80000</v>
      </c>
    </row>
    <row r="13" spans="1:18" s="92" customFormat="1">
      <c r="A13" s="94" t="s">
        <v>127</v>
      </c>
      <c r="B13" s="95">
        <f t="shared" si="3"/>
        <v>268000</v>
      </c>
      <c r="C13" s="95">
        <f>'Metas Comp. 3'!B9*'Componente 3'!$J13</f>
        <v>0</v>
      </c>
      <c r="D13" s="95">
        <f>'Metas Comp. 3'!C9*'Componente 3'!$J13</f>
        <v>0</v>
      </c>
      <c r="E13" s="95">
        <f>'Metas Comp. 3'!D9*'Componente 3'!$J13</f>
        <v>0</v>
      </c>
      <c r="F13" s="95">
        <f>'Metas Comp. 3'!E9*'Componente 3'!$J13</f>
        <v>268000</v>
      </c>
      <c r="G13" s="95">
        <f>'Metas Comp. 3'!F9*'Componente 3'!$J13</f>
        <v>0</v>
      </c>
      <c r="H13" s="96" t="s">
        <v>354</v>
      </c>
      <c r="I13" s="97">
        <f>'Costos rev tras100d'!I12</f>
        <v>80000</v>
      </c>
      <c r="J13" s="97">
        <f>I13*$L$5</f>
        <v>268000</v>
      </c>
      <c r="M13" s="95">
        <f t="shared" si="14"/>
        <v>0</v>
      </c>
      <c r="N13" s="95">
        <f t="shared" si="15"/>
        <v>0</v>
      </c>
      <c r="O13" s="95">
        <f t="shared" si="16"/>
        <v>0</v>
      </c>
      <c r="P13" s="95">
        <f t="shared" si="17"/>
        <v>80000</v>
      </c>
      <c r="Q13" s="95">
        <f t="shared" si="9"/>
        <v>0</v>
      </c>
      <c r="R13" s="95">
        <f t="shared" si="10"/>
        <v>80000</v>
      </c>
    </row>
    <row r="14" spans="1:18" s="92" customFormat="1">
      <c r="A14" s="94" t="s">
        <v>128</v>
      </c>
      <c r="B14" s="95">
        <f t="shared" si="3"/>
        <v>268000</v>
      </c>
      <c r="C14" s="95">
        <f>'Metas Comp. 3'!B10*'Componente 3'!$J14</f>
        <v>0</v>
      </c>
      <c r="D14" s="95">
        <f>'Metas Comp. 3'!C10*'Componente 3'!$J14</f>
        <v>0</v>
      </c>
      <c r="E14" s="95">
        <f>'Metas Comp. 3'!D10*'Componente 3'!$J14</f>
        <v>0</v>
      </c>
      <c r="F14" s="95">
        <f>'Metas Comp. 3'!E10*'Componente 3'!$J14</f>
        <v>268000</v>
      </c>
      <c r="G14" s="95">
        <f>'Metas Comp. 3'!F10*'Componente 3'!$J14</f>
        <v>0</v>
      </c>
      <c r="H14" s="96" t="s">
        <v>354</v>
      </c>
      <c r="I14" s="97">
        <f>'Costos rev tras100d'!I13</f>
        <v>80000</v>
      </c>
      <c r="J14" s="97">
        <f>I14*$L$5</f>
        <v>268000</v>
      </c>
      <c r="M14" s="95">
        <f t="shared" si="14"/>
        <v>0</v>
      </c>
      <c r="N14" s="95">
        <f t="shared" si="15"/>
        <v>0</v>
      </c>
      <c r="O14" s="95">
        <f t="shared" si="16"/>
        <v>0</v>
      </c>
      <c r="P14" s="95">
        <f t="shared" si="17"/>
        <v>80000</v>
      </c>
      <c r="Q14" s="95">
        <f t="shared" si="9"/>
        <v>0</v>
      </c>
      <c r="R14" s="95">
        <f t="shared" si="10"/>
        <v>80000</v>
      </c>
    </row>
    <row r="15" spans="1:18" s="93" customFormat="1">
      <c r="A15" s="99" t="s">
        <v>129</v>
      </c>
      <c r="B15" s="100">
        <f t="shared" si="3"/>
        <v>142307372.73938474</v>
      </c>
      <c r="C15" s="100">
        <f>+SUM(C16:C22)</f>
        <v>0</v>
      </c>
      <c r="D15" s="100">
        <f>+SUM(D16:D22)</f>
        <v>4777524.4790493576</v>
      </c>
      <c r="E15" s="100">
        <f t="shared" ref="E15:G15" si="18">+SUM(E16:E22)</f>
        <v>16110338.124577686</v>
      </c>
      <c r="F15" s="100">
        <f t="shared" si="18"/>
        <v>48774951.774008632</v>
      </c>
      <c r="G15" s="100">
        <f t="shared" si="18"/>
        <v>60465058.037124194</v>
      </c>
      <c r="H15" s="101"/>
      <c r="I15" s="102"/>
      <c r="J15" s="102"/>
      <c r="K15" s="102"/>
      <c r="L15" s="102"/>
      <c r="M15" s="100">
        <f>+SUM(M16:M22)</f>
        <v>0</v>
      </c>
      <c r="N15" s="100">
        <f>+SUM(N16:N22)</f>
        <v>1316738.2490338858</v>
      </c>
      <c r="O15" s="100">
        <f t="shared" ref="O15:Q15" si="19">+SUM(O16:O22)</f>
        <v>4510261.6965219881</v>
      </c>
      <c r="P15" s="100">
        <f t="shared" si="19"/>
        <v>14900701.446581265</v>
      </c>
      <c r="Q15" s="100">
        <f t="shared" si="19"/>
        <v>21752111.365888156</v>
      </c>
      <c r="R15" s="100">
        <f>+SUM(R16:R22)</f>
        <v>42479812.758025296</v>
      </c>
    </row>
    <row r="16" spans="1:18" s="92" customFormat="1">
      <c r="A16" s="94" t="s">
        <v>130</v>
      </c>
      <c r="B16" s="95">
        <f t="shared" si="3"/>
        <v>3428943.4452195978</v>
      </c>
      <c r="C16" s="95">
        <f>'Componente 3...'!D9*3.35</f>
        <v>0</v>
      </c>
      <c r="D16" s="95">
        <f>'Componente 3...'!E9*3.35</f>
        <v>3632312.0658744643</v>
      </c>
      <c r="E16" s="95">
        <f>'Componente 3...'!F9*3.35</f>
        <v>0</v>
      </c>
      <c r="F16" s="95">
        <f>'Componente 3...'!G9*3.35</f>
        <v>0</v>
      </c>
      <c r="G16" s="95">
        <f>'Componente 3...'!H9*3.35</f>
        <v>0</v>
      </c>
      <c r="H16" s="96" t="s">
        <v>374</v>
      </c>
      <c r="I16" s="97">
        <v>1023565.2075282381</v>
      </c>
      <c r="M16" s="95">
        <f>+C16/$L$5</f>
        <v>0</v>
      </c>
      <c r="N16" s="95">
        <f>+I16</f>
        <v>1023565.2075282381</v>
      </c>
      <c r="O16" s="95">
        <f t="shared" ref="O16:Q16" si="20">+E16/$L$5</f>
        <v>0</v>
      </c>
      <c r="P16" s="95">
        <f t="shared" si="20"/>
        <v>0</v>
      </c>
      <c r="Q16" s="95">
        <f t="shared" si="20"/>
        <v>0</v>
      </c>
      <c r="R16" s="95">
        <f t="shared" si="10"/>
        <v>1023565.2075282381</v>
      </c>
    </row>
    <row r="17" spans="1:18" s="92" customFormat="1">
      <c r="A17" s="94" t="s">
        <v>131</v>
      </c>
      <c r="B17" s="95">
        <f t="shared" si="3"/>
        <v>685788.68904391956</v>
      </c>
      <c r="C17" s="95">
        <f>'Componente 3...'!D10*3.35</f>
        <v>0</v>
      </c>
      <c r="D17" s="95">
        <f>'Componente 3...'!E10*3.35</f>
        <v>726462.41317489289</v>
      </c>
      <c r="E17" s="95">
        <f>'Componente 3...'!F10*3.35</f>
        <v>0</v>
      </c>
      <c r="F17" s="95">
        <f>'Componente 3...'!G10*3.35</f>
        <v>0</v>
      </c>
      <c r="G17" s="95">
        <f>'Componente 3...'!H10*3.35</f>
        <v>0</v>
      </c>
      <c r="H17" s="96" t="s">
        <v>375</v>
      </c>
      <c r="I17" s="97">
        <v>204713.04150564762</v>
      </c>
      <c r="M17" s="95">
        <f t="shared" ref="M17:M22" si="21">+C17/$L$5</f>
        <v>0</v>
      </c>
      <c r="N17" s="95">
        <f>+I17</f>
        <v>204713.04150564762</v>
      </c>
      <c r="O17" s="95">
        <f t="shared" ref="O17:O21" si="22">+E17/$L$5</f>
        <v>0</v>
      </c>
      <c r="P17" s="95">
        <f t="shared" ref="P17" si="23">+F17/$L$5</f>
        <v>0</v>
      </c>
      <c r="Q17" s="95">
        <f t="shared" ref="Q17" si="24">+G17/$L$5</f>
        <v>0</v>
      </c>
      <c r="R17" s="95">
        <f t="shared" si="10"/>
        <v>204713.04150564762</v>
      </c>
    </row>
    <row r="18" spans="1:18" s="92" customFormat="1">
      <c r="A18" s="94" t="s">
        <v>132</v>
      </c>
      <c r="B18" s="95">
        <f t="shared" si="3"/>
        <v>68578868.904391944</v>
      </c>
      <c r="C18" s="95">
        <f>'Componente 3...'!D11*3.35</f>
        <v>0</v>
      </c>
      <c r="D18" s="95">
        <f>'Componente 3...'!E11*3.35</f>
        <v>0</v>
      </c>
      <c r="E18" s="95">
        <f>'Componente 3...'!F11*3.35</f>
        <v>14529248.263497857</v>
      </c>
      <c r="F18" s="95">
        <f>'Componente 3...'!G11*3.35</f>
        <v>36323120.658744641</v>
      </c>
      <c r="G18" s="95">
        <f>'Componente 3...'!H11*3.35</f>
        <v>21793872.395246785</v>
      </c>
      <c r="H18" s="96" t="s">
        <v>376</v>
      </c>
      <c r="I18" s="97">
        <v>20471304.15056476</v>
      </c>
      <c r="M18" s="95">
        <f t="shared" si="21"/>
        <v>0</v>
      </c>
      <c r="N18" s="95">
        <f t="shared" ref="N18:N21" si="25">+D18/$L$5</f>
        <v>0</v>
      </c>
      <c r="O18" s="95">
        <f>0.2*I18</f>
        <v>4094260.8301129523</v>
      </c>
      <c r="P18" s="95">
        <f>0.5*I18</f>
        <v>10235652.07528238</v>
      </c>
      <c r="Q18" s="95">
        <f>0.3*I18</f>
        <v>6141391.2451694282</v>
      </c>
      <c r="R18" s="95">
        <f t="shared" si="10"/>
        <v>20471304.15056476</v>
      </c>
    </row>
    <row r="19" spans="1:18" s="92" customFormat="1">
      <c r="A19" s="94" t="s">
        <v>133</v>
      </c>
      <c r="B19" s="95">
        <f t="shared" si="3"/>
        <v>5486309.5123513564</v>
      </c>
      <c r="C19" s="95">
        <f>'Componente 3...'!D12*3.35</f>
        <v>0</v>
      </c>
      <c r="D19" s="95">
        <f>'Componente 3...'!E12*3.35</f>
        <v>0</v>
      </c>
      <c r="E19" s="95">
        <f>'Componente 3...'!F12*3.35</f>
        <v>1162339.8610798286</v>
      </c>
      <c r="F19" s="95">
        <f>'Componente 3...'!G12*3.35</f>
        <v>2905849.6526995716</v>
      </c>
      <c r="G19" s="95">
        <f>'Componente 3...'!H12*3.35</f>
        <v>1743509.791619743</v>
      </c>
      <c r="H19" s="96" t="s">
        <v>375</v>
      </c>
      <c r="I19" s="97">
        <f>+I18*0.08</f>
        <v>1637704.3320451807</v>
      </c>
      <c r="M19" s="95">
        <f t="shared" si="21"/>
        <v>0</v>
      </c>
      <c r="N19" s="95">
        <f t="shared" si="25"/>
        <v>0</v>
      </c>
      <c r="O19" s="95">
        <f>+O18*0.08</f>
        <v>327540.86640903621</v>
      </c>
      <c r="P19" s="95">
        <f t="shared" ref="P19:Q19" si="26">+P18*0.08</f>
        <v>818852.16602259036</v>
      </c>
      <c r="Q19" s="95">
        <f t="shared" si="26"/>
        <v>491311.29961355426</v>
      </c>
      <c r="R19" s="95">
        <f t="shared" si="10"/>
        <v>1637704.332045181</v>
      </c>
    </row>
    <row r="20" spans="1:18" s="92" customFormat="1">
      <c r="A20" s="94" t="s">
        <v>135</v>
      </c>
      <c r="B20" s="95">
        <f t="shared" si="3"/>
        <v>61108833.192599922</v>
      </c>
      <c r="C20" s="95">
        <f>'Componente 3...'!D13*3.35</f>
        <v>0</v>
      </c>
      <c r="D20" s="95">
        <f>'Componente 3...'!E13*3.35</f>
        <v>0</v>
      </c>
      <c r="E20" s="95">
        <f>'Componente 3...'!F13*3.35</f>
        <v>0</v>
      </c>
      <c r="F20" s="95">
        <f>'Componente 3...'!G13*3.35</f>
        <v>8861389.7694800161</v>
      </c>
      <c r="G20" s="95">
        <f>'Componente 3...'!H13*3.35</f>
        <v>35445559.077920064</v>
      </c>
      <c r="H20" s="96" t="s">
        <v>377</v>
      </c>
      <c r="I20" s="97">
        <v>18241442.744059678</v>
      </c>
      <c r="M20" s="95">
        <f t="shared" si="21"/>
        <v>0</v>
      </c>
      <c r="N20" s="95">
        <f t="shared" si="25"/>
        <v>0</v>
      </c>
      <c r="O20" s="95">
        <f t="shared" si="22"/>
        <v>0</v>
      </c>
      <c r="P20" s="95">
        <f>0.2*I20</f>
        <v>3648288.5488119358</v>
      </c>
      <c r="Q20" s="95">
        <f>0.8*I20</f>
        <v>14593154.195247743</v>
      </c>
      <c r="R20" s="95">
        <f t="shared" si="10"/>
        <v>18241442.744059678</v>
      </c>
    </row>
    <row r="21" spans="1:18" s="92" customFormat="1">
      <c r="A21" s="94" t="s">
        <v>137</v>
      </c>
      <c r="B21" s="95">
        <f t="shared" si="3"/>
        <v>1833264.9957779977</v>
      </c>
      <c r="C21" s="95">
        <f>'Componente 3...'!D14*3.35</f>
        <v>0</v>
      </c>
      <c r="D21" s="95">
        <f>'Componente 3...'!E14*3.35</f>
        <v>0</v>
      </c>
      <c r="E21" s="95">
        <f>'Componente 3...'!F14*3.35</f>
        <v>0</v>
      </c>
      <c r="F21" s="95">
        <f>'Componente 3...'!G14*3.35</f>
        <v>265841.6930844005</v>
      </c>
      <c r="G21" s="95">
        <f>'Componente 3...'!H14*3.35</f>
        <v>1063366.772337602</v>
      </c>
      <c r="H21" s="96" t="s">
        <v>375</v>
      </c>
      <c r="I21" s="97">
        <f>+I20*0.03</f>
        <v>547243.28232179035</v>
      </c>
      <c r="M21" s="95">
        <f t="shared" si="21"/>
        <v>0</v>
      </c>
      <c r="N21" s="95">
        <f t="shared" si="25"/>
        <v>0</v>
      </c>
      <c r="O21" s="95">
        <f t="shared" si="22"/>
        <v>0</v>
      </c>
      <c r="P21" s="95">
        <f>+P20*0.03</f>
        <v>109448.65646435806</v>
      </c>
      <c r="Q21" s="95">
        <f>+Q20*0.03</f>
        <v>437794.62585743226</v>
      </c>
      <c r="R21" s="95">
        <f t="shared" si="10"/>
        <v>547243.28232179035</v>
      </c>
    </row>
    <row r="22" spans="1:18" s="92" customFormat="1">
      <c r="A22" s="94" t="s">
        <v>139</v>
      </c>
      <c r="B22" s="95">
        <f t="shared" si="3"/>
        <v>1185364</v>
      </c>
      <c r="C22" s="95">
        <f>'Componente 3...'!D15*3.35</f>
        <v>0</v>
      </c>
      <c r="D22" s="95">
        <f>'Componente 3...'!E15*3.35</f>
        <v>418750</v>
      </c>
      <c r="E22" s="95">
        <f>'Componente 3...'!F15*3.35</f>
        <v>418750</v>
      </c>
      <c r="F22" s="95">
        <f>'Componente 3...'!G15*3.35</f>
        <v>418750</v>
      </c>
      <c r="G22" s="95">
        <f>'Componente 3...'!H15*3.35</f>
        <v>418750</v>
      </c>
      <c r="H22" s="96" t="s">
        <v>378</v>
      </c>
      <c r="I22" s="97">
        <v>88460</v>
      </c>
      <c r="M22" s="95">
        <f t="shared" si="21"/>
        <v>0</v>
      </c>
      <c r="N22" s="95">
        <f>+I22</f>
        <v>88460</v>
      </c>
      <c r="O22" s="95">
        <f>+N22</f>
        <v>88460</v>
      </c>
      <c r="P22" s="95">
        <f t="shared" ref="P22:Q22" si="27">+O22</f>
        <v>88460</v>
      </c>
      <c r="Q22" s="95">
        <f t="shared" si="27"/>
        <v>88460</v>
      </c>
      <c r="R22" s="95">
        <f t="shared" si="10"/>
        <v>353840</v>
      </c>
    </row>
    <row r="23" spans="1:18" s="93" customFormat="1">
      <c r="A23" s="99" t="s">
        <v>140</v>
      </c>
      <c r="B23" s="100">
        <f t="shared" si="3"/>
        <v>98945170.064999998</v>
      </c>
      <c r="C23" s="100">
        <f>+SUM(C24:C27)</f>
        <v>0</v>
      </c>
      <c r="D23" s="100">
        <f t="shared" ref="D23:G23" si="28">+SUM(D24:D27)</f>
        <v>0</v>
      </c>
      <c r="E23" s="100">
        <f t="shared" si="28"/>
        <v>74928675.679999992</v>
      </c>
      <c r="F23" s="100">
        <f t="shared" si="28"/>
        <v>7311129.7949999999</v>
      </c>
      <c r="G23" s="100">
        <f t="shared" si="28"/>
        <v>16705364.589999998</v>
      </c>
      <c r="H23" s="101"/>
      <c r="I23" s="102"/>
      <c r="J23" s="102"/>
      <c r="K23" s="102"/>
      <c r="L23" s="102"/>
      <c r="M23" s="100">
        <f>+SUM(M24:M27)</f>
        <v>0</v>
      </c>
      <c r="N23" s="100">
        <f t="shared" ref="N23:R23" si="29">+SUM(N24:N27)</f>
        <v>0</v>
      </c>
      <c r="O23" s="100">
        <f t="shared" si="29"/>
        <v>22366768.859701492</v>
      </c>
      <c r="P23" s="100">
        <f t="shared" si="29"/>
        <v>2182426.8044776116</v>
      </c>
      <c r="Q23" s="100">
        <f t="shared" si="29"/>
        <v>4986675.9970149249</v>
      </c>
      <c r="R23" s="100">
        <f t="shared" si="29"/>
        <v>29535871.661194026</v>
      </c>
    </row>
    <row r="24" spans="1:18" s="92" customFormat="1">
      <c r="A24" s="94" t="s">
        <v>141</v>
      </c>
      <c r="B24" s="95">
        <f t="shared" si="3"/>
        <v>22014438.565000001</v>
      </c>
      <c r="C24" s="95">
        <f>'Metas Comp. 3'!B20*'Componente 3'!$J24</f>
        <v>0</v>
      </c>
      <c r="D24" s="95">
        <f>'Metas Comp. 3'!C20*'Componente 3'!$J24</f>
        <v>0</v>
      </c>
      <c r="E24" s="95">
        <f>'Metas Comp. 3'!D20*'Componente 3'!$J24</f>
        <v>12579679.18</v>
      </c>
      <c r="F24" s="95">
        <f>'Metas Comp. 3'!E20*'Componente 3'!$J24</f>
        <v>3144919.7949999999</v>
      </c>
      <c r="G24" s="95">
        <f>'Metas Comp. 3'!F20*'Componente 3'!$J24</f>
        <v>6289839.5899999999</v>
      </c>
      <c r="H24" s="96" t="s">
        <v>379</v>
      </c>
      <c r="I24" s="97">
        <f>'Inversión central SMA'!J20</f>
        <v>938782.02835820895</v>
      </c>
      <c r="J24" s="97">
        <f t="shared" ref="J24:J27" si="30">I24*$L$5</f>
        <v>3144919.7949999999</v>
      </c>
      <c r="M24" s="95">
        <f>+C24/$L$5</f>
        <v>0</v>
      </c>
      <c r="N24" s="95">
        <f t="shared" ref="N24:Q24" si="31">+D24/$L$5</f>
        <v>0</v>
      </c>
      <c r="O24" s="95">
        <f t="shared" si="31"/>
        <v>3755128.1134328358</v>
      </c>
      <c r="P24" s="95">
        <f t="shared" si="31"/>
        <v>938782.02835820895</v>
      </c>
      <c r="Q24" s="95">
        <f t="shared" si="31"/>
        <v>1877564.0567164179</v>
      </c>
      <c r="R24" s="95">
        <f t="shared" si="10"/>
        <v>6571474.1985074626</v>
      </c>
    </row>
    <row r="25" spans="1:18" s="92" customFormat="1">
      <c r="A25" s="94" t="s">
        <v>142</v>
      </c>
      <c r="B25" s="95">
        <f t="shared" si="3"/>
        <v>5705138.5</v>
      </c>
      <c r="C25" s="95">
        <f>'Metas Comp. 3'!B21*'Componente 3'!$J25</f>
        <v>0</v>
      </c>
      <c r="D25" s="95">
        <f>'Metas Comp. 3'!C21*'Componente 3'!$J25</f>
        <v>0</v>
      </c>
      <c r="E25" s="95">
        <f>'Metas Comp. 3'!D21*'Componente 3'!$J25</f>
        <v>5705138.5</v>
      </c>
      <c r="F25" s="95">
        <f>'Metas Comp. 3'!E21*'Componente 3'!$J25</f>
        <v>0</v>
      </c>
      <c r="G25" s="95">
        <f>'Metas Comp. 3'!F21*'Componente 3'!$J25</f>
        <v>0</v>
      </c>
      <c r="H25" s="96" t="s">
        <v>380</v>
      </c>
      <c r="I25" s="97">
        <f>'Inversión central SMA'!J21</f>
        <v>1703026.4179104478</v>
      </c>
      <c r="J25" s="97">
        <f t="shared" si="30"/>
        <v>5705138.5</v>
      </c>
      <c r="M25" s="95">
        <f t="shared" ref="M25:M27" si="32">+C25/$L$5</f>
        <v>0</v>
      </c>
      <c r="N25" s="95">
        <f t="shared" ref="N25:N27" si="33">+D25/$L$5</f>
        <v>0</v>
      </c>
      <c r="O25" s="95">
        <f t="shared" ref="O25:O27" si="34">+E25/$L$5</f>
        <v>1703026.4179104478</v>
      </c>
      <c r="P25" s="95">
        <f t="shared" ref="P25:P27" si="35">+F25/$L$5</f>
        <v>0</v>
      </c>
      <c r="Q25" s="95">
        <f t="shared" ref="Q25:Q27" si="36">+G25/$L$5</f>
        <v>0</v>
      </c>
      <c r="R25" s="95">
        <f t="shared" si="10"/>
        <v>1703026.4179104478</v>
      </c>
    </row>
    <row r="26" spans="1:18" s="92" customFormat="1">
      <c r="A26" s="94" t="s">
        <v>143</v>
      </c>
      <c r="B26" s="95">
        <f t="shared" si="3"/>
        <v>3524680.5</v>
      </c>
      <c r="C26" s="95">
        <f>'Metas Comp. 3'!B22*'Componente 3'!$J26</f>
        <v>0</v>
      </c>
      <c r="D26" s="95">
        <f>'Metas Comp. 3'!C22*'Componente 3'!$J26</f>
        <v>0</v>
      </c>
      <c r="E26" s="95">
        <f>'Metas Comp. 3'!D22*'Componente 3'!$J26</f>
        <v>3524680.5</v>
      </c>
      <c r="F26" s="95">
        <f>'Metas Comp. 3'!E22*'Componente 3'!$J26</f>
        <v>0</v>
      </c>
      <c r="G26" s="95">
        <f>'Metas Comp. 3'!F22*'Componente 3'!$J26</f>
        <v>0</v>
      </c>
      <c r="H26" s="96" t="s">
        <v>381</v>
      </c>
      <c r="I26" s="97">
        <f>'Inversión central SMA'!J22</f>
        <v>350714.4776119403</v>
      </c>
      <c r="J26" s="97">
        <f t="shared" si="30"/>
        <v>1174893.5</v>
      </c>
      <c r="M26" s="95">
        <f t="shared" si="32"/>
        <v>0</v>
      </c>
      <c r="N26" s="95">
        <f t="shared" si="33"/>
        <v>0</v>
      </c>
      <c r="O26" s="95">
        <f t="shared" si="34"/>
        <v>1052143.4328358208</v>
      </c>
      <c r="P26" s="95">
        <f t="shared" si="35"/>
        <v>0</v>
      </c>
      <c r="Q26" s="95">
        <f t="shared" si="36"/>
        <v>0</v>
      </c>
      <c r="R26" s="95">
        <f t="shared" si="10"/>
        <v>1052143.4328358208</v>
      </c>
    </row>
    <row r="27" spans="1:18" s="92" customFormat="1">
      <c r="A27" s="94" t="s">
        <v>144</v>
      </c>
      <c r="B27" s="95">
        <f t="shared" si="3"/>
        <v>67700912.499999985</v>
      </c>
      <c r="C27" s="95">
        <f>'Metas Comp. 3'!B23*'Componente 3'!$J27</f>
        <v>0</v>
      </c>
      <c r="D27" s="95">
        <f>'Metas Comp. 3'!C23*'Componente 3'!$J27</f>
        <v>0</v>
      </c>
      <c r="E27" s="95">
        <f>'Metas Comp. 3'!D23*'Componente 3'!$J27</f>
        <v>53119177.499999993</v>
      </c>
      <c r="F27" s="95">
        <f>'Metas Comp. 3'!E23*'Componente 3'!$J27</f>
        <v>4166209.9999999995</v>
      </c>
      <c r="G27" s="95">
        <f>'Metas Comp. 3'!F23*'Componente 3'!$J27</f>
        <v>10415524.999999998</v>
      </c>
      <c r="H27" s="96" t="s">
        <v>382</v>
      </c>
      <c r="I27" s="97">
        <f>'Inversión central SMA'!J23</f>
        <v>310911.19402985071</v>
      </c>
      <c r="J27" s="97">
        <f t="shared" si="30"/>
        <v>1041552.4999999999</v>
      </c>
      <c r="M27" s="95">
        <f t="shared" si="32"/>
        <v>0</v>
      </c>
      <c r="N27" s="95">
        <f t="shared" si="33"/>
        <v>0</v>
      </c>
      <c r="O27" s="95">
        <f t="shared" si="34"/>
        <v>15856470.895522386</v>
      </c>
      <c r="P27" s="95">
        <f t="shared" si="35"/>
        <v>1243644.7761194028</v>
      </c>
      <c r="Q27" s="95">
        <f t="shared" si="36"/>
        <v>3109111.940298507</v>
      </c>
      <c r="R27" s="95">
        <f t="shared" si="10"/>
        <v>20209227.611940295</v>
      </c>
    </row>
    <row r="28" spans="1:18" s="93" customFormat="1" ht="14.1" customHeight="1">
      <c r="A28" s="99" t="s">
        <v>145</v>
      </c>
      <c r="B28" s="100">
        <f t="shared" si="3"/>
        <v>2891050</v>
      </c>
      <c r="C28" s="100">
        <f>+SUM(C29:C35)</f>
        <v>0</v>
      </c>
      <c r="D28" s="100">
        <f t="shared" ref="D28:G28" si="37">+SUM(D29:D35)</f>
        <v>0</v>
      </c>
      <c r="E28" s="100">
        <f t="shared" si="37"/>
        <v>0</v>
      </c>
      <c r="F28" s="100">
        <f t="shared" si="37"/>
        <v>214400</v>
      </c>
      <c r="G28" s="100">
        <f t="shared" si="37"/>
        <v>2676650</v>
      </c>
      <c r="H28" s="101"/>
      <c r="I28" s="102"/>
      <c r="J28" s="102"/>
      <c r="K28" s="102"/>
      <c r="L28" s="102"/>
      <c r="M28" s="100">
        <f>+SUM(M29:M35)</f>
        <v>0</v>
      </c>
      <c r="N28" s="100">
        <f t="shared" ref="N28:R28" si="38">+SUM(N29:N35)</f>
        <v>0</v>
      </c>
      <c r="O28" s="100">
        <f t="shared" si="38"/>
        <v>0</v>
      </c>
      <c r="P28" s="100">
        <f t="shared" si="38"/>
        <v>64000</v>
      </c>
      <c r="Q28" s="100">
        <f t="shared" si="38"/>
        <v>799000</v>
      </c>
      <c r="R28" s="100">
        <f t="shared" si="38"/>
        <v>863000</v>
      </c>
    </row>
    <row r="29" spans="1:18" s="92" customFormat="1">
      <c r="A29" s="94" t="s">
        <v>146</v>
      </c>
      <c r="B29" s="95">
        <f t="shared" si="3"/>
        <v>402000</v>
      </c>
      <c r="C29" s="95">
        <f>'Metas Comp. 3'!B25*'Componente 3'!$J29</f>
        <v>0</v>
      </c>
      <c r="D29" s="95">
        <f>'Metas Comp. 3'!C25*'Componente 3'!$J29</f>
        <v>0</v>
      </c>
      <c r="E29" s="95">
        <f>'Metas Comp. 3'!D25*'Componente 3'!$J29</f>
        <v>0</v>
      </c>
      <c r="F29" s="95">
        <f>'Metas Comp. 3'!E25*'Componente 3'!$J29</f>
        <v>0</v>
      </c>
      <c r="G29" s="95">
        <f>'Metas Comp. 3'!F25*'Componente 3'!$J29</f>
        <v>402000</v>
      </c>
      <c r="H29" s="96" t="s">
        <v>383</v>
      </c>
      <c r="I29" s="97">
        <f>'Costos rev tras100d'!I29</f>
        <v>15000</v>
      </c>
      <c r="J29" s="97">
        <f t="shared" ref="J29:J35" si="39">I29*$L$5</f>
        <v>50250</v>
      </c>
      <c r="M29" s="95">
        <f>+C29/$L$5</f>
        <v>0</v>
      </c>
      <c r="N29" s="95">
        <f t="shared" ref="N29:Q29" si="40">+D29/$L$5</f>
        <v>0</v>
      </c>
      <c r="O29" s="95">
        <f t="shared" si="40"/>
        <v>0</v>
      </c>
      <c r="P29" s="95">
        <f t="shared" si="40"/>
        <v>0</v>
      </c>
      <c r="Q29" s="95">
        <f t="shared" si="40"/>
        <v>120000</v>
      </c>
      <c r="R29" s="95">
        <f t="shared" si="10"/>
        <v>120000</v>
      </c>
    </row>
    <row r="30" spans="1:18" s="92" customFormat="1">
      <c r="A30" s="94" t="s">
        <v>147</v>
      </c>
      <c r="B30" s="95">
        <f t="shared" si="3"/>
        <v>402000</v>
      </c>
      <c r="C30" s="95">
        <f>'Metas Comp. 3'!B26*'Componente 3'!$J30</f>
        <v>0</v>
      </c>
      <c r="D30" s="95">
        <f>'Metas Comp. 3'!C26*'Componente 3'!$J30</f>
        <v>0</v>
      </c>
      <c r="E30" s="95">
        <f>'Metas Comp. 3'!D26*'Componente 3'!$J30</f>
        <v>0</v>
      </c>
      <c r="F30" s="95">
        <f>'Metas Comp. 3'!E26*'Componente 3'!$J30</f>
        <v>0</v>
      </c>
      <c r="G30" s="95">
        <f>'Metas Comp. 3'!F26*'Componente 3'!$J30</f>
        <v>402000</v>
      </c>
      <c r="H30" s="96" t="s">
        <v>383</v>
      </c>
      <c r="I30" s="97">
        <f>'Costos rev tras100d'!I30</f>
        <v>15000</v>
      </c>
      <c r="J30" s="97">
        <f t="shared" si="39"/>
        <v>50250</v>
      </c>
      <c r="M30" s="95">
        <f t="shared" ref="M30:M35" si="41">+C30/$L$5</f>
        <v>0</v>
      </c>
      <c r="N30" s="95">
        <f t="shared" ref="N30:N35" si="42">+D30/$L$5</f>
        <v>0</v>
      </c>
      <c r="O30" s="95">
        <f t="shared" ref="O30:O35" si="43">+E30/$L$5</f>
        <v>0</v>
      </c>
      <c r="P30" s="95">
        <f t="shared" ref="P30:P35" si="44">+F30/$L$5</f>
        <v>0</v>
      </c>
      <c r="Q30" s="95">
        <f t="shared" ref="Q30:Q35" si="45">+G30/$L$5</f>
        <v>120000</v>
      </c>
      <c r="R30" s="95">
        <f t="shared" si="10"/>
        <v>120000</v>
      </c>
    </row>
    <row r="31" spans="1:18" s="92" customFormat="1">
      <c r="A31" s="94" t="s">
        <v>148</v>
      </c>
      <c r="B31" s="95">
        <f t="shared" si="3"/>
        <v>402000</v>
      </c>
      <c r="C31" s="95">
        <f>'Metas Comp. 3'!B27*'Componente 3'!$J31</f>
        <v>0</v>
      </c>
      <c r="D31" s="95">
        <f>'Metas Comp. 3'!C27*'Componente 3'!$J31</f>
        <v>0</v>
      </c>
      <c r="E31" s="95">
        <f>'Metas Comp. 3'!D27*'Componente 3'!$J31</f>
        <v>0</v>
      </c>
      <c r="F31" s="95">
        <f>'Metas Comp. 3'!E27*'Componente 3'!$J31</f>
        <v>0</v>
      </c>
      <c r="G31" s="95">
        <f>'Metas Comp. 3'!F27*'Componente 3'!$J31</f>
        <v>402000</v>
      </c>
      <c r="H31" s="96" t="s">
        <v>383</v>
      </c>
      <c r="I31" s="97">
        <f>'Costos rev tras100d'!I31</f>
        <v>15000</v>
      </c>
      <c r="J31" s="97">
        <f t="shared" si="39"/>
        <v>50250</v>
      </c>
      <c r="M31" s="95">
        <f t="shared" si="41"/>
        <v>0</v>
      </c>
      <c r="N31" s="95">
        <f t="shared" si="42"/>
        <v>0</v>
      </c>
      <c r="O31" s="95">
        <f t="shared" si="43"/>
        <v>0</v>
      </c>
      <c r="P31" s="95">
        <f t="shared" si="44"/>
        <v>0</v>
      </c>
      <c r="Q31" s="95">
        <f t="shared" si="45"/>
        <v>120000</v>
      </c>
      <c r="R31" s="95">
        <f t="shared" si="10"/>
        <v>120000</v>
      </c>
    </row>
    <row r="32" spans="1:18" s="92" customFormat="1">
      <c r="A32" s="94" t="s">
        <v>149</v>
      </c>
      <c r="B32" s="95">
        <f t="shared" si="3"/>
        <v>753750</v>
      </c>
      <c r="C32" s="95">
        <f>'Metas Comp. 3'!B28*'Componente 3'!$J32</f>
        <v>0</v>
      </c>
      <c r="D32" s="95">
        <f>'Metas Comp. 3'!C28*'Componente 3'!$J32</f>
        <v>0</v>
      </c>
      <c r="E32" s="95">
        <f>'Metas Comp. 3'!D28*'Componente 3'!$J32</f>
        <v>0</v>
      </c>
      <c r="F32" s="95">
        <f>'Metas Comp. 3'!E28*'Componente 3'!$J32</f>
        <v>0</v>
      </c>
      <c r="G32" s="95">
        <f>'Metas Comp. 3'!F28*'Componente 3'!$J32</f>
        <v>753750</v>
      </c>
      <c r="H32" s="96" t="s">
        <v>383</v>
      </c>
      <c r="I32" s="97">
        <f>'Costos rev tras100d'!I32</f>
        <v>15000</v>
      </c>
      <c r="J32" s="97">
        <f t="shared" si="39"/>
        <v>50250</v>
      </c>
      <c r="M32" s="95">
        <f t="shared" si="41"/>
        <v>0</v>
      </c>
      <c r="N32" s="95">
        <f t="shared" si="42"/>
        <v>0</v>
      </c>
      <c r="O32" s="95">
        <f t="shared" si="43"/>
        <v>0</v>
      </c>
      <c r="P32" s="95">
        <f t="shared" si="44"/>
        <v>0</v>
      </c>
      <c r="Q32" s="95">
        <f t="shared" si="45"/>
        <v>225000</v>
      </c>
      <c r="R32" s="95">
        <f t="shared" si="10"/>
        <v>225000</v>
      </c>
    </row>
    <row r="33" spans="1:19" s="92" customFormat="1">
      <c r="A33" s="94" t="s">
        <v>150</v>
      </c>
      <c r="B33" s="95">
        <f t="shared" si="3"/>
        <v>428800</v>
      </c>
      <c r="C33" s="95">
        <f>'Metas Comp. 3'!B29*'Componente 3'!$J33</f>
        <v>0</v>
      </c>
      <c r="D33" s="95">
        <f>'Metas Comp. 3'!C29*'Componente 3'!$J33</f>
        <v>0</v>
      </c>
      <c r="E33" s="95">
        <f>'Metas Comp. 3'!D29*'Componente 3'!$J33</f>
        <v>0</v>
      </c>
      <c r="F33" s="95">
        <f>'Metas Comp. 3'!E29*'Componente 3'!$J33</f>
        <v>214400</v>
      </c>
      <c r="G33" s="95">
        <f>'Metas Comp. 3'!F29*'Componente 3'!$J33</f>
        <v>214400</v>
      </c>
      <c r="H33" s="96" t="s">
        <v>384</v>
      </c>
      <c r="I33" s="97">
        <f>'Costos rev tras100d'!I34</f>
        <v>8000</v>
      </c>
      <c r="J33" s="97">
        <f t="shared" si="39"/>
        <v>26800</v>
      </c>
      <c r="M33" s="95">
        <f t="shared" si="41"/>
        <v>0</v>
      </c>
      <c r="N33" s="95">
        <f t="shared" si="42"/>
        <v>0</v>
      </c>
      <c r="O33" s="95">
        <f t="shared" si="43"/>
        <v>0</v>
      </c>
      <c r="P33" s="95">
        <f t="shared" si="44"/>
        <v>64000</v>
      </c>
      <c r="Q33" s="95">
        <f t="shared" si="45"/>
        <v>64000</v>
      </c>
      <c r="R33" s="95">
        <f t="shared" si="10"/>
        <v>128000</v>
      </c>
    </row>
    <row r="34" spans="1:19" s="92" customFormat="1" ht="27.6">
      <c r="A34" s="94" t="s">
        <v>151</v>
      </c>
      <c r="B34" s="95">
        <f t="shared" si="3"/>
        <v>251250</v>
      </c>
      <c r="C34" s="95">
        <f>'Metas Comp. 3'!B30*'Componente 3'!$J34</f>
        <v>0</v>
      </c>
      <c r="D34" s="95">
        <f>'Metas Comp. 3'!C30*'Componente 3'!$J34</f>
        <v>0</v>
      </c>
      <c r="E34" s="95">
        <f>'Metas Comp. 3'!D30*'Componente 3'!$J34</f>
        <v>0</v>
      </c>
      <c r="F34" s="95">
        <f>'Metas Comp. 3'!E30*'Componente 3'!$J34</f>
        <v>0</v>
      </c>
      <c r="G34" s="95">
        <f>'Metas Comp. 3'!F30*'Componente 3'!$J34</f>
        <v>251250</v>
      </c>
      <c r="H34" s="96" t="s">
        <v>383</v>
      </c>
      <c r="I34" s="97">
        <f>'Costos rev tras100d'!I35</f>
        <v>15000</v>
      </c>
      <c r="J34" s="97">
        <f t="shared" si="39"/>
        <v>50250</v>
      </c>
      <c r="M34" s="95">
        <f t="shared" si="41"/>
        <v>0</v>
      </c>
      <c r="N34" s="95">
        <f t="shared" si="42"/>
        <v>0</v>
      </c>
      <c r="O34" s="95">
        <f t="shared" si="43"/>
        <v>0</v>
      </c>
      <c r="P34" s="95">
        <f t="shared" si="44"/>
        <v>0</v>
      </c>
      <c r="Q34" s="95">
        <f t="shared" si="45"/>
        <v>75000</v>
      </c>
      <c r="R34" s="95">
        <f t="shared" si="10"/>
        <v>75000</v>
      </c>
    </row>
    <row r="35" spans="1:19" s="92" customFormat="1">
      <c r="A35" s="94" t="s">
        <v>152</v>
      </c>
      <c r="B35" s="95">
        <f t="shared" si="3"/>
        <v>251250</v>
      </c>
      <c r="C35" s="95">
        <f>'Metas Comp. 3'!B31*'Componente 3'!$J35</f>
        <v>0</v>
      </c>
      <c r="D35" s="95">
        <f>'Metas Comp. 3'!C31*'Componente 3'!$J35</f>
        <v>0</v>
      </c>
      <c r="E35" s="95">
        <f>'Metas Comp. 3'!D31*'Componente 3'!$J35</f>
        <v>0</v>
      </c>
      <c r="F35" s="95">
        <f>'Metas Comp. 3'!E31*'Componente 3'!$J35</f>
        <v>0</v>
      </c>
      <c r="G35" s="95">
        <f>'Metas Comp. 3'!F31*'Componente 3'!$J35</f>
        <v>251250</v>
      </c>
      <c r="H35" s="96" t="s">
        <v>383</v>
      </c>
      <c r="I35" s="97">
        <f>'Costos rev tras100d'!I36</f>
        <v>15000</v>
      </c>
      <c r="J35" s="97">
        <f t="shared" si="39"/>
        <v>50250</v>
      </c>
      <c r="M35" s="95">
        <f t="shared" si="41"/>
        <v>0</v>
      </c>
      <c r="N35" s="95">
        <f t="shared" si="42"/>
        <v>0</v>
      </c>
      <c r="O35" s="95">
        <f t="shared" si="43"/>
        <v>0</v>
      </c>
      <c r="P35" s="95">
        <f t="shared" si="44"/>
        <v>0</v>
      </c>
      <c r="Q35" s="95">
        <f t="shared" si="45"/>
        <v>75000</v>
      </c>
      <c r="R35" s="95">
        <f t="shared" si="10"/>
        <v>75000</v>
      </c>
    </row>
    <row r="36" spans="1:19" s="93" customFormat="1">
      <c r="A36" s="99" t="s">
        <v>153</v>
      </c>
      <c r="B36" s="100">
        <f t="shared" si="3"/>
        <v>251250</v>
      </c>
      <c r="C36" s="100">
        <f>+C37</f>
        <v>0</v>
      </c>
      <c r="D36" s="100">
        <f t="shared" ref="D36:G36" si="46">+D37</f>
        <v>0</v>
      </c>
      <c r="E36" s="100">
        <f t="shared" si="46"/>
        <v>0</v>
      </c>
      <c r="F36" s="100">
        <f t="shared" si="46"/>
        <v>251250</v>
      </c>
      <c r="G36" s="100">
        <f t="shared" si="46"/>
        <v>0</v>
      </c>
      <c r="H36" s="101"/>
      <c r="I36" s="102"/>
      <c r="J36" s="102"/>
      <c r="K36" s="102"/>
      <c r="L36" s="102"/>
      <c r="M36" s="100">
        <f>+M37</f>
        <v>0</v>
      </c>
      <c r="N36" s="100">
        <f t="shared" ref="N36:R36" si="47">+N37</f>
        <v>0</v>
      </c>
      <c r="O36" s="100">
        <f t="shared" si="47"/>
        <v>0</v>
      </c>
      <c r="P36" s="100">
        <f t="shared" si="47"/>
        <v>75000</v>
      </c>
      <c r="Q36" s="100">
        <f t="shared" si="47"/>
        <v>0</v>
      </c>
      <c r="R36" s="100">
        <f t="shared" si="47"/>
        <v>75000</v>
      </c>
    </row>
    <row r="37" spans="1:19" s="92" customFormat="1" ht="15" customHeight="1">
      <c r="A37" s="94" t="s">
        <v>154</v>
      </c>
      <c r="B37" s="95">
        <f t="shared" si="3"/>
        <v>251250</v>
      </c>
      <c r="C37" s="95">
        <f>'Metas Comp. 3'!B33*'Componente 3'!$J37</f>
        <v>0</v>
      </c>
      <c r="D37" s="95">
        <f>'Metas Comp. 3'!C33*'Componente 3'!$J37</f>
        <v>0</v>
      </c>
      <c r="E37" s="95">
        <f>'Metas Comp. 3'!D33*'Componente 3'!$J37</f>
        <v>0</v>
      </c>
      <c r="F37" s="95">
        <f>'Metas Comp. 3'!E33*'Componente 3'!$J37</f>
        <v>251250</v>
      </c>
      <c r="G37" s="95">
        <f>'Metas Comp. 3'!F33*'Componente 3'!$J37</f>
        <v>0</v>
      </c>
      <c r="H37" s="96" t="s">
        <v>354</v>
      </c>
      <c r="I37" s="97">
        <f>'Costos rev tras100d'!I38</f>
        <v>75000</v>
      </c>
      <c r="J37" s="97">
        <f>I37*$L$5</f>
        <v>251250</v>
      </c>
      <c r="M37" s="95">
        <f>+C37/$L$5</f>
        <v>0</v>
      </c>
      <c r="N37" s="95">
        <f t="shared" ref="N37:Q37" si="48">+D37/$L$5</f>
        <v>0</v>
      </c>
      <c r="O37" s="95">
        <f t="shared" si="48"/>
        <v>0</v>
      </c>
      <c r="P37" s="95">
        <f t="shared" si="48"/>
        <v>75000</v>
      </c>
      <c r="Q37" s="95">
        <f t="shared" si="48"/>
        <v>0</v>
      </c>
      <c r="R37" s="95">
        <f t="shared" si="10"/>
        <v>75000</v>
      </c>
    </row>
    <row r="38" spans="1:19" s="93" customFormat="1">
      <c r="A38" s="99" t="s">
        <v>155</v>
      </c>
      <c r="B38" s="100">
        <f t="shared" si="3"/>
        <v>107200</v>
      </c>
      <c r="C38" s="100">
        <f>+C39</f>
        <v>0</v>
      </c>
      <c r="D38" s="100">
        <f t="shared" ref="D38:G38" si="49">+D39</f>
        <v>0</v>
      </c>
      <c r="E38" s="100">
        <f t="shared" si="49"/>
        <v>0</v>
      </c>
      <c r="F38" s="100">
        <f t="shared" si="49"/>
        <v>107200</v>
      </c>
      <c r="G38" s="100">
        <f t="shared" si="49"/>
        <v>0</v>
      </c>
      <c r="H38" s="101"/>
      <c r="I38" s="102"/>
      <c r="J38" s="102"/>
      <c r="K38" s="102"/>
      <c r="L38" s="102"/>
      <c r="M38" s="100">
        <f>+M39</f>
        <v>0</v>
      </c>
      <c r="N38" s="100">
        <f t="shared" ref="N38:R38" si="50">+N39</f>
        <v>0</v>
      </c>
      <c r="O38" s="100">
        <f t="shared" si="50"/>
        <v>0</v>
      </c>
      <c r="P38" s="100">
        <f t="shared" si="50"/>
        <v>32000</v>
      </c>
      <c r="Q38" s="100">
        <f t="shared" si="50"/>
        <v>0</v>
      </c>
      <c r="R38" s="100">
        <f t="shared" si="50"/>
        <v>32000</v>
      </c>
      <c r="S38" s="154"/>
    </row>
    <row r="39" spans="1:19" s="92" customFormat="1">
      <c r="A39" s="94" t="s">
        <v>156</v>
      </c>
      <c r="B39" s="95">
        <f t="shared" si="3"/>
        <v>107200</v>
      </c>
      <c r="C39" s="95">
        <f>'Metas Comp. 3'!B35*'Componente 3'!$J39</f>
        <v>0</v>
      </c>
      <c r="D39" s="95">
        <f>'Metas Comp. 3'!C35*'Componente 3'!$J39</f>
        <v>0</v>
      </c>
      <c r="E39" s="95">
        <f>'Metas Comp. 3'!D35*'Componente 3'!$J39</f>
        <v>0</v>
      </c>
      <c r="F39" s="95">
        <f>'Metas Comp. 3'!E35*'Componente 3'!$J39</f>
        <v>107200</v>
      </c>
      <c r="G39" s="95">
        <f>'Metas Comp. 3'!F35*'Componente 3'!$J39</f>
        <v>0</v>
      </c>
      <c r="H39" s="96" t="s">
        <v>385</v>
      </c>
      <c r="I39" s="97">
        <f>'Inversión central SMA'!J37</f>
        <v>1000</v>
      </c>
      <c r="J39" s="97">
        <f>I39*$L$5</f>
        <v>3350</v>
      </c>
      <c r="M39" s="95">
        <f>+C39/$L$5</f>
        <v>0</v>
      </c>
      <c r="N39" s="95">
        <f t="shared" ref="N39:Q39" si="51">+D39/$L$5</f>
        <v>0</v>
      </c>
      <c r="O39" s="95">
        <f t="shared" si="51"/>
        <v>0</v>
      </c>
      <c r="P39" s="95">
        <f t="shared" si="51"/>
        <v>32000</v>
      </c>
      <c r="Q39" s="95">
        <f t="shared" si="51"/>
        <v>0</v>
      </c>
      <c r="R39" s="95">
        <f t="shared" si="10"/>
        <v>32000</v>
      </c>
    </row>
    <row r="40" spans="1:19" s="93" customFormat="1" ht="15" customHeight="1">
      <c r="A40" s="99" t="s">
        <v>157</v>
      </c>
      <c r="B40" s="100">
        <f t="shared" si="3"/>
        <v>167500</v>
      </c>
      <c r="C40" s="100">
        <f>+C41</f>
        <v>0</v>
      </c>
      <c r="D40" s="100">
        <f t="shared" ref="D40:G40" si="52">+D41</f>
        <v>0</v>
      </c>
      <c r="E40" s="100">
        <f t="shared" si="52"/>
        <v>0</v>
      </c>
      <c r="F40" s="100">
        <f t="shared" si="52"/>
        <v>167500</v>
      </c>
      <c r="G40" s="100">
        <f t="shared" si="52"/>
        <v>0</v>
      </c>
      <c r="H40" s="101"/>
      <c r="I40" s="102"/>
      <c r="J40" s="102"/>
      <c r="K40" s="102"/>
      <c r="L40" s="102"/>
      <c r="M40" s="100">
        <f>+M41</f>
        <v>0</v>
      </c>
      <c r="N40" s="100">
        <f t="shared" ref="N40:R40" si="53">+N41</f>
        <v>0</v>
      </c>
      <c r="O40" s="100">
        <f t="shared" si="53"/>
        <v>0</v>
      </c>
      <c r="P40" s="100">
        <f t="shared" si="53"/>
        <v>50000</v>
      </c>
      <c r="Q40" s="100">
        <f t="shared" si="53"/>
        <v>0</v>
      </c>
      <c r="R40" s="100">
        <f t="shared" si="53"/>
        <v>50000</v>
      </c>
    </row>
    <row r="41" spans="1:19" s="92" customFormat="1">
      <c r="A41" s="94" t="s">
        <v>158</v>
      </c>
      <c r="B41" s="95">
        <f t="shared" si="3"/>
        <v>167500</v>
      </c>
      <c r="C41" s="95">
        <f>'Metas Comp. 3'!B37*'Componente 3'!$J41</f>
        <v>0</v>
      </c>
      <c r="D41" s="95">
        <f>'Metas Comp. 3'!C37*'Componente 3'!$J41</f>
        <v>0</v>
      </c>
      <c r="E41" s="95">
        <f>'Metas Comp. 3'!D37*'Componente 3'!$J41</f>
        <v>0</v>
      </c>
      <c r="F41" s="95">
        <f>'Metas Comp. 3'!E37*'Componente 3'!$J41</f>
        <v>167500</v>
      </c>
      <c r="G41" s="95">
        <f>'Metas Comp. 3'!F37*'Componente 3'!$J41</f>
        <v>0</v>
      </c>
      <c r="H41" s="96" t="s">
        <v>354</v>
      </c>
      <c r="I41" s="97">
        <f>'Inversión central SMA'!J39</f>
        <v>50000</v>
      </c>
      <c r="J41" s="97">
        <f>I41*$L$5</f>
        <v>167500</v>
      </c>
      <c r="M41" s="95">
        <f>+C41/$L$5</f>
        <v>0</v>
      </c>
      <c r="N41" s="95">
        <f t="shared" ref="N41:Q41" si="54">+D41/$L$5</f>
        <v>0</v>
      </c>
      <c r="O41" s="95">
        <f t="shared" si="54"/>
        <v>0</v>
      </c>
      <c r="P41" s="95">
        <f t="shared" si="54"/>
        <v>50000</v>
      </c>
      <c r="Q41" s="95">
        <f t="shared" si="54"/>
        <v>0</v>
      </c>
      <c r="R41" s="95">
        <f t="shared" si="10"/>
        <v>50000</v>
      </c>
    </row>
    <row r="42" spans="1:19" s="93" customFormat="1">
      <c r="A42" s="99" t="s">
        <v>159</v>
      </c>
      <c r="B42" s="100">
        <f t="shared" si="3"/>
        <v>670000</v>
      </c>
      <c r="C42" s="100">
        <f>+SUM(C43:C45)</f>
        <v>0</v>
      </c>
      <c r="D42" s="100">
        <f t="shared" ref="D42:G42" si="55">+SUM(D43:D45)</f>
        <v>0</v>
      </c>
      <c r="E42" s="100">
        <f t="shared" si="55"/>
        <v>335000</v>
      </c>
      <c r="F42" s="100">
        <f t="shared" si="55"/>
        <v>335000</v>
      </c>
      <c r="G42" s="100">
        <f t="shared" si="55"/>
        <v>0</v>
      </c>
      <c r="H42" s="101"/>
      <c r="I42" s="102"/>
      <c r="J42" s="102"/>
      <c r="K42" s="102"/>
      <c r="L42" s="102"/>
      <c r="M42" s="100">
        <f>+SUM(M43:M45)</f>
        <v>0</v>
      </c>
      <c r="N42" s="100">
        <f t="shared" ref="N42:R42" si="56">+SUM(N43:N45)</f>
        <v>0</v>
      </c>
      <c r="O42" s="100">
        <f t="shared" si="56"/>
        <v>100000</v>
      </c>
      <c r="P42" s="100">
        <f t="shared" si="56"/>
        <v>100000</v>
      </c>
      <c r="Q42" s="100">
        <f t="shared" si="56"/>
        <v>0</v>
      </c>
      <c r="R42" s="100">
        <f t="shared" si="56"/>
        <v>200000</v>
      </c>
    </row>
    <row r="43" spans="1:19" s="92" customFormat="1">
      <c r="A43" s="94" t="s">
        <v>160</v>
      </c>
      <c r="B43" s="95">
        <f t="shared" si="3"/>
        <v>335000</v>
      </c>
      <c r="C43" s="95">
        <f>'Metas Comp. 3'!B39*'Componente 3'!$J43</f>
        <v>0</v>
      </c>
      <c r="D43" s="95">
        <f>'Metas Comp. 3'!C39*'Componente 3'!$J43</f>
        <v>0</v>
      </c>
      <c r="E43" s="95">
        <f>'Metas Comp. 3'!D39*'Componente 3'!$J43</f>
        <v>335000</v>
      </c>
      <c r="F43" s="95">
        <f>'Metas Comp. 3'!E39*'Componente 3'!$J43</f>
        <v>0</v>
      </c>
      <c r="G43" s="95">
        <f>'Metas Comp. 3'!F39*'Componente 3'!$J43</f>
        <v>0</v>
      </c>
      <c r="H43" s="96" t="s">
        <v>354</v>
      </c>
      <c r="I43" s="97">
        <f>'Inversión central SMA'!J41</f>
        <v>100000</v>
      </c>
      <c r="J43" s="97">
        <f t="shared" ref="J43:J45" si="57">I43*$L$5</f>
        <v>335000</v>
      </c>
      <c r="M43" s="95">
        <f t="shared" ref="M43:M51" si="58">+C43/$L$5</f>
        <v>0</v>
      </c>
      <c r="N43" s="95">
        <f t="shared" ref="N43:N51" si="59">+D43/$L$5</f>
        <v>0</v>
      </c>
      <c r="O43" s="95">
        <f t="shared" ref="O43:O51" si="60">+E43/$L$5</f>
        <v>100000</v>
      </c>
      <c r="P43" s="95">
        <f t="shared" ref="P43:P51" si="61">+F43/$L$5</f>
        <v>0</v>
      </c>
      <c r="Q43" s="95">
        <f t="shared" ref="Q43:Q51" si="62">+G43/$L$5</f>
        <v>0</v>
      </c>
      <c r="R43" s="95">
        <f t="shared" si="10"/>
        <v>100000</v>
      </c>
    </row>
    <row r="44" spans="1:19" s="92" customFormat="1">
      <c r="A44" s="94" t="s">
        <v>161</v>
      </c>
      <c r="B44" s="95">
        <f t="shared" si="3"/>
        <v>167500</v>
      </c>
      <c r="C44" s="95">
        <f>'Metas Comp. 3'!B40*'Componente 3'!$J44</f>
        <v>0</v>
      </c>
      <c r="D44" s="95">
        <f>'Metas Comp. 3'!C40*'Componente 3'!$J44</f>
        <v>0</v>
      </c>
      <c r="E44" s="95">
        <f>'Metas Comp. 3'!D40*'Componente 3'!$J44</f>
        <v>0</v>
      </c>
      <c r="F44" s="95">
        <f>'Metas Comp. 3'!E40*'Componente 3'!$J44</f>
        <v>167500</v>
      </c>
      <c r="G44" s="95">
        <f>'Metas Comp. 3'!F40*'Componente 3'!$J44</f>
        <v>0</v>
      </c>
      <c r="H44" s="96" t="s">
        <v>354</v>
      </c>
      <c r="I44" s="97">
        <f>'Inversión central SMA'!J42</f>
        <v>50000</v>
      </c>
      <c r="J44" s="97">
        <f t="shared" si="57"/>
        <v>167500</v>
      </c>
      <c r="M44" s="95">
        <f t="shared" si="58"/>
        <v>0</v>
      </c>
      <c r="N44" s="95">
        <f t="shared" si="59"/>
        <v>0</v>
      </c>
      <c r="O44" s="95">
        <f t="shared" si="60"/>
        <v>0</v>
      </c>
      <c r="P44" s="95">
        <f t="shared" si="61"/>
        <v>50000</v>
      </c>
      <c r="Q44" s="95">
        <f t="shared" si="62"/>
        <v>0</v>
      </c>
      <c r="R44" s="95">
        <f t="shared" si="10"/>
        <v>50000</v>
      </c>
    </row>
    <row r="45" spans="1:19" s="92" customFormat="1">
      <c r="A45" s="94" t="s">
        <v>162</v>
      </c>
      <c r="B45" s="95">
        <f t="shared" si="3"/>
        <v>167500</v>
      </c>
      <c r="C45" s="95">
        <f>'Metas Comp. 3'!B41*'Componente 3'!$J45</f>
        <v>0</v>
      </c>
      <c r="D45" s="95">
        <f>'Metas Comp. 3'!C41*'Componente 3'!$J45</f>
        <v>0</v>
      </c>
      <c r="E45" s="95">
        <f>'Metas Comp. 3'!D41*'Componente 3'!$J45</f>
        <v>0</v>
      </c>
      <c r="F45" s="95">
        <f>'Metas Comp. 3'!E41*'Componente 3'!$J45</f>
        <v>167500</v>
      </c>
      <c r="G45" s="95">
        <f>'Metas Comp. 3'!F41*'Componente 3'!$J45</f>
        <v>0</v>
      </c>
      <c r="H45" s="96" t="s">
        <v>354</v>
      </c>
      <c r="I45" s="97">
        <f>'Inversión central SMA'!J43</f>
        <v>50000</v>
      </c>
      <c r="J45" s="97">
        <f t="shared" si="57"/>
        <v>167500</v>
      </c>
      <c r="M45" s="95">
        <f t="shared" si="58"/>
        <v>0</v>
      </c>
      <c r="N45" s="95">
        <f t="shared" si="59"/>
        <v>0</v>
      </c>
      <c r="O45" s="95">
        <f t="shared" si="60"/>
        <v>0</v>
      </c>
      <c r="P45" s="95">
        <f t="shared" si="61"/>
        <v>50000</v>
      </c>
      <c r="Q45" s="95">
        <f t="shared" si="62"/>
        <v>0</v>
      </c>
      <c r="R45" s="95">
        <f t="shared" si="10"/>
        <v>50000</v>
      </c>
    </row>
    <row r="46" spans="1:19" s="93" customFormat="1">
      <c r="A46" s="99" t="s">
        <v>163</v>
      </c>
      <c r="B46" s="100">
        <f t="shared" si="3"/>
        <v>1507500</v>
      </c>
      <c r="C46" s="100">
        <f>+SUM(C47:C48)</f>
        <v>0</v>
      </c>
      <c r="D46" s="100">
        <f t="shared" ref="D46:G46" si="63">+SUM(D47:D48)</f>
        <v>0</v>
      </c>
      <c r="E46" s="100">
        <f t="shared" si="63"/>
        <v>0</v>
      </c>
      <c r="F46" s="100">
        <f t="shared" si="63"/>
        <v>502500</v>
      </c>
      <c r="G46" s="100">
        <f t="shared" si="63"/>
        <v>1005000</v>
      </c>
      <c r="H46" s="101"/>
      <c r="I46" s="102"/>
      <c r="J46" s="102"/>
      <c r="K46" s="102"/>
      <c r="L46" s="102"/>
      <c r="M46" s="100">
        <f>+SUM(M47:M48)</f>
        <v>0</v>
      </c>
      <c r="N46" s="100">
        <f t="shared" ref="N46:R46" si="64">+SUM(N47:N48)</f>
        <v>0</v>
      </c>
      <c r="O46" s="100">
        <f t="shared" si="64"/>
        <v>0</v>
      </c>
      <c r="P46" s="100">
        <f t="shared" si="64"/>
        <v>150000</v>
      </c>
      <c r="Q46" s="100">
        <f t="shared" si="64"/>
        <v>300000</v>
      </c>
      <c r="R46" s="100">
        <f t="shared" si="64"/>
        <v>450000</v>
      </c>
    </row>
    <row r="47" spans="1:19" s="92" customFormat="1">
      <c r="A47" s="94" t="s">
        <v>164</v>
      </c>
      <c r="B47" s="95">
        <f t="shared" si="3"/>
        <v>502500</v>
      </c>
      <c r="C47" s="95">
        <f>'Metas Comp. 3'!B43*'Componente 3'!$J47</f>
        <v>0</v>
      </c>
      <c r="D47" s="95">
        <f>'Metas Comp. 3'!C43*'Componente 3'!$J47</f>
        <v>0</v>
      </c>
      <c r="E47" s="95">
        <f>'Metas Comp. 3'!D43*'Componente 3'!$J47</f>
        <v>0</v>
      </c>
      <c r="F47" s="95">
        <f>'Metas Comp. 3'!E43*'Componente 3'!$J47</f>
        <v>502500</v>
      </c>
      <c r="G47" s="95">
        <f>'Metas Comp. 3'!F43*'Componente 3'!$J47</f>
        <v>0</v>
      </c>
      <c r="H47" s="96" t="s">
        <v>354</v>
      </c>
      <c r="I47" s="97">
        <f>'Inversión central SMA'!J45</f>
        <v>150000</v>
      </c>
      <c r="J47" s="97">
        <f t="shared" ref="J47:J48" si="65">I47*$L$5</f>
        <v>502500</v>
      </c>
      <c r="M47" s="95">
        <f t="shared" si="58"/>
        <v>0</v>
      </c>
      <c r="N47" s="95">
        <f t="shared" si="59"/>
        <v>0</v>
      </c>
      <c r="O47" s="95">
        <f t="shared" si="60"/>
        <v>0</v>
      </c>
      <c r="P47" s="95">
        <f t="shared" si="61"/>
        <v>150000</v>
      </c>
      <c r="Q47" s="95">
        <f t="shared" si="62"/>
        <v>0</v>
      </c>
      <c r="R47" s="95">
        <f t="shared" si="10"/>
        <v>150000</v>
      </c>
    </row>
    <row r="48" spans="1:19" s="92" customFormat="1" ht="15" customHeight="1">
      <c r="A48" s="94" t="s">
        <v>165</v>
      </c>
      <c r="B48" s="95">
        <f t="shared" si="3"/>
        <v>1005000</v>
      </c>
      <c r="C48" s="95">
        <f>'Metas Comp. 3'!B44*'Componente 3'!$J48</f>
        <v>0</v>
      </c>
      <c r="D48" s="95">
        <f>'Metas Comp. 3'!C44*'Componente 3'!$J48</f>
        <v>0</v>
      </c>
      <c r="E48" s="95">
        <f>'Metas Comp. 3'!D44*'Componente 3'!$J48</f>
        <v>0</v>
      </c>
      <c r="F48" s="95">
        <f>'Metas Comp. 3'!E44*'Componente 3'!$J48</f>
        <v>0</v>
      </c>
      <c r="G48" s="95">
        <f>'Metas Comp. 3'!F44*'Componente 3'!$J48</f>
        <v>1005000</v>
      </c>
      <c r="H48" s="96" t="s">
        <v>386</v>
      </c>
      <c r="I48" s="97">
        <f>'Inversión central SMA'!J46</f>
        <v>300000</v>
      </c>
      <c r="J48" s="97">
        <f t="shared" si="65"/>
        <v>1005000</v>
      </c>
      <c r="M48" s="95">
        <f t="shared" si="58"/>
        <v>0</v>
      </c>
      <c r="N48" s="95">
        <f t="shared" si="59"/>
        <v>0</v>
      </c>
      <c r="O48" s="95">
        <f t="shared" si="60"/>
        <v>0</v>
      </c>
      <c r="P48" s="95">
        <f t="shared" si="61"/>
        <v>0</v>
      </c>
      <c r="Q48" s="95">
        <f t="shared" si="62"/>
        <v>300000</v>
      </c>
      <c r="R48" s="95">
        <f t="shared" si="10"/>
        <v>300000</v>
      </c>
    </row>
    <row r="49" spans="1:18" s="93" customFormat="1">
      <c r="A49" s="99" t="s">
        <v>166</v>
      </c>
      <c r="B49" s="100">
        <f t="shared" si="3"/>
        <v>10050000</v>
      </c>
      <c r="C49" s="100">
        <f>+SUM(C50:C51)</f>
        <v>0</v>
      </c>
      <c r="D49" s="100">
        <f t="shared" ref="D49:G49" si="66">+SUM(D50:D51)</f>
        <v>0</v>
      </c>
      <c r="E49" s="100">
        <f t="shared" si="66"/>
        <v>0</v>
      </c>
      <c r="F49" s="100">
        <f t="shared" si="66"/>
        <v>5862500</v>
      </c>
      <c r="G49" s="100">
        <f t="shared" si="66"/>
        <v>4187500</v>
      </c>
      <c r="H49" s="101"/>
      <c r="I49" s="102"/>
      <c r="J49" s="102"/>
      <c r="K49" s="102"/>
      <c r="L49" s="102"/>
      <c r="M49" s="100">
        <f>+SUM(M50:M51)</f>
        <v>0</v>
      </c>
      <c r="N49" s="100">
        <f t="shared" ref="N49:R49" si="67">+SUM(N50:N51)</f>
        <v>0</v>
      </c>
      <c r="O49" s="100">
        <f t="shared" si="67"/>
        <v>0</v>
      </c>
      <c r="P49" s="100">
        <f t="shared" si="67"/>
        <v>1750000</v>
      </c>
      <c r="Q49" s="100">
        <f t="shared" si="67"/>
        <v>1250000</v>
      </c>
      <c r="R49" s="100">
        <f t="shared" si="67"/>
        <v>3000000</v>
      </c>
    </row>
    <row r="50" spans="1:18" s="92" customFormat="1" ht="27.6">
      <c r="A50" s="94" t="s">
        <v>167</v>
      </c>
      <c r="B50" s="95">
        <f t="shared" si="3"/>
        <v>1675000</v>
      </c>
      <c r="C50" s="95">
        <f>'Metas Comp. 3'!B46*'Componente 3'!$J50</f>
        <v>0</v>
      </c>
      <c r="D50" s="95">
        <f>'Metas Comp. 3'!C46*'Componente 3'!$J50</f>
        <v>0</v>
      </c>
      <c r="E50" s="95">
        <f>'Metas Comp. 3'!D46*'Componente 3'!$J50</f>
        <v>0</v>
      </c>
      <c r="F50" s="95">
        <f>'Metas Comp. 3'!E46*'Componente 3'!$J50</f>
        <v>1675000</v>
      </c>
      <c r="G50" s="95">
        <f>'Metas Comp. 3'!F46*'Componente 3'!$J50</f>
        <v>0</v>
      </c>
      <c r="H50" s="96" t="s">
        <v>354</v>
      </c>
      <c r="I50" s="97">
        <f>'Inversión central SMA'!J48</f>
        <v>500000</v>
      </c>
      <c r="J50" s="97">
        <f t="shared" ref="J50:J51" si="68">I50*$L$5</f>
        <v>1675000</v>
      </c>
      <c r="M50" s="95">
        <f t="shared" si="58"/>
        <v>0</v>
      </c>
      <c r="N50" s="95">
        <f t="shared" si="59"/>
        <v>0</v>
      </c>
      <c r="O50" s="95">
        <f t="shared" si="60"/>
        <v>0</v>
      </c>
      <c r="P50" s="95">
        <f t="shared" si="61"/>
        <v>500000</v>
      </c>
      <c r="Q50" s="95">
        <f t="shared" si="62"/>
        <v>0</v>
      </c>
      <c r="R50" s="95">
        <f t="shared" si="10"/>
        <v>500000</v>
      </c>
    </row>
    <row r="51" spans="1:18" s="92" customFormat="1" ht="14.45" thickBot="1">
      <c r="A51" s="94" t="s">
        <v>168</v>
      </c>
      <c r="B51" s="103">
        <f t="shared" si="3"/>
        <v>8375000</v>
      </c>
      <c r="C51" s="95">
        <f>'Metas Comp. 3'!B47*'Componente 3'!$J51</f>
        <v>0</v>
      </c>
      <c r="D51" s="95">
        <f>'Metas Comp. 3'!C47*'Componente 3'!$J51</f>
        <v>0</v>
      </c>
      <c r="E51" s="95">
        <f>'Metas Comp. 3'!D47*'Componente 3'!$J51</f>
        <v>0</v>
      </c>
      <c r="F51" s="95">
        <f>'Metas Comp. 3'!E47*'Componente 3'!$J51</f>
        <v>4187500</v>
      </c>
      <c r="G51" s="95">
        <f>'Metas Comp. 3'!F47*'Componente 3'!$J51</f>
        <v>4187500</v>
      </c>
      <c r="H51" s="96" t="s">
        <v>355</v>
      </c>
      <c r="I51" s="97">
        <f>'Inversión central SMA'!J49</f>
        <v>125000</v>
      </c>
      <c r="J51" s="97">
        <f t="shared" si="68"/>
        <v>418750</v>
      </c>
      <c r="M51" s="95">
        <f t="shared" si="58"/>
        <v>0</v>
      </c>
      <c r="N51" s="95">
        <f t="shared" si="59"/>
        <v>0</v>
      </c>
      <c r="O51" s="95">
        <f t="shared" si="60"/>
        <v>0</v>
      </c>
      <c r="P51" s="95">
        <f t="shared" si="61"/>
        <v>1250000</v>
      </c>
      <c r="Q51" s="95">
        <f t="shared" si="62"/>
        <v>1250000</v>
      </c>
      <c r="R51" s="103">
        <f t="shared" si="10"/>
        <v>2500000</v>
      </c>
    </row>
    <row r="52" spans="1:18" s="92" customFormat="1" ht="15" thickBot="1">
      <c r="A52" s="84" t="s">
        <v>18</v>
      </c>
      <c r="B52" s="109">
        <f t="shared" si="3"/>
        <v>259376042.80438471</v>
      </c>
      <c r="C52" s="105">
        <f>+C49+C46+C42+C40+C38+C36+C28+C23+C15+C10+C7</f>
        <v>0</v>
      </c>
      <c r="D52" s="105">
        <f t="shared" ref="D52:G52" si="69">+D49+D46+D42+D40+D38+D36+D28+D23+D15+D10+D7</f>
        <v>4777524.4790493576</v>
      </c>
      <c r="E52" s="105">
        <f t="shared" si="69"/>
        <v>91374013.804577678</v>
      </c>
      <c r="F52" s="105">
        <f t="shared" si="69"/>
        <v>66005431.569008633</v>
      </c>
      <c r="G52" s="105">
        <f t="shared" si="69"/>
        <v>85039572.62712419</v>
      </c>
      <c r="H52" s="106"/>
      <c r="I52" s="106"/>
      <c r="J52" s="106"/>
      <c r="K52" s="106"/>
      <c r="L52" s="106"/>
      <c r="M52" s="107">
        <f>+M49+M46+M42+M40+M38+M36+M28+M23+M15+M10+M7</f>
        <v>0</v>
      </c>
      <c r="N52" s="107">
        <f>+N49+N46+N42+N40+N38+N36+N28+N23+N15+N10+N7</f>
        <v>1316738.2490338858</v>
      </c>
      <c r="O52" s="107">
        <f t="shared" ref="O52:R52" si="70">+O49+O46+O42+O40+O38+O36+O28+O23+O15+O10+O7</f>
        <v>26977030.556223482</v>
      </c>
      <c r="P52" s="107">
        <f t="shared" si="70"/>
        <v>20044128.251058877</v>
      </c>
      <c r="Q52" s="108">
        <f t="shared" si="70"/>
        <v>29087787.362903081</v>
      </c>
      <c r="R52" s="109">
        <f t="shared" si="70"/>
        <v>77425684.419219315</v>
      </c>
    </row>
    <row r="55" spans="1:18">
      <c r="G55" s="62"/>
    </row>
  </sheetData>
  <mergeCells count="10">
    <mergeCell ref="A5:A6"/>
    <mergeCell ref="C5:G5"/>
    <mergeCell ref="H5:H6"/>
    <mergeCell ref="I5:I6"/>
    <mergeCell ref="A2:R2"/>
    <mergeCell ref="A3:R3"/>
    <mergeCell ref="R5:R6"/>
    <mergeCell ref="M5:Q5"/>
    <mergeCell ref="J5:J6"/>
    <mergeCell ref="B5:B6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8A5BEB-897E-1548-9D0F-381A6DD4FA5F}">
  <dimension ref="A1:G47"/>
  <sheetViews>
    <sheetView zoomScale="80" zoomScaleNormal="80" workbookViewId="0" xr3:uid="{5642D66D-252C-5EEF-972A-BE494FC620D2}">
      <pane ySplit="2" topLeftCell="A3" activePane="bottomLeft" state="frozen"/>
      <selection pane="bottomLeft" activeCell="F50" sqref="F50"/>
    </sheetView>
  </sheetViews>
  <sheetFormatPr defaultColWidth="10.875" defaultRowHeight="13.9"/>
  <cols>
    <col min="1" max="1" width="74.625" style="1" customWidth="1"/>
    <col min="2" max="6" width="5.125" style="1" bestFit="1" customWidth="1"/>
    <col min="7" max="7" width="25.375" style="1" bestFit="1" customWidth="1"/>
    <col min="8" max="16384" width="10.875" style="1"/>
  </cols>
  <sheetData>
    <row r="1" spans="1:7">
      <c r="A1" s="345" t="s">
        <v>387</v>
      </c>
      <c r="B1" s="346" t="s">
        <v>388</v>
      </c>
      <c r="C1" s="346"/>
      <c r="D1" s="346"/>
      <c r="E1" s="346"/>
      <c r="F1" s="346"/>
      <c r="G1" s="346" t="s">
        <v>368</v>
      </c>
    </row>
    <row r="2" spans="1:7">
      <c r="A2" s="345"/>
      <c r="B2" s="290">
        <v>2019</v>
      </c>
      <c r="C2" s="290">
        <v>2020</v>
      </c>
      <c r="D2" s="290">
        <v>2021</v>
      </c>
      <c r="E2" s="290">
        <v>2022</v>
      </c>
      <c r="F2" s="290">
        <v>2023</v>
      </c>
      <c r="G2" s="346"/>
    </row>
    <row r="3" spans="1:7" s="24" customFormat="1">
      <c r="A3" s="19" t="s">
        <v>389</v>
      </c>
      <c r="B3" s="21"/>
      <c r="C3" s="21"/>
      <c r="D3" s="21"/>
      <c r="E3" s="21"/>
      <c r="F3" s="21"/>
      <c r="G3" s="21"/>
    </row>
    <row r="4" spans="1:7">
      <c r="A4" s="6" t="s">
        <v>122</v>
      </c>
      <c r="B4" s="8"/>
      <c r="C4" s="8"/>
      <c r="D4" s="8"/>
      <c r="E4" s="8">
        <v>4</v>
      </c>
      <c r="F4" s="8"/>
      <c r="G4" s="8" t="s">
        <v>373</v>
      </c>
    </row>
    <row r="5" spans="1:7">
      <c r="A5" s="6" t="s">
        <v>123</v>
      </c>
      <c r="B5" s="8"/>
      <c r="C5" s="8"/>
      <c r="D5" s="8"/>
      <c r="E5" s="8">
        <v>2</v>
      </c>
      <c r="F5" s="8"/>
      <c r="G5" s="8" t="s">
        <v>373</v>
      </c>
    </row>
    <row r="6" spans="1:7" s="24" customFormat="1">
      <c r="A6" s="19" t="s">
        <v>390</v>
      </c>
      <c r="B6" s="21"/>
      <c r="C6" s="21"/>
      <c r="D6" s="21"/>
      <c r="E6" s="21"/>
      <c r="F6" s="21"/>
      <c r="G6" s="21"/>
    </row>
    <row r="7" spans="1:7">
      <c r="A7" s="6" t="s">
        <v>125</v>
      </c>
      <c r="B7" s="8"/>
      <c r="C7" s="8"/>
      <c r="D7" s="8"/>
      <c r="E7" s="8">
        <v>1</v>
      </c>
      <c r="F7" s="8"/>
      <c r="G7" s="8" t="s">
        <v>354</v>
      </c>
    </row>
    <row r="8" spans="1:7">
      <c r="A8" s="6" t="s">
        <v>126</v>
      </c>
      <c r="B8" s="8"/>
      <c r="C8" s="8"/>
      <c r="D8" s="8"/>
      <c r="E8" s="8">
        <v>1</v>
      </c>
      <c r="F8" s="8"/>
      <c r="G8" s="8" t="s">
        <v>354</v>
      </c>
    </row>
    <row r="9" spans="1:7">
      <c r="A9" s="6" t="s">
        <v>127</v>
      </c>
      <c r="B9" s="8"/>
      <c r="C9" s="8"/>
      <c r="D9" s="8"/>
      <c r="E9" s="8">
        <v>1</v>
      </c>
      <c r="F9" s="8"/>
      <c r="G9" s="8" t="s">
        <v>354</v>
      </c>
    </row>
    <row r="10" spans="1:7">
      <c r="A10" s="6" t="s">
        <v>128</v>
      </c>
      <c r="B10" s="8"/>
      <c r="C10" s="8"/>
      <c r="D10" s="8"/>
      <c r="E10" s="8">
        <v>1</v>
      </c>
      <c r="F10" s="8"/>
      <c r="G10" s="8" t="s">
        <v>354</v>
      </c>
    </row>
    <row r="11" spans="1:7" s="24" customFormat="1" ht="15" customHeight="1">
      <c r="A11" s="19" t="s">
        <v>391</v>
      </c>
      <c r="B11" s="21"/>
      <c r="C11" s="21"/>
      <c r="D11" s="21"/>
      <c r="E11" s="21"/>
      <c r="F11" s="21"/>
      <c r="G11" s="21"/>
    </row>
    <row r="12" spans="1:7">
      <c r="A12" s="6" t="s">
        <v>130</v>
      </c>
      <c r="B12" s="8"/>
      <c r="C12" s="8">
        <v>1</v>
      </c>
      <c r="D12" s="8"/>
      <c r="E12" s="8"/>
      <c r="F12" s="8"/>
      <c r="G12" s="8" t="s">
        <v>374</v>
      </c>
    </row>
    <row r="13" spans="1:7">
      <c r="A13" s="6" t="s">
        <v>131</v>
      </c>
      <c r="B13" s="8"/>
      <c r="C13" s="8">
        <v>1</v>
      </c>
      <c r="D13" s="8"/>
      <c r="E13" s="8"/>
      <c r="F13" s="8"/>
      <c r="G13" s="8" t="s">
        <v>375</v>
      </c>
    </row>
    <row r="14" spans="1:7">
      <c r="A14" s="6" t="s">
        <v>132</v>
      </c>
      <c r="B14" s="8"/>
      <c r="C14" s="8"/>
      <c r="D14" s="8">
        <v>0.2</v>
      </c>
      <c r="E14" s="8">
        <v>0.5</v>
      </c>
      <c r="F14" s="8">
        <v>0.3</v>
      </c>
      <c r="G14" s="8" t="s">
        <v>376</v>
      </c>
    </row>
    <row r="15" spans="1:7">
      <c r="A15" s="6" t="s">
        <v>133</v>
      </c>
      <c r="B15" s="8"/>
      <c r="C15" s="8"/>
      <c r="D15" s="8"/>
      <c r="E15" s="8"/>
      <c r="F15" s="8">
        <v>1</v>
      </c>
      <c r="G15" s="8" t="s">
        <v>375</v>
      </c>
    </row>
    <row r="16" spans="1:7">
      <c r="A16" s="6" t="s">
        <v>135</v>
      </c>
      <c r="B16" s="8"/>
      <c r="C16" s="8"/>
      <c r="D16" s="8"/>
      <c r="E16" s="8">
        <v>0.2</v>
      </c>
      <c r="F16" s="8">
        <v>0.2</v>
      </c>
      <c r="G16" s="8" t="s">
        <v>377</v>
      </c>
    </row>
    <row r="17" spans="1:7">
      <c r="A17" s="6" t="s">
        <v>137</v>
      </c>
      <c r="B17" s="8"/>
      <c r="C17" s="8"/>
      <c r="D17" s="8"/>
      <c r="E17" s="8"/>
      <c r="F17" s="8">
        <v>1</v>
      </c>
      <c r="G17" s="8" t="s">
        <v>375</v>
      </c>
    </row>
    <row r="18" spans="1:7">
      <c r="A18" s="6" t="s">
        <v>392</v>
      </c>
      <c r="B18" s="8"/>
      <c r="C18" s="8">
        <v>1</v>
      </c>
      <c r="D18" s="8">
        <v>1</v>
      </c>
      <c r="E18" s="8">
        <v>1</v>
      </c>
      <c r="F18" s="8">
        <v>1</v>
      </c>
      <c r="G18" s="8" t="s">
        <v>378</v>
      </c>
    </row>
    <row r="19" spans="1:7" s="24" customFormat="1">
      <c r="A19" s="19" t="s">
        <v>393</v>
      </c>
      <c r="B19" s="21"/>
      <c r="C19" s="21"/>
      <c r="D19" s="21"/>
      <c r="E19" s="21"/>
      <c r="F19" s="21"/>
      <c r="G19" s="21"/>
    </row>
    <row r="20" spans="1:7">
      <c r="A20" s="6" t="s">
        <v>141</v>
      </c>
      <c r="B20" s="8"/>
      <c r="C20" s="8"/>
      <c r="D20" s="8">
        <v>4</v>
      </c>
      <c r="E20" s="8">
        <v>1</v>
      </c>
      <c r="F20" s="8">
        <v>2</v>
      </c>
      <c r="G20" s="8" t="s">
        <v>379</v>
      </c>
    </row>
    <row r="21" spans="1:7">
      <c r="A21" s="6" t="s">
        <v>142</v>
      </c>
      <c r="B21" s="8"/>
      <c r="C21" s="8"/>
      <c r="D21" s="8">
        <v>1</v>
      </c>
      <c r="E21" s="8"/>
      <c r="F21" s="8"/>
      <c r="G21" s="8" t="s">
        <v>380</v>
      </c>
    </row>
    <row r="22" spans="1:7">
      <c r="A22" s="6" t="s">
        <v>143</v>
      </c>
      <c r="B22" s="8"/>
      <c r="C22" s="8"/>
      <c r="D22" s="8">
        <v>3</v>
      </c>
      <c r="E22" s="8"/>
      <c r="F22" s="8"/>
      <c r="G22" s="8" t="s">
        <v>381</v>
      </c>
    </row>
    <row r="23" spans="1:7">
      <c r="A23" s="6" t="s">
        <v>144</v>
      </c>
      <c r="B23" s="8"/>
      <c r="C23" s="8"/>
      <c r="D23" s="8">
        <v>51</v>
      </c>
      <c r="E23" s="8">
        <v>4</v>
      </c>
      <c r="F23" s="8">
        <v>10</v>
      </c>
      <c r="G23" s="8" t="s">
        <v>382</v>
      </c>
    </row>
    <row r="24" spans="1:7" s="24" customFormat="1" ht="14.1" customHeight="1">
      <c r="A24" s="19" t="s">
        <v>394</v>
      </c>
      <c r="B24" s="21"/>
      <c r="C24" s="21"/>
      <c r="D24" s="21"/>
      <c r="E24" s="21"/>
      <c r="F24" s="21"/>
      <c r="G24" s="21"/>
    </row>
    <row r="25" spans="1:7">
      <c r="A25" s="6" t="s">
        <v>146</v>
      </c>
      <c r="B25" s="8"/>
      <c r="C25" s="8"/>
      <c r="D25" s="8"/>
      <c r="E25" s="8"/>
      <c r="F25" s="8">
        <v>8</v>
      </c>
      <c r="G25" s="8" t="s">
        <v>383</v>
      </c>
    </row>
    <row r="26" spans="1:7">
      <c r="A26" s="6" t="s">
        <v>147</v>
      </c>
      <c r="B26" s="8"/>
      <c r="C26" s="8"/>
      <c r="D26" s="8"/>
      <c r="E26" s="8"/>
      <c r="F26" s="8">
        <v>8</v>
      </c>
      <c r="G26" s="8" t="s">
        <v>383</v>
      </c>
    </row>
    <row r="27" spans="1:7">
      <c r="A27" s="6" t="s">
        <v>148</v>
      </c>
      <c r="B27" s="8"/>
      <c r="C27" s="8"/>
      <c r="D27" s="8"/>
      <c r="E27" s="8"/>
      <c r="F27" s="8">
        <v>8</v>
      </c>
      <c r="G27" s="8" t="s">
        <v>383</v>
      </c>
    </row>
    <row r="28" spans="1:7">
      <c r="A28" s="6" t="s">
        <v>149</v>
      </c>
      <c r="B28" s="8"/>
      <c r="C28" s="8"/>
      <c r="D28" s="8"/>
      <c r="E28" s="8"/>
      <c r="F28" s="8">
        <v>15</v>
      </c>
      <c r="G28" s="8" t="s">
        <v>383</v>
      </c>
    </row>
    <row r="29" spans="1:7">
      <c r="A29" s="6" t="s">
        <v>150</v>
      </c>
      <c r="B29" s="8"/>
      <c r="C29" s="8"/>
      <c r="D29" s="8"/>
      <c r="E29" s="8">
        <v>8</v>
      </c>
      <c r="F29" s="8">
        <v>8</v>
      </c>
      <c r="G29" s="8" t="s">
        <v>384</v>
      </c>
    </row>
    <row r="30" spans="1:7">
      <c r="A30" s="6" t="s">
        <v>151</v>
      </c>
      <c r="B30" s="8"/>
      <c r="C30" s="8"/>
      <c r="D30" s="8"/>
      <c r="E30" s="8"/>
      <c r="F30" s="8">
        <v>5</v>
      </c>
      <c r="G30" s="8" t="s">
        <v>383</v>
      </c>
    </row>
    <row r="31" spans="1:7">
      <c r="A31" s="6" t="s">
        <v>152</v>
      </c>
      <c r="B31" s="8"/>
      <c r="C31" s="8"/>
      <c r="D31" s="8"/>
      <c r="E31" s="8"/>
      <c r="F31" s="8">
        <v>5</v>
      </c>
      <c r="G31" s="8" t="s">
        <v>383</v>
      </c>
    </row>
    <row r="32" spans="1:7" s="24" customFormat="1" ht="15" customHeight="1">
      <c r="A32" s="19" t="s">
        <v>395</v>
      </c>
      <c r="B32" s="21"/>
      <c r="C32" s="21"/>
      <c r="D32" s="21"/>
      <c r="E32" s="21"/>
      <c r="F32" s="21"/>
      <c r="G32" s="21"/>
    </row>
    <row r="33" spans="1:7" ht="15" customHeight="1">
      <c r="A33" s="6" t="s">
        <v>154</v>
      </c>
      <c r="B33" s="8"/>
      <c r="C33" s="8"/>
      <c r="D33" s="8"/>
      <c r="E33" s="8">
        <v>1</v>
      </c>
      <c r="F33" s="8"/>
      <c r="G33" s="8" t="s">
        <v>354</v>
      </c>
    </row>
    <row r="34" spans="1:7" s="24" customFormat="1">
      <c r="A34" s="19" t="s">
        <v>396</v>
      </c>
      <c r="B34" s="21"/>
      <c r="C34" s="21"/>
      <c r="D34" s="21"/>
      <c r="E34" s="21"/>
      <c r="F34" s="21"/>
      <c r="G34" s="21"/>
    </row>
    <row r="35" spans="1:7">
      <c r="A35" s="60" t="s">
        <v>156</v>
      </c>
      <c r="B35" s="14"/>
      <c r="C35" s="14"/>
      <c r="D35" s="14"/>
      <c r="E35" s="14">
        <v>32</v>
      </c>
      <c r="F35" s="14"/>
      <c r="G35" s="14" t="s">
        <v>385</v>
      </c>
    </row>
    <row r="36" spans="1:7" s="24" customFormat="1" ht="15" customHeight="1">
      <c r="A36" s="19" t="s">
        <v>397</v>
      </c>
      <c r="B36" s="21"/>
      <c r="C36" s="21"/>
      <c r="D36" s="21"/>
      <c r="E36" s="21"/>
      <c r="F36" s="21"/>
      <c r="G36" s="21"/>
    </row>
    <row r="37" spans="1:7">
      <c r="A37" s="6" t="s">
        <v>158</v>
      </c>
      <c r="B37" s="8"/>
      <c r="C37" s="8"/>
      <c r="D37" s="8"/>
      <c r="E37" s="8">
        <v>1</v>
      </c>
      <c r="F37" s="8"/>
      <c r="G37" s="8" t="s">
        <v>354</v>
      </c>
    </row>
    <row r="38" spans="1:7" s="24" customFormat="1" ht="15" customHeight="1">
      <c r="A38" s="19" t="s">
        <v>398</v>
      </c>
      <c r="B38" s="21"/>
      <c r="C38" s="21"/>
      <c r="D38" s="21"/>
      <c r="E38" s="21"/>
      <c r="F38" s="21"/>
      <c r="G38" s="21"/>
    </row>
    <row r="39" spans="1:7">
      <c r="A39" s="6" t="s">
        <v>160</v>
      </c>
      <c r="B39" s="8"/>
      <c r="C39" s="8"/>
      <c r="D39" s="8">
        <v>1</v>
      </c>
      <c r="E39" s="8"/>
      <c r="F39" s="8"/>
      <c r="G39" s="8" t="s">
        <v>354</v>
      </c>
    </row>
    <row r="40" spans="1:7">
      <c r="A40" s="6" t="s">
        <v>161</v>
      </c>
      <c r="B40" s="8"/>
      <c r="C40" s="8"/>
      <c r="D40" s="8"/>
      <c r="E40" s="8">
        <v>1</v>
      </c>
      <c r="F40" s="8"/>
      <c r="G40" s="8" t="s">
        <v>354</v>
      </c>
    </row>
    <row r="41" spans="1:7">
      <c r="A41" s="6" t="s">
        <v>162</v>
      </c>
      <c r="B41" s="8"/>
      <c r="C41" s="8"/>
      <c r="D41" s="8"/>
      <c r="E41" s="8">
        <v>1</v>
      </c>
      <c r="F41" s="8"/>
      <c r="G41" s="8" t="s">
        <v>354</v>
      </c>
    </row>
    <row r="42" spans="1:7" s="24" customFormat="1" ht="15" customHeight="1">
      <c r="A42" s="19" t="s">
        <v>399</v>
      </c>
      <c r="B42" s="21"/>
      <c r="C42" s="21"/>
      <c r="D42" s="21"/>
      <c r="E42" s="21"/>
      <c r="F42" s="21"/>
      <c r="G42" s="21"/>
    </row>
    <row r="43" spans="1:7">
      <c r="A43" s="6" t="s">
        <v>164</v>
      </c>
      <c r="B43" s="8"/>
      <c r="C43" s="8"/>
      <c r="D43" s="8"/>
      <c r="E43" s="8">
        <v>1</v>
      </c>
      <c r="F43" s="8"/>
      <c r="G43" s="8" t="s">
        <v>354</v>
      </c>
    </row>
    <row r="44" spans="1:7" ht="15" customHeight="1">
      <c r="A44" s="6" t="s">
        <v>165</v>
      </c>
      <c r="B44" s="8"/>
      <c r="C44" s="8"/>
      <c r="D44" s="8"/>
      <c r="E44" s="8"/>
      <c r="F44" s="8">
        <v>1</v>
      </c>
      <c r="G44" s="8" t="s">
        <v>386</v>
      </c>
    </row>
    <row r="45" spans="1:7" s="24" customFormat="1">
      <c r="A45" s="19" t="s">
        <v>166</v>
      </c>
      <c r="B45" s="21"/>
      <c r="C45" s="21"/>
      <c r="D45" s="21"/>
      <c r="E45" s="21"/>
      <c r="F45" s="21"/>
      <c r="G45" s="21"/>
    </row>
    <row r="46" spans="1:7">
      <c r="A46" s="6" t="s">
        <v>167</v>
      </c>
      <c r="B46" s="8"/>
      <c r="C46" s="8"/>
      <c r="D46" s="8"/>
      <c r="E46" s="8">
        <v>1</v>
      </c>
      <c r="F46" s="8"/>
      <c r="G46" s="8" t="s">
        <v>354</v>
      </c>
    </row>
    <row r="47" spans="1:7">
      <c r="A47" s="6" t="s">
        <v>168</v>
      </c>
      <c r="B47" s="8"/>
      <c r="C47" s="8"/>
      <c r="D47" s="8"/>
      <c r="E47" s="8">
        <v>10</v>
      </c>
      <c r="F47" s="8">
        <v>10</v>
      </c>
      <c r="G47" s="8" t="s">
        <v>355</v>
      </c>
    </row>
  </sheetData>
  <mergeCells count="3">
    <mergeCell ref="A1:A2"/>
    <mergeCell ref="B1:F1"/>
    <mergeCell ref="G1:G2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ACD20F-F0C1-2A4E-B25B-64904BD62D3B}">
  <dimension ref="A1:R59"/>
  <sheetViews>
    <sheetView zoomScale="120" zoomScaleNormal="120" workbookViewId="0" xr3:uid="{39C7B80B-5954-5FD7-AE05-B1AB4A581385}">
      <pane xSplit="2" ySplit="6" topLeftCell="N46" activePane="bottomRight" state="frozen"/>
      <selection pane="bottomRight" activeCell="O39" sqref="O39"/>
      <selection pane="bottomLeft" activeCell="A7" sqref="A7"/>
      <selection pane="topRight" activeCell="C1" sqref="C1"/>
    </sheetView>
  </sheetViews>
  <sheetFormatPr defaultColWidth="10.875" defaultRowHeight="13.9"/>
  <cols>
    <col min="1" max="1" width="69.5" style="1" customWidth="1"/>
    <col min="2" max="2" width="9.625" style="2" bestFit="1" customWidth="1"/>
    <col min="3" max="7" width="5.125" style="1" bestFit="1" customWidth="1"/>
    <col min="8" max="8" width="25.375" style="1" bestFit="1" customWidth="1"/>
    <col min="9" max="9" width="11.5" style="1" bestFit="1" customWidth="1"/>
    <col min="10" max="12" width="5.125" style="1" bestFit="1" customWidth="1"/>
    <col min="13" max="13" width="9" style="1" bestFit="1" customWidth="1"/>
    <col min="14" max="14" width="9.5" style="1" bestFit="1" customWidth="1"/>
    <col min="15" max="15" width="11" style="1" bestFit="1" customWidth="1"/>
    <col min="16" max="17" width="10.875" style="1"/>
    <col min="18" max="18" width="11.5" style="1" bestFit="1" customWidth="1"/>
    <col min="19" max="16384" width="10.875" style="1"/>
  </cols>
  <sheetData>
    <row r="1" spans="1:18">
      <c r="O1" s="1">
        <v>3.35</v>
      </c>
    </row>
    <row r="2" spans="1:18">
      <c r="A2" s="1" t="s">
        <v>400</v>
      </c>
      <c r="C2" s="1">
        <v>0</v>
      </c>
      <c r="D2" s="1">
        <v>0</v>
      </c>
      <c r="E2" s="1">
        <v>3</v>
      </c>
      <c r="F2" s="1">
        <v>4</v>
      </c>
      <c r="G2" s="1">
        <v>5</v>
      </c>
      <c r="H2" s="1" t="s">
        <v>401</v>
      </c>
      <c r="I2" s="1">
        <v>1000</v>
      </c>
      <c r="J2" s="1">
        <f>C2*$I$2</f>
        <v>0</v>
      </c>
      <c r="K2" s="1">
        <f t="shared" ref="K2:N2" si="0">D2*$I$2</f>
        <v>0</v>
      </c>
      <c r="L2" s="1">
        <f t="shared" si="0"/>
        <v>3000</v>
      </c>
      <c r="M2" s="1">
        <f t="shared" si="0"/>
        <v>4000</v>
      </c>
      <c r="N2" s="1">
        <f t="shared" si="0"/>
        <v>5000</v>
      </c>
    </row>
    <row r="4" spans="1:18">
      <c r="A4" s="346" t="s">
        <v>387</v>
      </c>
      <c r="B4" s="348" t="s">
        <v>402</v>
      </c>
      <c r="C4" s="346" t="s">
        <v>388</v>
      </c>
      <c r="D4" s="346"/>
      <c r="E4" s="346"/>
      <c r="F4" s="346"/>
      <c r="G4" s="346"/>
      <c r="H4" s="346" t="s">
        <v>368</v>
      </c>
      <c r="I4" s="347" t="s">
        <v>403</v>
      </c>
      <c r="J4" s="346" t="s">
        <v>404</v>
      </c>
      <c r="K4" s="346"/>
      <c r="L4" s="346"/>
      <c r="M4" s="346"/>
      <c r="N4" s="346"/>
      <c r="O4" s="347" t="s">
        <v>405</v>
      </c>
    </row>
    <row r="5" spans="1:18">
      <c r="A5" s="346"/>
      <c r="B5" s="349"/>
      <c r="C5" s="290">
        <v>2019</v>
      </c>
      <c r="D5" s="290">
        <v>2020</v>
      </c>
      <c r="E5" s="290">
        <v>2021</v>
      </c>
      <c r="F5" s="290">
        <v>2022</v>
      </c>
      <c r="G5" s="290">
        <v>2023</v>
      </c>
      <c r="H5" s="346"/>
      <c r="I5" s="347"/>
      <c r="J5" s="290">
        <v>2019</v>
      </c>
      <c r="K5" s="290">
        <v>2020</v>
      </c>
      <c r="L5" s="290">
        <v>2021</v>
      </c>
      <c r="M5" s="290">
        <v>2022</v>
      </c>
      <c r="N5" s="290">
        <v>2023</v>
      </c>
      <c r="O5" s="347"/>
    </row>
    <row r="6" spans="1:18">
      <c r="A6" s="3" t="s">
        <v>389</v>
      </c>
      <c r="B6" s="4"/>
      <c r="C6" s="5"/>
      <c r="D6" s="5"/>
      <c r="E6" s="5"/>
      <c r="F6" s="5"/>
      <c r="G6" s="5"/>
      <c r="H6" s="5"/>
      <c r="I6" s="12">
        <f>I7+I8</f>
        <v>130000</v>
      </c>
      <c r="J6" s="12">
        <f t="shared" ref="J6:N6" si="1">J7+J8</f>
        <v>0</v>
      </c>
      <c r="K6" s="12">
        <f t="shared" si="1"/>
        <v>0</v>
      </c>
      <c r="L6" s="12">
        <f t="shared" si="1"/>
        <v>0</v>
      </c>
      <c r="M6" s="12">
        <f t="shared" si="1"/>
        <v>420000</v>
      </c>
      <c r="N6" s="12">
        <f t="shared" si="1"/>
        <v>0</v>
      </c>
      <c r="O6" s="5"/>
      <c r="P6" s="16">
        <f>SUM(J6:N6)</f>
        <v>420000</v>
      </c>
    </row>
    <row r="7" spans="1:18">
      <c r="A7" s="6" t="s">
        <v>122</v>
      </c>
      <c r="B7" s="7" t="s">
        <v>406</v>
      </c>
      <c r="C7" s="8"/>
      <c r="D7" s="8"/>
      <c r="E7" s="8"/>
      <c r="F7" s="8">
        <v>4</v>
      </c>
      <c r="G7" s="8"/>
      <c r="H7" s="8" t="s">
        <v>373</v>
      </c>
      <c r="I7" s="9">
        <v>80000</v>
      </c>
      <c r="J7" s="8"/>
      <c r="K7" s="8"/>
      <c r="L7" s="8"/>
      <c r="M7" s="9">
        <f>F7*I7</f>
        <v>320000</v>
      </c>
      <c r="N7" s="8"/>
      <c r="O7" s="9"/>
    </row>
    <row r="8" spans="1:18">
      <c r="A8" s="6" t="s">
        <v>123</v>
      </c>
      <c r="B8" s="7" t="s">
        <v>406</v>
      </c>
      <c r="C8" s="8"/>
      <c r="D8" s="8"/>
      <c r="E8" s="8"/>
      <c r="F8" s="8">
        <v>2</v>
      </c>
      <c r="G8" s="8"/>
      <c r="H8" s="8" t="s">
        <v>373</v>
      </c>
      <c r="I8" s="9">
        <v>50000</v>
      </c>
      <c r="J8" s="8"/>
      <c r="K8" s="8"/>
      <c r="L8" s="8"/>
      <c r="M8" s="9">
        <f>F8*I8</f>
        <v>100000</v>
      </c>
      <c r="N8" s="8"/>
      <c r="O8" s="9"/>
    </row>
    <row r="9" spans="1:18">
      <c r="A9" s="3" t="s">
        <v>390</v>
      </c>
      <c r="B9" s="4"/>
      <c r="C9" s="5"/>
      <c r="D9" s="5"/>
      <c r="E9" s="5"/>
      <c r="F9" s="5"/>
      <c r="G9" s="5"/>
      <c r="H9" s="5"/>
      <c r="I9" s="10">
        <f>I10+I11+I12+I13</f>
        <v>320000</v>
      </c>
      <c r="J9" s="10">
        <f t="shared" ref="J9:N9" si="2">J10+J11+J12+J13</f>
        <v>0</v>
      </c>
      <c r="K9" s="10">
        <f t="shared" si="2"/>
        <v>0</v>
      </c>
      <c r="L9" s="10">
        <f t="shared" si="2"/>
        <v>0</v>
      </c>
      <c r="M9" s="10">
        <f t="shared" si="2"/>
        <v>320000</v>
      </c>
      <c r="N9" s="10">
        <f t="shared" si="2"/>
        <v>0</v>
      </c>
      <c r="O9" s="10"/>
      <c r="P9" s="16">
        <f>SUM(J9:N9)</f>
        <v>320000</v>
      </c>
    </row>
    <row r="10" spans="1:18">
      <c r="A10" s="6" t="s">
        <v>125</v>
      </c>
      <c r="B10" s="7" t="s">
        <v>407</v>
      </c>
      <c r="C10" s="8"/>
      <c r="D10" s="8"/>
      <c r="E10" s="8"/>
      <c r="F10" s="8">
        <v>1</v>
      </c>
      <c r="G10" s="8"/>
      <c r="H10" s="8" t="s">
        <v>354</v>
      </c>
      <c r="I10" s="9">
        <v>80000</v>
      </c>
      <c r="J10" s="8"/>
      <c r="K10" s="8"/>
      <c r="L10" s="8"/>
      <c r="M10" s="9">
        <f t="shared" ref="M10:M13" si="3">F10*I10</f>
        <v>80000</v>
      </c>
      <c r="N10" s="8"/>
      <c r="O10" s="9"/>
    </row>
    <row r="11" spans="1:18">
      <c r="A11" s="6" t="s">
        <v>126</v>
      </c>
      <c r="B11" s="7" t="s">
        <v>407</v>
      </c>
      <c r="C11" s="8"/>
      <c r="D11" s="8"/>
      <c r="E11" s="8"/>
      <c r="F11" s="8">
        <v>1</v>
      </c>
      <c r="G11" s="8"/>
      <c r="H11" s="8" t="s">
        <v>354</v>
      </c>
      <c r="I11" s="9">
        <v>80000</v>
      </c>
      <c r="J11" s="8"/>
      <c r="K11" s="8"/>
      <c r="L11" s="8"/>
      <c r="M11" s="9">
        <f t="shared" si="3"/>
        <v>80000</v>
      </c>
      <c r="N11" s="8"/>
      <c r="O11" s="9"/>
    </row>
    <row r="12" spans="1:18">
      <c r="A12" s="6" t="s">
        <v>127</v>
      </c>
      <c r="B12" s="7" t="s">
        <v>407</v>
      </c>
      <c r="C12" s="8"/>
      <c r="D12" s="8"/>
      <c r="E12" s="8"/>
      <c r="F12" s="8">
        <v>1</v>
      </c>
      <c r="G12" s="8"/>
      <c r="H12" s="8" t="s">
        <v>354</v>
      </c>
      <c r="I12" s="9">
        <v>80000</v>
      </c>
      <c r="J12" s="8"/>
      <c r="K12" s="8"/>
      <c r="L12" s="8"/>
      <c r="M12" s="9">
        <f t="shared" si="3"/>
        <v>80000</v>
      </c>
      <c r="N12" s="8"/>
      <c r="O12" s="9"/>
    </row>
    <row r="13" spans="1:18">
      <c r="A13" s="6" t="s">
        <v>128</v>
      </c>
      <c r="B13" s="7" t="s">
        <v>408</v>
      </c>
      <c r="C13" s="8"/>
      <c r="D13" s="8"/>
      <c r="E13" s="8"/>
      <c r="F13" s="8">
        <v>1</v>
      </c>
      <c r="G13" s="8"/>
      <c r="H13" s="8" t="s">
        <v>354</v>
      </c>
      <c r="I13" s="9">
        <v>80000</v>
      </c>
      <c r="J13" s="8"/>
      <c r="K13" s="8"/>
      <c r="L13" s="8"/>
      <c r="M13" s="9">
        <f t="shared" si="3"/>
        <v>80000</v>
      </c>
      <c r="N13" s="8"/>
      <c r="O13" s="9"/>
      <c r="R13" s="30"/>
    </row>
    <row r="14" spans="1:18">
      <c r="A14" s="3" t="s">
        <v>391</v>
      </c>
      <c r="B14" s="4"/>
      <c r="C14" s="5"/>
      <c r="D14" s="5"/>
      <c r="E14" s="5"/>
      <c r="F14" s="5"/>
      <c r="G14" s="5"/>
      <c r="H14" s="5"/>
      <c r="I14" s="10">
        <f>SUM(I15:I21)</f>
        <v>39495820.895522378</v>
      </c>
      <c r="J14" s="5"/>
      <c r="K14" s="5"/>
      <c r="L14" s="5"/>
      <c r="M14" s="10"/>
      <c r="N14" s="12">
        <f>I14</f>
        <v>39495820.895522378</v>
      </c>
      <c r="O14" s="10"/>
      <c r="R14" s="30"/>
    </row>
    <row r="15" spans="1:18">
      <c r="A15" s="6" t="s">
        <v>132</v>
      </c>
      <c r="B15" s="7" t="s">
        <v>409</v>
      </c>
      <c r="C15" s="8"/>
      <c r="D15" s="8"/>
      <c r="E15" s="8"/>
      <c r="F15" s="8"/>
      <c r="G15" s="8"/>
      <c r="H15" s="8"/>
      <c r="I15" s="11">
        <f>O15/$O$1</f>
        <v>21343283.582089551</v>
      </c>
      <c r="J15" s="8"/>
      <c r="K15" s="8"/>
      <c r="L15" s="8"/>
      <c r="M15" s="9"/>
      <c r="N15" s="8"/>
      <c r="O15" s="9">
        <v>71500000</v>
      </c>
      <c r="P15" s="17">
        <f>O15*0.1</f>
        <v>7150000</v>
      </c>
      <c r="R15" s="31"/>
    </row>
    <row r="16" spans="1:18">
      <c r="A16" s="6" t="s">
        <v>133</v>
      </c>
      <c r="B16" s="7"/>
      <c r="C16" s="8"/>
      <c r="D16" s="8"/>
      <c r="E16" s="8"/>
      <c r="F16" s="8"/>
      <c r="G16" s="8"/>
      <c r="H16" s="8"/>
      <c r="I16" s="11">
        <f>0.06*I15</f>
        <v>1280597.014925373</v>
      </c>
      <c r="J16" s="8"/>
      <c r="K16" s="8"/>
      <c r="L16" s="8"/>
      <c r="M16" s="9"/>
      <c r="N16" s="8"/>
      <c r="O16" s="9"/>
      <c r="P16" s="17"/>
      <c r="R16" s="31"/>
    </row>
    <row r="17" spans="1:17">
      <c r="A17" s="6" t="s">
        <v>410</v>
      </c>
      <c r="B17" s="7"/>
      <c r="C17" s="8"/>
      <c r="D17" s="8"/>
      <c r="E17" s="8"/>
      <c r="F17" s="8"/>
      <c r="G17" s="8"/>
      <c r="H17" s="8"/>
      <c r="I17" s="11">
        <f>4.5/100*I15</f>
        <v>960447.76119402971</v>
      </c>
      <c r="J17" s="8"/>
      <c r="K17" s="8"/>
      <c r="L17" s="8"/>
      <c r="M17" s="9"/>
      <c r="N17" s="8"/>
      <c r="O17" s="9"/>
      <c r="P17" s="17"/>
    </row>
    <row r="18" spans="1:17">
      <c r="A18" s="6" t="s">
        <v>411</v>
      </c>
      <c r="B18" s="7"/>
      <c r="C18" s="8"/>
      <c r="D18" s="8"/>
      <c r="E18" s="8"/>
      <c r="F18" s="8"/>
      <c r="G18" s="8"/>
      <c r="H18" s="8"/>
      <c r="I18" s="11">
        <f>I17*0.2</f>
        <v>192089.55223880595</v>
      </c>
      <c r="J18" s="8"/>
      <c r="K18" s="8"/>
      <c r="L18" s="8"/>
      <c r="M18" s="9"/>
      <c r="N18" s="8"/>
      <c r="O18" s="9"/>
    </row>
    <row r="19" spans="1:17">
      <c r="A19" s="6" t="s">
        <v>135</v>
      </c>
      <c r="B19" s="7" t="s">
        <v>409</v>
      </c>
      <c r="C19" s="8"/>
      <c r="D19" s="8"/>
      <c r="E19" s="8"/>
      <c r="F19" s="8"/>
      <c r="G19" s="8"/>
      <c r="H19" s="8"/>
      <c r="I19" s="11">
        <f>O19/$O$1</f>
        <v>14776119.402985074</v>
      </c>
      <c r="J19" s="8"/>
      <c r="K19" s="8"/>
      <c r="L19" s="8"/>
      <c r="M19" s="9"/>
      <c r="N19" s="8"/>
      <c r="O19" s="9">
        <v>49500000</v>
      </c>
      <c r="P19" s="17">
        <f>O19*1.1</f>
        <v>54450000.000000007</v>
      </c>
    </row>
    <row r="20" spans="1:17">
      <c r="A20" s="6" t="s">
        <v>137</v>
      </c>
      <c r="B20" s="7"/>
      <c r="C20" s="8"/>
      <c r="D20" s="8"/>
      <c r="E20" s="8"/>
      <c r="F20" s="8"/>
      <c r="G20" s="8"/>
      <c r="H20" s="8"/>
      <c r="I20" s="11">
        <f>0.03*I19</f>
        <v>443283.58208955219</v>
      </c>
      <c r="J20" s="8"/>
      <c r="K20" s="8"/>
      <c r="L20" s="8"/>
      <c r="M20" s="9"/>
      <c r="N20" s="8"/>
      <c r="O20" s="9"/>
    </row>
    <row r="21" spans="1:17">
      <c r="A21" s="6" t="s">
        <v>392</v>
      </c>
      <c r="B21" s="7"/>
      <c r="C21" s="8"/>
      <c r="D21" s="8"/>
      <c r="E21" s="8"/>
      <c r="F21" s="8"/>
      <c r="G21" s="8"/>
      <c r="H21" s="8"/>
      <c r="I21" s="11">
        <v>500000</v>
      </c>
      <c r="J21" s="8"/>
      <c r="K21" s="8"/>
      <c r="L21" s="8"/>
      <c r="M21" s="9"/>
      <c r="N21" s="8"/>
      <c r="O21" s="9"/>
    </row>
    <row r="22" spans="1:17">
      <c r="A22" s="3" t="s">
        <v>393</v>
      </c>
      <c r="B22" s="4"/>
      <c r="C22" s="5"/>
      <c r="D22" s="5"/>
      <c r="E22" s="5"/>
      <c r="F22" s="5"/>
      <c r="G22" s="5"/>
      <c r="H22" s="5"/>
      <c r="I22" s="10">
        <f>SUM(I23:I26)</f>
        <v>3303434.117910448</v>
      </c>
      <c r="J22" s="10">
        <f t="shared" ref="J22:N22" si="4">SUM(J23:J26)</f>
        <v>0</v>
      </c>
      <c r="K22" s="10">
        <f t="shared" si="4"/>
        <v>0</v>
      </c>
      <c r="L22" s="10">
        <f t="shared" si="4"/>
        <v>0</v>
      </c>
      <c r="M22" s="10">
        <f t="shared" si="4"/>
        <v>0</v>
      </c>
      <c r="N22" s="10">
        <f t="shared" si="4"/>
        <v>29535871.661194026</v>
      </c>
      <c r="O22" s="10"/>
      <c r="P22" s="16">
        <f>SUM(J22:N22)</f>
        <v>29535871.661194026</v>
      </c>
    </row>
    <row r="23" spans="1:17">
      <c r="A23" s="6" t="s">
        <v>141</v>
      </c>
      <c r="B23" s="7" t="s">
        <v>409</v>
      </c>
      <c r="C23" s="8"/>
      <c r="D23" s="8"/>
      <c r="E23" s="8"/>
      <c r="F23" s="8"/>
      <c r="G23" s="8">
        <v>7</v>
      </c>
      <c r="H23" s="8"/>
      <c r="I23" s="13">
        <f>P23/$O$1</f>
        <v>938782.02835820895</v>
      </c>
      <c r="J23" s="18">
        <f>C23*$I23</f>
        <v>0</v>
      </c>
      <c r="K23" s="18">
        <f t="shared" ref="K23:N23" si="5">D23*$I23</f>
        <v>0</v>
      </c>
      <c r="L23" s="18">
        <f t="shared" si="5"/>
        <v>0</v>
      </c>
      <c r="M23" s="18">
        <f t="shared" si="5"/>
        <v>0</v>
      </c>
      <c r="N23" s="18">
        <f t="shared" si="5"/>
        <v>6571474.1985074626</v>
      </c>
      <c r="O23" s="9"/>
      <c r="P23" s="16">
        <v>3144919.7949999999</v>
      </c>
      <c r="Q23" s="1" t="s">
        <v>412</v>
      </c>
    </row>
    <row r="24" spans="1:17">
      <c r="A24" s="6" t="s">
        <v>142</v>
      </c>
      <c r="B24" s="7"/>
      <c r="C24" s="8"/>
      <c r="D24" s="8"/>
      <c r="E24" s="8"/>
      <c r="F24" s="8"/>
      <c r="G24" s="8">
        <v>1</v>
      </c>
      <c r="H24" s="8"/>
      <c r="I24" s="13">
        <f t="shared" ref="I24:I26" si="6">P24/$O$1</f>
        <v>1703026.4179104478</v>
      </c>
      <c r="J24" s="18">
        <f t="shared" ref="J24:J26" si="7">C24*$I24</f>
        <v>0</v>
      </c>
      <c r="K24" s="18">
        <f t="shared" ref="K24:K26" si="8">D24*$I24</f>
        <v>0</v>
      </c>
      <c r="L24" s="18">
        <f t="shared" ref="L24:L26" si="9">E24*$I24</f>
        <v>0</v>
      </c>
      <c r="M24" s="18">
        <f t="shared" ref="M24:M26" si="10">F24*$I24</f>
        <v>0</v>
      </c>
      <c r="N24" s="18">
        <f t="shared" ref="N24:N26" si="11">G24*$I24</f>
        <v>1703026.4179104478</v>
      </c>
      <c r="O24" s="9"/>
      <c r="P24" s="16">
        <v>5705138.5</v>
      </c>
    </row>
    <row r="25" spans="1:17">
      <c r="A25" s="6" t="s">
        <v>143</v>
      </c>
      <c r="B25" s="7"/>
      <c r="C25" s="8"/>
      <c r="D25" s="8"/>
      <c r="E25" s="8"/>
      <c r="F25" s="8"/>
      <c r="G25" s="8">
        <v>3</v>
      </c>
      <c r="H25" s="8"/>
      <c r="I25" s="13">
        <f t="shared" si="6"/>
        <v>350714.4776119403</v>
      </c>
      <c r="J25" s="18">
        <f t="shared" si="7"/>
        <v>0</v>
      </c>
      <c r="K25" s="18">
        <f t="shared" si="8"/>
        <v>0</v>
      </c>
      <c r="L25" s="18">
        <f t="shared" si="9"/>
        <v>0</v>
      </c>
      <c r="M25" s="18">
        <f t="shared" si="10"/>
        <v>0</v>
      </c>
      <c r="N25" s="18">
        <f t="shared" si="11"/>
        <v>1052143.4328358208</v>
      </c>
      <c r="O25" s="9"/>
      <c r="P25" s="16">
        <v>1174893.5</v>
      </c>
    </row>
    <row r="26" spans="1:17">
      <c r="A26" s="6" t="s">
        <v>144</v>
      </c>
      <c r="B26" s="7"/>
      <c r="C26" s="8"/>
      <c r="D26" s="8"/>
      <c r="E26" s="8"/>
      <c r="F26" s="8"/>
      <c r="G26" s="8">
        <v>65</v>
      </c>
      <c r="H26" s="8"/>
      <c r="I26" s="13">
        <f t="shared" si="6"/>
        <v>310911.19402985071</v>
      </c>
      <c r="J26" s="18">
        <f t="shared" si="7"/>
        <v>0</v>
      </c>
      <c r="K26" s="18">
        <f t="shared" si="8"/>
        <v>0</v>
      </c>
      <c r="L26" s="18">
        <f t="shared" si="9"/>
        <v>0</v>
      </c>
      <c r="M26" s="18">
        <f t="shared" si="10"/>
        <v>0</v>
      </c>
      <c r="N26" s="18">
        <f t="shared" si="11"/>
        <v>20209227.611940295</v>
      </c>
      <c r="O26" s="9"/>
      <c r="P26" s="16">
        <v>1041552.5</v>
      </c>
      <c r="Q26" s="1" t="s">
        <v>413</v>
      </c>
    </row>
    <row r="27" spans="1:17" ht="27.6">
      <c r="A27" s="3" t="s">
        <v>394</v>
      </c>
      <c r="B27" s="4"/>
      <c r="C27" s="5"/>
      <c r="D27" s="5"/>
      <c r="E27" s="5"/>
      <c r="F27" s="5"/>
      <c r="G27" s="5"/>
      <c r="H27" s="5"/>
      <c r="I27" s="10">
        <f>SUM(I28:I36)</f>
        <v>98000</v>
      </c>
      <c r="J27" s="10">
        <f t="shared" ref="J27:N27" si="12">SUM(J28:J36)</f>
        <v>0</v>
      </c>
      <c r="K27" s="10">
        <f t="shared" si="12"/>
        <v>0</v>
      </c>
      <c r="L27" s="10">
        <f t="shared" si="12"/>
        <v>0</v>
      </c>
      <c r="M27" s="10">
        <f t="shared" si="12"/>
        <v>64000</v>
      </c>
      <c r="N27" s="10">
        <f t="shared" si="12"/>
        <v>574000</v>
      </c>
      <c r="O27" s="10"/>
      <c r="P27" s="16">
        <f>SUM(J27:N27)</f>
        <v>638000</v>
      </c>
    </row>
    <row r="28" spans="1:17">
      <c r="A28" s="6" t="s">
        <v>414</v>
      </c>
      <c r="B28" s="7" t="s">
        <v>407</v>
      </c>
      <c r="C28" s="8"/>
      <c r="D28" s="8"/>
      <c r="E28" s="8"/>
      <c r="F28" s="8"/>
      <c r="G28" s="8"/>
      <c r="H28" s="8"/>
      <c r="I28" s="9"/>
      <c r="J28" s="8"/>
      <c r="K28" s="8"/>
      <c r="L28" s="8"/>
      <c r="M28" s="9"/>
      <c r="N28" s="8"/>
      <c r="O28" s="9"/>
    </row>
    <row r="29" spans="1:17">
      <c r="A29" s="6" t="s">
        <v>146</v>
      </c>
      <c r="B29" s="7"/>
      <c r="C29" s="8"/>
      <c r="D29" s="8"/>
      <c r="E29" s="8"/>
      <c r="F29" s="8"/>
      <c r="G29" s="8">
        <v>8</v>
      </c>
      <c r="H29" s="8" t="s">
        <v>383</v>
      </c>
      <c r="I29" s="9">
        <v>15000</v>
      </c>
      <c r="J29" s="8"/>
      <c r="K29" s="8"/>
      <c r="L29" s="8"/>
      <c r="M29" s="9"/>
      <c r="N29" s="9">
        <f>+G29*I29</f>
        <v>120000</v>
      </c>
      <c r="O29" s="9"/>
    </row>
    <row r="30" spans="1:17">
      <c r="A30" s="6" t="s">
        <v>147</v>
      </c>
      <c r="B30" s="7"/>
      <c r="C30" s="8"/>
      <c r="D30" s="8"/>
      <c r="E30" s="8"/>
      <c r="F30" s="8"/>
      <c r="G30" s="8">
        <v>8</v>
      </c>
      <c r="H30" s="8" t="s">
        <v>383</v>
      </c>
      <c r="I30" s="9">
        <f>I29</f>
        <v>15000</v>
      </c>
      <c r="J30" s="8"/>
      <c r="K30" s="8"/>
      <c r="L30" s="8"/>
      <c r="M30" s="9"/>
      <c r="N30" s="9">
        <f t="shared" ref="N30:N31" si="13">+G30*I30</f>
        <v>120000</v>
      </c>
      <c r="O30" s="9"/>
    </row>
    <row r="31" spans="1:17">
      <c r="A31" s="6" t="s">
        <v>148</v>
      </c>
      <c r="B31" s="7"/>
      <c r="C31" s="8"/>
      <c r="D31" s="8"/>
      <c r="E31" s="8"/>
      <c r="F31" s="8"/>
      <c r="G31" s="8">
        <v>8</v>
      </c>
      <c r="H31" s="8" t="s">
        <v>383</v>
      </c>
      <c r="I31" s="9">
        <f>I30</f>
        <v>15000</v>
      </c>
      <c r="J31" s="8"/>
      <c r="K31" s="8"/>
      <c r="L31" s="8"/>
      <c r="M31" s="9"/>
      <c r="N31" s="9">
        <f t="shared" si="13"/>
        <v>120000</v>
      </c>
      <c r="O31" s="9"/>
    </row>
    <row r="32" spans="1:17">
      <c r="A32" s="6" t="s">
        <v>415</v>
      </c>
      <c r="B32" s="7" t="s">
        <v>408</v>
      </c>
      <c r="C32" s="8"/>
      <c r="D32" s="8"/>
      <c r="E32" s="8"/>
      <c r="F32" s="8"/>
      <c r="G32" s="8">
        <v>15</v>
      </c>
      <c r="H32" s="8" t="s">
        <v>383</v>
      </c>
      <c r="I32" s="9">
        <f>I31</f>
        <v>15000</v>
      </c>
      <c r="J32" s="8"/>
      <c r="K32" s="8"/>
      <c r="L32" s="8"/>
      <c r="M32" s="9"/>
      <c r="N32" s="8"/>
      <c r="O32" s="9"/>
    </row>
    <row r="33" spans="1:16">
      <c r="A33" s="6" t="s">
        <v>416</v>
      </c>
      <c r="B33" s="7" t="s">
        <v>407</v>
      </c>
      <c r="C33" s="8"/>
      <c r="D33" s="8"/>
      <c r="E33" s="8"/>
      <c r="F33" s="8"/>
      <c r="G33" s="8"/>
      <c r="H33" s="8"/>
      <c r="I33" s="9"/>
      <c r="J33" s="8"/>
      <c r="K33" s="8"/>
      <c r="L33" s="8"/>
      <c r="M33" s="9"/>
      <c r="N33" s="8"/>
      <c r="O33" s="9"/>
    </row>
    <row r="34" spans="1:16">
      <c r="A34" s="6" t="s">
        <v>150</v>
      </c>
      <c r="B34" s="7"/>
      <c r="C34" s="8"/>
      <c r="D34" s="8"/>
      <c r="E34" s="8"/>
      <c r="F34" s="8">
        <v>8</v>
      </c>
      <c r="G34" s="8">
        <v>8</v>
      </c>
      <c r="H34" s="8" t="s">
        <v>384</v>
      </c>
      <c r="I34" s="9">
        <v>8000</v>
      </c>
      <c r="J34" s="8"/>
      <c r="K34" s="8"/>
      <c r="L34" s="8"/>
      <c r="M34" s="9">
        <f t="shared" ref="M34" si="14">F34*I34</f>
        <v>64000</v>
      </c>
      <c r="N34" s="9">
        <f t="shared" ref="N34:N36" si="15">+G34*I34</f>
        <v>64000</v>
      </c>
      <c r="O34" s="9"/>
    </row>
    <row r="35" spans="1:16" ht="27.6">
      <c r="A35" s="6" t="s">
        <v>151</v>
      </c>
      <c r="B35" s="7" t="s">
        <v>407</v>
      </c>
      <c r="C35" s="8"/>
      <c r="D35" s="8"/>
      <c r="E35" s="8"/>
      <c r="F35" s="8"/>
      <c r="G35" s="8">
        <v>5</v>
      </c>
      <c r="H35" s="8" t="s">
        <v>383</v>
      </c>
      <c r="I35" s="9">
        <f>I31</f>
        <v>15000</v>
      </c>
      <c r="J35" s="8"/>
      <c r="K35" s="8"/>
      <c r="L35" s="8"/>
      <c r="M35" s="9"/>
      <c r="N35" s="9">
        <f t="shared" si="15"/>
        <v>75000</v>
      </c>
      <c r="O35" s="9"/>
    </row>
    <row r="36" spans="1:16">
      <c r="A36" s="6" t="s">
        <v>152</v>
      </c>
      <c r="B36" s="7" t="s">
        <v>407</v>
      </c>
      <c r="C36" s="8"/>
      <c r="D36" s="8"/>
      <c r="E36" s="8"/>
      <c r="F36" s="8"/>
      <c r="G36" s="8">
        <v>5</v>
      </c>
      <c r="H36" s="8" t="s">
        <v>383</v>
      </c>
      <c r="I36" s="9">
        <f>I35</f>
        <v>15000</v>
      </c>
      <c r="J36" s="8"/>
      <c r="K36" s="8"/>
      <c r="L36" s="8"/>
      <c r="M36" s="9"/>
      <c r="N36" s="9">
        <f t="shared" si="15"/>
        <v>75000</v>
      </c>
      <c r="O36" s="9"/>
    </row>
    <row r="37" spans="1:16">
      <c r="A37" s="3" t="s">
        <v>395</v>
      </c>
      <c r="B37" s="4"/>
      <c r="C37" s="5"/>
      <c r="D37" s="5"/>
      <c r="E37" s="5"/>
      <c r="F37" s="5"/>
      <c r="G37" s="5"/>
      <c r="H37" s="5"/>
      <c r="I37" s="10">
        <f>I38</f>
        <v>75000</v>
      </c>
      <c r="J37" s="10">
        <f t="shared" ref="J37:N37" si="16">J38</f>
        <v>0</v>
      </c>
      <c r="K37" s="10">
        <f t="shared" si="16"/>
        <v>0</v>
      </c>
      <c r="L37" s="10">
        <f t="shared" si="16"/>
        <v>0</v>
      </c>
      <c r="M37" s="10">
        <f t="shared" si="16"/>
        <v>75000</v>
      </c>
      <c r="N37" s="10">
        <f t="shared" si="16"/>
        <v>0</v>
      </c>
      <c r="O37" s="10"/>
      <c r="P37" s="16">
        <f>SUM(J37:N37)</f>
        <v>75000</v>
      </c>
    </row>
    <row r="38" spans="1:16" ht="27.6">
      <c r="A38" s="6" t="s">
        <v>154</v>
      </c>
      <c r="B38" s="7" t="s">
        <v>407</v>
      </c>
      <c r="C38" s="8"/>
      <c r="D38" s="8"/>
      <c r="E38" s="8"/>
      <c r="F38" s="8">
        <v>1</v>
      </c>
      <c r="G38" s="8"/>
      <c r="H38" s="8" t="s">
        <v>354</v>
      </c>
      <c r="I38" s="9">
        <v>75000</v>
      </c>
      <c r="J38" s="8"/>
      <c r="K38" s="8"/>
      <c r="L38" s="8"/>
      <c r="M38" s="9">
        <f t="shared" ref="M38" si="17">F38*I38</f>
        <v>75000</v>
      </c>
      <c r="N38" s="9"/>
      <c r="O38" s="9"/>
    </row>
    <row r="39" spans="1:16" ht="27.6">
      <c r="A39" s="3" t="s">
        <v>417</v>
      </c>
      <c r="B39" s="4"/>
      <c r="C39" s="5"/>
      <c r="D39" s="5"/>
      <c r="E39" s="5"/>
      <c r="F39" s="5"/>
      <c r="G39" s="5"/>
      <c r="H39" s="5"/>
      <c r="I39" s="10">
        <f>I40+I41</f>
        <v>0</v>
      </c>
      <c r="J39" s="10">
        <f t="shared" ref="J39:N39" si="18">J40+J41</f>
        <v>0</v>
      </c>
      <c r="K39" s="10">
        <f t="shared" si="18"/>
        <v>0</v>
      </c>
      <c r="L39" s="10">
        <f t="shared" si="18"/>
        <v>0</v>
      </c>
      <c r="M39" s="10">
        <f t="shared" si="18"/>
        <v>0</v>
      </c>
      <c r="N39" s="10">
        <f t="shared" si="18"/>
        <v>0</v>
      </c>
      <c r="O39" s="10"/>
      <c r="P39" s="1" t="s">
        <v>418</v>
      </c>
    </row>
    <row r="40" spans="1:16">
      <c r="A40" s="6" t="s">
        <v>419</v>
      </c>
      <c r="B40" s="7" t="s">
        <v>409</v>
      </c>
      <c r="C40" s="8"/>
      <c r="D40" s="8"/>
      <c r="E40" s="8"/>
      <c r="F40" s="8"/>
      <c r="G40" s="8"/>
      <c r="H40" s="8"/>
      <c r="I40" s="9"/>
      <c r="J40" s="8"/>
      <c r="K40" s="8"/>
      <c r="L40" s="8"/>
      <c r="M40" s="9"/>
      <c r="N40" s="8"/>
      <c r="O40" s="9"/>
    </row>
    <row r="41" spans="1:16">
      <c r="A41" s="6" t="s">
        <v>420</v>
      </c>
      <c r="B41" s="7" t="s">
        <v>409</v>
      </c>
      <c r="C41" s="8"/>
      <c r="D41" s="8"/>
      <c r="E41" s="8"/>
      <c r="F41" s="8"/>
      <c r="G41" s="8"/>
      <c r="H41" s="8"/>
      <c r="I41" s="9"/>
      <c r="J41" s="8"/>
      <c r="K41" s="8"/>
      <c r="L41" s="8"/>
      <c r="M41" s="9"/>
      <c r="N41" s="8"/>
      <c r="O41" s="9"/>
    </row>
    <row r="42" spans="1:16">
      <c r="A42" s="3" t="s">
        <v>421</v>
      </c>
      <c r="B42" s="4"/>
      <c r="C42" s="5"/>
      <c r="D42" s="5"/>
      <c r="E42" s="5"/>
      <c r="F42" s="5"/>
      <c r="G42" s="5"/>
      <c r="H42" s="5"/>
      <c r="I42" s="10">
        <f>I43</f>
        <v>1000</v>
      </c>
      <c r="J42" s="10">
        <f t="shared" ref="J42:N42" si="19">J43</f>
        <v>0</v>
      </c>
      <c r="K42" s="10">
        <f t="shared" si="19"/>
        <v>0</v>
      </c>
      <c r="L42" s="10">
        <f t="shared" si="19"/>
        <v>0</v>
      </c>
      <c r="M42" s="10">
        <f t="shared" si="19"/>
        <v>0</v>
      </c>
      <c r="N42" s="10">
        <f t="shared" si="19"/>
        <v>28000</v>
      </c>
      <c r="O42" s="10"/>
      <c r="P42" s="16">
        <f>SUM(J42:N42)</f>
        <v>28000</v>
      </c>
    </row>
    <row r="43" spans="1:16">
      <c r="A43" s="6" t="s">
        <v>156</v>
      </c>
      <c r="B43" s="7" t="s">
        <v>408</v>
      </c>
      <c r="C43" s="8"/>
      <c r="D43" s="8"/>
      <c r="E43" s="8"/>
      <c r="F43" s="8"/>
      <c r="G43" s="8">
        <v>28</v>
      </c>
      <c r="H43" s="14"/>
      <c r="I43" s="15">
        <v>1000</v>
      </c>
      <c r="J43" s="18">
        <f t="shared" ref="J43" si="20">C43*$I43</f>
        <v>0</v>
      </c>
      <c r="K43" s="18">
        <f t="shared" ref="K43" si="21">D43*$I43</f>
        <v>0</v>
      </c>
      <c r="L43" s="18">
        <f t="shared" ref="L43" si="22">E43*$I43</f>
        <v>0</v>
      </c>
      <c r="M43" s="18">
        <f t="shared" ref="M43" si="23">F43*$I43</f>
        <v>0</v>
      </c>
      <c r="N43" s="18">
        <f t="shared" ref="N43" si="24">G43*$I43</f>
        <v>28000</v>
      </c>
      <c r="O43" s="9"/>
    </row>
    <row r="44" spans="1:16">
      <c r="A44" s="3" t="s">
        <v>422</v>
      </c>
      <c r="B44" s="4"/>
      <c r="C44" s="5"/>
      <c r="D44" s="5"/>
      <c r="E44" s="5"/>
      <c r="F44" s="5"/>
      <c r="G44" s="5"/>
      <c r="H44" s="5"/>
      <c r="I44" s="10">
        <f>I45</f>
        <v>50000</v>
      </c>
      <c r="J44" s="10">
        <f t="shared" ref="J44:N44" si="25">J45</f>
        <v>0</v>
      </c>
      <c r="K44" s="10">
        <f t="shared" si="25"/>
        <v>0</v>
      </c>
      <c r="L44" s="10">
        <f t="shared" si="25"/>
        <v>0</v>
      </c>
      <c r="M44" s="10">
        <f t="shared" si="25"/>
        <v>50000</v>
      </c>
      <c r="N44" s="10">
        <f t="shared" si="25"/>
        <v>0</v>
      </c>
      <c r="O44" s="10"/>
      <c r="P44" s="16">
        <f>SUM(J44:N44)</f>
        <v>50000</v>
      </c>
    </row>
    <row r="45" spans="1:16">
      <c r="A45" s="6" t="s">
        <v>423</v>
      </c>
      <c r="B45" s="7" t="s">
        <v>407</v>
      </c>
      <c r="C45" s="8"/>
      <c r="D45" s="8"/>
      <c r="E45" s="8"/>
      <c r="F45" s="8">
        <v>1</v>
      </c>
      <c r="G45" s="8"/>
      <c r="H45" s="8" t="s">
        <v>354</v>
      </c>
      <c r="I45" s="9">
        <v>50000</v>
      </c>
      <c r="J45" s="8"/>
      <c r="K45" s="8"/>
      <c r="L45" s="8"/>
      <c r="M45" s="9">
        <f t="shared" ref="M45" si="26">F45*I45</f>
        <v>50000</v>
      </c>
      <c r="N45" s="8"/>
      <c r="O45" s="9"/>
    </row>
    <row r="46" spans="1:16" ht="27.6">
      <c r="A46" s="3" t="s">
        <v>424</v>
      </c>
      <c r="B46" s="4"/>
      <c r="C46" s="5"/>
      <c r="D46" s="5"/>
      <c r="E46" s="5"/>
      <c r="F46" s="5"/>
      <c r="G46" s="5"/>
      <c r="H46" s="5"/>
      <c r="I46" s="10">
        <f>SUM(I47:I49)</f>
        <v>200000</v>
      </c>
      <c r="J46" s="10">
        <f t="shared" ref="J46:N46" si="27">SUM(J47:J49)</f>
        <v>0</v>
      </c>
      <c r="K46" s="10">
        <f t="shared" si="27"/>
        <v>0</v>
      </c>
      <c r="L46" s="10">
        <f t="shared" si="27"/>
        <v>0</v>
      </c>
      <c r="M46" s="10">
        <f t="shared" si="27"/>
        <v>200000</v>
      </c>
      <c r="N46" s="10">
        <f t="shared" si="27"/>
        <v>0</v>
      </c>
      <c r="O46" s="10"/>
      <c r="P46" s="16">
        <f>SUM(J46:N46)</f>
        <v>200000</v>
      </c>
    </row>
    <row r="47" spans="1:16">
      <c r="A47" s="6" t="s">
        <v>160</v>
      </c>
      <c r="B47" s="7" t="s">
        <v>408</v>
      </c>
      <c r="C47" s="8"/>
      <c r="D47" s="8"/>
      <c r="E47" s="8"/>
      <c r="F47" s="8">
        <v>1</v>
      </c>
      <c r="G47" s="8"/>
      <c r="H47" s="8" t="s">
        <v>354</v>
      </c>
      <c r="I47" s="9">
        <v>100000</v>
      </c>
      <c r="J47" s="8"/>
      <c r="K47" s="8"/>
      <c r="L47" s="8"/>
      <c r="M47" s="9">
        <f t="shared" ref="M47:M49" si="28">F47*I47</f>
        <v>100000</v>
      </c>
      <c r="N47" s="8"/>
      <c r="O47" s="9"/>
    </row>
    <row r="48" spans="1:16">
      <c r="A48" s="6" t="s">
        <v>425</v>
      </c>
      <c r="B48" s="7" t="s">
        <v>408</v>
      </c>
      <c r="C48" s="8"/>
      <c r="D48" s="8"/>
      <c r="E48" s="8"/>
      <c r="F48" s="8">
        <v>1</v>
      </c>
      <c r="G48" s="8"/>
      <c r="H48" s="8" t="s">
        <v>354</v>
      </c>
      <c r="I48" s="9">
        <v>50000</v>
      </c>
      <c r="J48" s="8"/>
      <c r="K48" s="8"/>
      <c r="L48" s="8"/>
      <c r="M48" s="9">
        <f t="shared" si="28"/>
        <v>50000</v>
      </c>
      <c r="N48" s="8"/>
      <c r="O48" s="9"/>
    </row>
    <row r="49" spans="1:16">
      <c r="A49" s="6" t="s">
        <v>162</v>
      </c>
      <c r="B49" s="7" t="s">
        <v>408</v>
      </c>
      <c r="C49" s="8"/>
      <c r="D49" s="8"/>
      <c r="E49" s="8"/>
      <c r="F49" s="8">
        <v>1</v>
      </c>
      <c r="G49" s="8"/>
      <c r="H49" s="8" t="s">
        <v>354</v>
      </c>
      <c r="I49" s="9">
        <f>I48</f>
        <v>50000</v>
      </c>
      <c r="J49" s="8"/>
      <c r="K49" s="8"/>
      <c r="L49" s="8"/>
      <c r="M49" s="9">
        <f t="shared" si="28"/>
        <v>50000</v>
      </c>
      <c r="N49" s="8"/>
      <c r="O49" s="9"/>
    </row>
    <row r="50" spans="1:16">
      <c r="A50" s="3" t="s">
        <v>426</v>
      </c>
      <c r="B50" s="4"/>
      <c r="C50" s="5"/>
      <c r="D50" s="5"/>
      <c r="E50" s="5"/>
      <c r="F50" s="5"/>
      <c r="G50" s="5"/>
      <c r="H50" s="5"/>
      <c r="I50" s="10">
        <f>I51+I52</f>
        <v>450000</v>
      </c>
      <c r="J50" s="10">
        <f t="shared" ref="J50:N50" si="29">J51+J52</f>
        <v>0</v>
      </c>
      <c r="K50" s="10">
        <f t="shared" si="29"/>
        <v>0</v>
      </c>
      <c r="L50" s="10">
        <f t="shared" si="29"/>
        <v>0</v>
      </c>
      <c r="M50" s="10">
        <f t="shared" si="29"/>
        <v>150000</v>
      </c>
      <c r="N50" s="10">
        <f t="shared" si="29"/>
        <v>300000</v>
      </c>
      <c r="O50" s="10"/>
      <c r="P50" s="16">
        <f>SUM(J50:N50)</f>
        <v>450000</v>
      </c>
    </row>
    <row r="51" spans="1:16">
      <c r="A51" s="6" t="s">
        <v>427</v>
      </c>
      <c r="B51" s="7" t="s">
        <v>407</v>
      </c>
      <c r="C51" s="8"/>
      <c r="D51" s="8"/>
      <c r="E51" s="8"/>
      <c r="F51" s="8">
        <v>1</v>
      </c>
      <c r="G51" s="8"/>
      <c r="H51" s="8" t="s">
        <v>354</v>
      </c>
      <c r="I51" s="9">
        <v>150000</v>
      </c>
      <c r="J51" s="8"/>
      <c r="K51" s="8"/>
      <c r="L51" s="8"/>
      <c r="M51" s="9">
        <f t="shared" ref="M51" si="30">F51*I51</f>
        <v>150000</v>
      </c>
      <c r="N51" s="8"/>
      <c r="O51" s="9"/>
    </row>
    <row r="52" spans="1:16" ht="27.6">
      <c r="A52" s="6" t="s">
        <v>165</v>
      </c>
      <c r="B52" s="7" t="s">
        <v>407</v>
      </c>
      <c r="C52" s="8"/>
      <c r="D52" s="8"/>
      <c r="E52" s="8"/>
      <c r="F52" s="8"/>
      <c r="G52" s="8">
        <v>1</v>
      </c>
      <c r="H52" s="8"/>
      <c r="I52" s="9">
        <v>300000</v>
      </c>
      <c r="J52" s="8"/>
      <c r="K52" s="8"/>
      <c r="L52" s="8"/>
      <c r="M52" s="9"/>
      <c r="N52" s="9">
        <f t="shared" ref="N52" si="31">+G52*I52</f>
        <v>300000</v>
      </c>
      <c r="O52" s="9"/>
    </row>
    <row r="53" spans="1:16">
      <c r="A53" s="3" t="s">
        <v>166</v>
      </c>
      <c r="B53" s="4"/>
      <c r="C53" s="5"/>
      <c r="D53" s="5"/>
      <c r="E53" s="5"/>
      <c r="F53" s="5"/>
      <c r="G53" s="5"/>
      <c r="H53" s="5"/>
      <c r="I53" s="10">
        <f>I54+I55</f>
        <v>625000</v>
      </c>
      <c r="J53" s="10">
        <f t="shared" ref="J53:N53" si="32">J54+J55</f>
        <v>0</v>
      </c>
      <c r="K53" s="10">
        <f t="shared" si="32"/>
        <v>0</v>
      </c>
      <c r="L53" s="10">
        <f t="shared" si="32"/>
        <v>0</v>
      </c>
      <c r="M53" s="10">
        <f t="shared" si="32"/>
        <v>1750000</v>
      </c>
      <c r="N53" s="10">
        <f t="shared" si="32"/>
        <v>1250000</v>
      </c>
      <c r="O53" s="10"/>
      <c r="P53" s="16">
        <f>SUM(J53:N53)</f>
        <v>3000000</v>
      </c>
    </row>
    <row r="54" spans="1:16">
      <c r="A54" s="6" t="s">
        <v>167</v>
      </c>
      <c r="B54" s="7" t="s">
        <v>406</v>
      </c>
      <c r="C54" s="8"/>
      <c r="D54" s="8"/>
      <c r="E54" s="8"/>
      <c r="F54" s="8">
        <v>1</v>
      </c>
      <c r="G54" s="8"/>
      <c r="H54" s="8" t="s">
        <v>354</v>
      </c>
      <c r="I54" s="9">
        <v>500000</v>
      </c>
      <c r="J54" s="8"/>
      <c r="K54" s="8"/>
      <c r="L54" s="8"/>
      <c r="M54" s="9">
        <f t="shared" ref="M54:M55" si="33">F54*I54</f>
        <v>500000</v>
      </c>
      <c r="N54" s="8"/>
      <c r="O54" s="9"/>
    </row>
    <row r="55" spans="1:16">
      <c r="A55" s="6" t="s">
        <v>168</v>
      </c>
      <c r="B55" s="7" t="s">
        <v>406</v>
      </c>
      <c r="C55" s="8"/>
      <c r="D55" s="8"/>
      <c r="E55" s="8"/>
      <c r="F55" s="8">
        <v>10</v>
      </c>
      <c r="G55" s="8">
        <v>10</v>
      </c>
      <c r="H55" s="8" t="s">
        <v>355</v>
      </c>
      <c r="I55" s="9">
        <v>125000</v>
      </c>
      <c r="J55" s="8"/>
      <c r="K55" s="8"/>
      <c r="L55" s="8"/>
      <c r="M55" s="9">
        <f t="shared" si="33"/>
        <v>1250000</v>
      </c>
      <c r="N55" s="9">
        <f t="shared" ref="N55" si="34">+G55*I55</f>
        <v>1250000</v>
      </c>
      <c r="O55" s="9"/>
    </row>
    <row r="56" spans="1:16">
      <c r="I56" s="16">
        <f>I6+I9+I14+I22+I27+I37+I39+I42+I44+I46+I50+I53</f>
        <v>44748255.013432823</v>
      </c>
      <c r="J56" s="16">
        <f t="shared" ref="J56:N56" si="35">J6+J9+J14+J22+J27+J37+J39+J42+J44+J46+J50+J53</f>
        <v>0</v>
      </c>
      <c r="K56" s="16">
        <f t="shared" si="35"/>
        <v>0</v>
      </c>
      <c r="L56" s="16">
        <f t="shared" si="35"/>
        <v>0</v>
      </c>
      <c r="M56" s="16">
        <f t="shared" si="35"/>
        <v>3029000</v>
      </c>
      <c r="N56" s="16">
        <f t="shared" si="35"/>
        <v>71183692.556716412</v>
      </c>
      <c r="O56" s="16">
        <f>SUM(J56:N56)</f>
        <v>74212692.556716412</v>
      </c>
    </row>
    <row r="57" spans="1:16">
      <c r="I57" s="16"/>
      <c r="J57" s="16"/>
      <c r="K57" s="16"/>
      <c r="L57" s="16"/>
      <c r="M57" s="16"/>
      <c r="N57" s="16"/>
      <c r="O57" s="16">
        <f>N14</f>
        <v>39495820.895522378</v>
      </c>
      <c r="P57" s="1" t="s">
        <v>428</v>
      </c>
    </row>
    <row r="58" spans="1:16">
      <c r="O58" s="16">
        <f>P22</f>
        <v>29535871.661194026</v>
      </c>
      <c r="P58" s="1" t="s">
        <v>429</v>
      </c>
    </row>
    <row r="59" spans="1:16">
      <c r="O59" s="16">
        <f>O56-O57-O58</f>
        <v>5181000.0000000075</v>
      </c>
      <c r="P59" s="1" t="s">
        <v>430</v>
      </c>
    </row>
  </sheetData>
  <mergeCells count="7">
    <mergeCell ref="J4:N4"/>
    <mergeCell ref="O4:O5"/>
    <mergeCell ref="A4:A5"/>
    <mergeCell ref="B4:B5"/>
    <mergeCell ref="C4:G4"/>
    <mergeCell ref="H4:H5"/>
    <mergeCell ref="I4:I5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A97314-DD0E-B546-AADB-F42250A8CBF5}">
  <dimension ref="A1:R53"/>
  <sheetViews>
    <sheetView topLeftCell="B1" zoomScale="120" zoomScaleNormal="120" workbookViewId="0" xr3:uid="{7BD2BBCB-3068-5743-B7FE-33AE1CFD1849}">
      <pane ySplit="2" topLeftCell="A33" activePane="bottomLeft" state="frozen"/>
      <selection pane="bottomLeft" activeCell="J49" sqref="J49"/>
    </sheetView>
  </sheetViews>
  <sheetFormatPr defaultColWidth="10.875" defaultRowHeight="13.9"/>
  <cols>
    <col min="1" max="1" width="74.625" style="1" customWidth="1"/>
    <col min="2" max="2" width="19.625" style="1" customWidth="1"/>
    <col min="3" max="3" width="9.625" style="2" bestFit="1" customWidth="1"/>
    <col min="4" max="8" width="5.125" style="1" bestFit="1" customWidth="1"/>
    <col min="9" max="9" width="25.375" style="1" bestFit="1" customWidth="1"/>
    <col min="10" max="10" width="11.5" style="1" bestFit="1" customWidth="1"/>
    <col min="11" max="13" width="5.125" style="1" bestFit="1" customWidth="1"/>
    <col min="14" max="14" width="9" style="1" bestFit="1" customWidth="1"/>
    <col min="15" max="15" width="9.5" style="1" bestFit="1" customWidth="1"/>
    <col min="16" max="16" width="11" style="1" bestFit="1" customWidth="1"/>
    <col min="17" max="16384" width="10.875" style="1"/>
  </cols>
  <sheetData>
    <row r="1" spans="1:17">
      <c r="A1" s="345" t="s">
        <v>387</v>
      </c>
      <c r="B1" s="350" t="s">
        <v>431</v>
      </c>
      <c r="C1" s="348" t="s">
        <v>402</v>
      </c>
      <c r="D1" s="346" t="s">
        <v>388</v>
      </c>
      <c r="E1" s="346"/>
      <c r="F1" s="346"/>
      <c r="G1" s="346"/>
      <c r="H1" s="346"/>
      <c r="I1" s="346" t="s">
        <v>368</v>
      </c>
      <c r="J1" s="347" t="s">
        <v>403</v>
      </c>
      <c r="K1" s="346" t="s">
        <v>404</v>
      </c>
      <c r="L1" s="346"/>
      <c r="M1" s="346"/>
      <c r="N1" s="346"/>
      <c r="O1" s="346"/>
      <c r="P1" s="347" t="s">
        <v>405</v>
      </c>
    </row>
    <row r="2" spans="1:17">
      <c r="A2" s="345"/>
      <c r="B2" s="351"/>
      <c r="C2" s="349"/>
      <c r="D2" s="290">
        <v>2019</v>
      </c>
      <c r="E2" s="290">
        <v>2020</v>
      </c>
      <c r="F2" s="290">
        <v>2021</v>
      </c>
      <c r="G2" s="290">
        <v>2022</v>
      </c>
      <c r="H2" s="290">
        <v>2023</v>
      </c>
      <c r="I2" s="346"/>
      <c r="J2" s="347"/>
      <c r="K2" s="290">
        <v>2019</v>
      </c>
      <c r="L2" s="290">
        <v>2020</v>
      </c>
      <c r="M2" s="290">
        <v>2021</v>
      </c>
      <c r="N2" s="290">
        <v>2022</v>
      </c>
      <c r="O2" s="290">
        <v>2023</v>
      </c>
      <c r="P2" s="347"/>
    </row>
    <row r="3" spans="1:17" s="24" customFormat="1">
      <c r="A3" s="19" t="s">
        <v>389</v>
      </c>
      <c r="B3" s="26">
        <f>B4+B5</f>
        <v>420000</v>
      </c>
      <c r="C3" s="20"/>
      <c r="D3" s="21"/>
      <c r="E3" s="21"/>
      <c r="F3" s="21"/>
      <c r="G3" s="21"/>
      <c r="H3" s="21"/>
      <c r="I3" s="21"/>
      <c r="J3" s="22">
        <v>130000</v>
      </c>
      <c r="K3" s="22">
        <v>0</v>
      </c>
      <c r="L3" s="22">
        <v>0</v>
      </c>
      <c r="M3" s="22">
        <v>0</v>
      </c>
      <c r="N3" s="22">
        <v>420000</v>
      </c>
      <c r="O3" s="22">
        <v>0</v>
      </c>
      <c r="P3" s="21"/>
      <c r="Q3" s="23">
        <v>420000</v>
      </c>
    </row>
    <row r="4" spans="1:17">
      <c r="A4" s="6" t="s">
        <v>122</v>
      </c>
      <c r="B4" s="27">
        <f>SUM(K4:O4)</f>
        <v>320000</v>
      </c>
      <c r="C4" s="7" t="s">
        <v>406</v>
      </c>
      <c r="D4" s="8"/>
      <c r="E4" s="8"/>
      <c r="F4" s="8"/>
      <c r="G4" s="8">
        <v>4</v>
      </c>
      <c r="H4" s="8"/>
      <c r="I4" s="8" t="s">
        <v>373</v>
      </c>
      <c r="J4" s="9">
        <v>80000</v>
      </c>
      <c r="K4" s="8"/>
      <c r="L4" s="8"/>
      <c r="M4" s="8"/>
      <c r="N4" s="9">
        <v>320000</v>
      </c>
      <c r="O4" s="8"/>
      <c r="P4" s="9"/>
    </row>
    <row r="5" spans="1:17">
      <c r="A5" s="6" t="s">
        <v>123</v>
      </c>
      <c r="B5" s="27">
        <f>SUM(K5:O5)</f>
        <v>100000</v>
      </c>
      <c r="C5" s="7" t="s">
        <v>406</v>
      </c>
      <c r="D5" s="8"/>
      <c r="E5" s="8"/>
      <c r="F5" s="8"/>
      <c r="G5" s="8">
        <v>2</v>
      </c>
      <c r="H5" s="8"/>
      <c r="I5" s="8" t="s">
        <v>373</v>
      </c>
      <c r="J5" s="9">
        <v>50000</v>
      </c>
      <c r="K5" s="8"/>
      <c r="L5" s="8"/>
      <c r="M5" s="8"/>
      <c r="N5" s="9">
        <v>100000</v>
      </c>
      <c r="O5" s="8"/>
      <c r="P5" s="9"/>
    </row>
    <row r="6" spans="1:17" s="24" customFormat="1">
      <c r="A6" s="19" t="s">
        <v>390</v>
      </c>
      <c r="B6" s="26">
        <f>SUM(B7:B10)</f>
        <v>320000</v>
      </c>
      <c r="C6" s="20"/>
      <c r="D6" s="21"/>
      <c r="E6" s="21"/>
      <c r="F6" s="21"/>
      <c r="G6" s="21"/>
      <c r="H6" s="21"/>
      <c r="I6" s="21"/>
      <c r="J6" s="25">
        <v>320000</v>
      </c>
      <c r="K6" s="25">
        <v>0</v>
      </c>
      <c r="L6" s="25">
        <v>0</v>
      </c>
      <c r="M6" s="25">
        <v>0</v>
      </c>
      <c r="N6" s="25">
        <v>320000</v>
      </c>
      <c r="O6" s="25">
        <v>0</v>
      </c>
      <c r="P6" s="25"/>
      <c r="Q6" s="23">
        <v>320000</v>
      </c>
    </row>
    <row r="7" spans="1:17">
      <c r="A7" s="6" t="s">
        <v>125</v>
      </c>
      <c r="B7" s="27">
        <f>SUM(K7:O7)</f>
        <v>80000</v>
      </c>
      <c r="C7" s="7" t="s">
        <v>407</v>
      </c>
      <c r="D7" s="8"/>
      <c r="E7" s="8"/>
      <c r="F7" s="8"/>
      <c r="G7" s="8">
        <v>1</v>
      </c>
      <c r="H7" s="8"/>
      <c r="I7" s="8" t="s">
        <v>354</v>
      </c>
      <c r="J7" s="9">
        <v>80000</v>
      </c>
      <c r="K7" s="8"/>
      <c r="L7" s="8"/>
      <c r="M7" s="8"/>
      <c r="N7" s="9">
        <v>80000</v>
      </c>
      <c r="O7" s="8"/>
      <c r="P7" s="9"/>
    </row>
    <row r="8" spans="1:17">
      <c r="A8" s="6" t="s">
        <v>126</v>
      </c>
      <c r="B8" s="27">
        <f>SUM(K8:O8)</f>
        <v>80000</v>
      </c>
      <c r="C8" s="7" t="s">
        <v>407</v>
      </c>
      <c r="D8" s="8"/>
      <c r="E8" s="8"/>
      <c r="F8" s="8"/>
      <c r="G8" s="8">
        <v>1</v>
      </c>
      <c r="H8" s="8"/>
      <c r="I8" s="8" t="s">
        <v>354</v>
      </c>
      <c r="J8" s="9">
        <v>80000</v>
      </c>
      <c r="K8" s="8"/>
      <c r="L8" s="8"/>
      <c r="M8" s="8"/>
      <c r="N8" s="9">
        <v>80000</v>
      </c>
      <c r="O8" s="8"/>
      <c r="P8" s="9"/>
    </row>
    <row r="9" spans="1:17">
      <c r="A9" s="6" t="s">
        <v>127</v>
      </c>
      <c r="B9" s="27">
        <f>SUM(K9:O9)</f>
        <v>80000</v>
      </c>
      <c r="C9" s="7" t="s">
        <v>407</v>
      </c>
      <c r="D9" s="8"/>
      <c r="E9" s="8"/>
      <c r="F9" s="8"/>
      <c r="G9" s="8">
        <v>1</v>
      </c>
      <c r="H9" s="8"/>
      <c r="I9" s="8" t="s">
        <v>354</v>
      </c>
      <c r="J9" s="9">
        <v>80000</v>
      </c>
      <c r="K9" s="8"/>
      <c r="L9" s="8"/>
      <c r="M9" s="8"/>
      <c r="N9" s="9">
        <v>80000</v>
      </c>
      <c r="O9" s="8"/>
      <c r="P9" s="9"/>
    </row>
    <row r="10" spans="1:17">
      <c r="A10" s="6" t="s">
        <v>128</v>
      </c>
      <c r="B10" s="27">
        <f>SUM(K10:O10)</f>
        <v>80000</v>
      </c>
      <c r="C10" s="7" t="s">
        <v>408</v>
      </c>
      <c r="D10" s="8"/>
      <c r="E10" s="8"/>
      <c r="F10" s="8"/>
      <c r="G10" s="8">
        <v>1</v>
      </c>
      <c r="H10" s="8"/>
      <c r="I10" s="8" t="s">
        <v>354</v>
      </c>
      <c r="J10" s="9">
        <v>80000</v>
      </c>
      <c r="K10" s="8"/>
      <c r="L10" s="8"/>
      <c r="M10" s="8"/>
      <c r="N10" s="9">
        <v>80000</v>
      </c>
      <c r="O10" s="8"/>
      <c r="P10" s="9"/>
    </row>
    <row r="11" spans="1:17" s="24" customFormat="1" ht="15" customHeight="1">
      <c r="A11" s="19" t="s">
        <v>391</v>
      </c>
      <c r="B11" s="26">
        <f>SUM(B14:B18)</f>
        <v>38343283.582089551</v>
      </c>
      <c r="C11" s="20"/>
      <c r="D11" s="21"/>
      <c r="E11" s="21"/>
      <c r="F11" s="21"/>
      <c r="G11" s="21"/>
      <c r="H11" s="21"/>
      <c r="I11" s="21"/>
      <c r="J11" s="25">
        <v>39495820.895522378</v>
      </c>
      <c r="K11" s="21"/>
      <c r="L11" s="21"/>
      <c r="M11" s="21"/>
      <c r="N11" s="25"/>
      <c r="O11" s="22">
        <v>39495820.895522378</v>
      </c>
      <c r="P11" s="25"/>
    </row>
    <row r="12" spans="1:17">
      <c r="A12" s="6" t="s">
        <v>432</v>
      </c>
      <c r="B12" s="27">
        <f>J12</f>
        <v>960447.76119402971</v>
      </c>
      <c r="C12" s="7"/>
      <c r="D12" s="8">
        <v>1</v>
      </c>
      <c r="E12" s="8"/>
      <c r="F12" s="8"/>
      <c r="G12" s="8"/>
      <c r="H12" s="8"/>
      <c r="I12" s="8"/>
      <c r="J12" s="11">
        <v>960447.76119402971</v>
      </c>
      <c r="K12" s="8"/>
      <c r="L12" s="8"/>
      <c r="M12" s="8"/>
      <c r="N12" s="9"/>
      <c r="O12" s="8"/>
      <c r="P12" s="9"/>
      <c r="Q12" s="17"/>
    </row>
    <row r="13" spans="1:17">
      <c r="A13" s="6" t="s">
        <v>433</v>
      </c>
      <c r="B13" s="27">
        <f>J13</f>
        <v>192089.55223880595</v>
      </c>
      <c r="C13" s="7"/>
      <c r="D13" s="8">
        <v>1</v>
      </c>
      <c r="E13" s="8"/>
      <c r="F13" s="8"/>
      <c r="G13" s="8"/>
      <c r="H13" s="8"/>
      <c r="I13" s="8"/>
      <c r="J13" s="11">
        <v>192089.55223880595</v>
      </c>
      <c r="K13" s="8"/>
      <c r="L13" s="8"/>
      <c r="M13" s="8"/>
      <c r="N13" s="9"/>
      <c r="O13" s="8"/>
      <c r="P13" s="9"/>
    </row>
    <row r="14" spans="1:17">
      <c r="A14" s="6" t="s">
        <v>132</v>
      </c>
      <c r="B14" s="27">
        <f>J14</f>
        <v>21343283.582089551</v>
      </c>
      <c r="C14" s="7" t="s">
        <v>409</v>
      </c>
      <c r="D14" s="8"/>
      <c r="E14" s="8"/>
      <c r="F14" s="8"/>
      <c r="G14" s="8"/>
      <c r="H14" s="8">
        <v>1</v>
      </c>
      <c r="I14" s="8"/>
      <c r="J14" s="11">
        <v>21343283.582089551</v>
      </c>
      <c r="K14" s="8"/>
      <c r="L14" s="8"/>
      <c r="M14" s="8"/>
      <c r="N14" s="9"/>
      <c r="O14" s="8"/>
      <c r="P14" s="9">
        <v>71500000</v>
      </c>
      <c r="Q14" s="17">
        <v>7150000</v>
      </c>
    </row>
    <row r="15" spans="1:17">
      <c r="A15" s="6" t="s">
        <v>133</v>
      </c>
      <c r="B15" s="27">
        <f t="shared" ref="B15:B18" si="0">J15</f>
        <v>1280597.014925373</v>
      </c>
      <c r="C15" s="7"/>
      <c r="D15" s="8"/>
      <c r="E15" s="8"/>
      <c r="F15" s="8"/>
      <c r="G15" s="8"/>
      <c r="H15" s="8">
        <v>1</v>
      </c>
      <c r="I15" s="8"/>
      <c r="J15" s="11">
        <v>1280597.014925373</v>
      </c>
      <c r="K15" s="8"/>
      <c r="L15" s="8"/>
      <c r="M15" s="8"/>
      <c r="N15" s="9"/>
      <c r="O15" s="8"/>
      <c r="P15" s="9"/>
      <c r="Q15" s="17"/>
    </row>
    <row r="16" spans="1:17">
      <c r="A16" s="6" t="s">
        <v>135</v>
      </c>
      <c r="B16" s="27">
        <f t="shared" si="0"/>
        <v>14776119.402985074</v>
      </c>
      <c r="C16" s="7" t="s">
        <v>409</v>
      </c>
      <c r="D16" s="8"/>
      <c r="E16" s="8"/>
      <c r="F16" s="8"/>
      <c r="G16" s="8"/>
      <c r="H16" s="8">
        <v>1</v>
      </c>
      <c r="I16" s="8"/>
      <c r="J16" s="11">
        <v>14776119.402985074</v>
      </c>
      <c r="K16" s="8"/>
      <c r="L16" s="8"/>
      <c r="M16" s="8"/>
      <c r="N16" s="9"/>
      <c r="O16" s="8"/>
      <c r="P16" s="9">
        <v>49500000</v>
      </c>
      <c r="Q16" s="17">
        <v>54450000.000000007</v>
      </c>
    </row>
    <row r="17" spans="1:18">
      <c r="A17" s="6" t="s">
        <v>137</v>
      </c>
      <c r="B17" s="27">
        <f t="shared" si="0"/>
        <v>443283.58208955219</v>
      </c>
      <c r="C17" s="7"/>
      <c r="D17" s="8"/>
      <c r="E17" s="8"/>
      <c r="F17" s="8"/>
      <c r="G17" s="8"/>
      <c r="H17" s="8">
        <v>1</v>
      </c>
      <c r="I17" s="8"/>
      <c r="J17" s="11">
        <v>443283.58208955219</v>
      </c>
      <c r="K17" s="8"/>
      <c r="L17" s="8"/>
      <c r="M17" s="8"/>
      <c r="N17" s="9"/>
      <c r="O17" s="8"/>
      <c r="P17" s="9"/>
    </row>
    <row r="18" spans="1:18">
      <c r="A18" s="6" t="s">
        <v>392</v>
      </c>
      <c r="B18" s="27">
        <f t="shared" si="0"/>
        <v>500000</v>
      </c>
      <c r="C18" s="7"/>
      <c r="D18" s="8"/>
      <c r="E18" s="8">
        <v>1</v>
      </c>
      <c r="F18" s="8">
        <v>1</v>
      </c>
      <c r="G18" s="8">
        <v>1</v>
      </c>
      <c r="H18" s="8">
        <v>1</v>
      </c>
      <c r="I18" s="8"/>
      <c r="J18" s="11">
        <v>500000</v>
      </c>
      <c r="K18" s="8"/>
      <c r="L18" s="8"/>
      <c r="M18" s="8"/>
      <c r="N18" s="9"/>
      <c r="O18" s="8"/>
      <c r="P18" s="9"/>
    </row>
    <row r="19" spans="1:18" s="24" customFormat="1">
      <c r="A19" s="19" t="s">
        <v>393</v>
      </c>
      <c r="B19" s="26">
        <f>SUM(B20:B23)</f>
        <v>29535871.661194026</v>
      </c>
      <c r="C19" s="20"/>
      <c r="D19" s="21"/>
      <c r="E19" s="21"/>
      <c r="F19" s="21"/>
      <c r="G19" s="21"/>
      <c r="H19" s="21"/>
      <c r="I19" s="21"/>
      <c r="J19" s="25">
        <v>3303434.117910448</v>
      </c>
      <c r="K19" s="25">
        <v>0</v>
      </c>
      <c r="L19" s="25">
        <v>0</v>
      </c>
      <c r="M19" s="25">
        <v>0</v>
      </c>
      <c r="N19" s="25">
        <v>0</v>
      </c>
      <c r="O19" s="25">
        <v>29535871.661194026</v>
      </c>
      <c r="P19" s="25"/>
      <c r="Q19" s="23">
        <v>29535871.661194026</v>
      </c>
    </row>
    <row r="20" spans="1:18">
      <c r="A20" s="6" t="s">
        <v>141</v>
      </c>
      <c r="B20" s="27">
        <f>SUM(K20:O20)</f>
        <v>6571474.1985074626</v>
      </c>
      <c r="C20" s="7" t="s">
        <v>409</v>
      </c>
      <c r="D20" s="8">
        <v>1</v>
      </c>
      <c r="E20" s="8">
        <v>3</v>
      </c>
      <c r="F20" s="8"/>
      <c r="G20" s="8">
        <v>1</v>
      </c>
      <c r="H20" s="8">
        <v>2</v>
      </c>
      <c r="I20" s="8"/>
      <c r="J20" s="13">
        <v>938782.02835820895</v>
      </c>
      <c r="K20" s="18">
        <v>0</v>
      </c>
      <c r="L20" s="18">
        <v>0</v>
      </c>
      <c r="M20" s="18">
        <v>0</v>
      </c>
      <c r="N20" s="18">
        <v>0</v>
      </c>
      <c r="O20" s="18">
        <v>6571474.1985074626</v>
      </c>
      <c r="P20" s="9"/>
      <c r="Q20" s="16">
        <v>3144919.7949999999</v>
      </c>
      <c r="R20" s="1" t="s">
        <v>412</v>
      </c>
    </row>
    <row r="21" spans="1:18">
      <c r="A21" s="6" t="s">
        <v>142</v>
      </c>
      <c r="B21" s="27">
        <f>SUM(K21:O21)</f>
        <v>1703026.4179104478</v>
      </c>
      <c r="C21" s="7"/>
      <c r="D21" s="8"/>
      <c r="E21" s="8"/>
      <c r="F21" s="8">
        <v>1</v>
      </c>
      <c r="G21" s="8"/>
      <c r="H21" s="8"/>
      <c r="I21" s="8"/>
      <c r="J21" s="13">
        <v>1703026.4179104478</v>
      </c>
      <c r="K21" s="18">
        <v>0</v>
      </c>
      <c r="L21" s="18">
        <v>0</v>
      </c>
      <c r="M21" s="18">
        <v>0</v>
      </c>
      <c r="N21" s="18">
        <v>0</v>
      </c>
      <c r="O21" s="18">
        <v>1703026.4179104478</v>
      </c>
      <c r="P21" s="9"/>
      <c r="Q21" s="16">
        <v>5705138.5</v>
      </c>
    </row>
    <row r="22" spans="1:18">
      <c r="A22" s="6" t="s">
        <v>143</v>
      </c>
      <c r="B22" s="27">
        <f>SUM(K22:O22)</f>
        <v>1052143.4328358208</v>
      </c>
      <c r="C22" s="7"/>
      <c r="D22" s="8">
        <v>2</v>
      </c>
      <c r="E22" s="8"/>
      <c r="F22" s="8">
        <v>1</v>
      </c>
      <c r="G22" s="8"/>
      <c r="H22" s="8"/>
      <c r="I22" s="8"/>
      <c r="J22" s="13">
        <v>350714.4776119403</v>
      </c>
      <c r="K22" s="18">
        <v>0</v>
      </c>
      <c r="L22" s="18">
        <v>0</v>
      </c>
      <c r="M22" s="18">
        <v>0</v>
      </c>
      <c r="N22" s="18">
        <v>0</v>
      </c>
      <c r="O22" s="18">
        <v>1052143.4328358208</v>
      </c>
      <c r="P22" s="9"/>
      <c r="Q22" s="16">
        <v>1174893.5</v>
      </c>
    </row>
    <row r="23" spans="1:18">
      <c r="A23" s="6" t="s">
        <v>144</v>
      </c>
      <c r="B23" s="27">
        <f>SUM(K23:O23)</f>
        <v>20209227.611940295</v>
      </c>
      <c r="C23" s="7"/>
      <c r="D23" s="8">
        <v>39</v>
      </c>
      <c r="E23" s="8">
        <v>3</v>
      </c>
      <c r="F23" s="8">
        <v>9</v>
      </c>
      <c r="G23" s="8">
        <v>4</v>
      </c>
      <c r="H23" s="8">
        <v>10</v>
      </c>
      <c r="I23" s="8"/>
      <c r="J23" s="13">
        <v>310911.19402985071</v>
      </c>
      <c r="K23" s="18">
        <v>0</v>
      </c>
      <c r="L23" s="18">
        <v>0</v>
      </c>
      <c r="M23" s="18">
        <v>0</v>
      </c>
      <c r="N23" s="18">
        <v>0</v>
      </c>
      <c r="O23" s="18">
        <v>20209227.611940295</v>
      </c>
      <c r="P23" s="9"/>
      <c r="Q23" s="16">
        <v>1041552.5</v>
      </c>
      <c r="R23" s="1" t="s">
        <v>413</v>
      </c>
    </row>
    <row r="24" spans="1:18" s="24" customFormat="1" ht="14.1" customHeight="1">
      <c r="A24" s="19" t="s">
        <v>394</v>
      </c>
      <c r="B24" s="26">
        <f>SUM(B25:B33)</f>
        <v>638000</v>
      </c>
      <c r="C24" s="20"/>
      <c r="D24" s="21"/>
      <c r="E24" s="21"/>
      <c r="F24" s="21"/>
      <c r="G24" s="21"/>
      <c r="H24" s="21"/>
      <c r="I24" s="21"/>
      <c r="J24" s="25">
        <v>98000</v>
      </c>
      <c r="K24" s="25"/>
      <c r="L24" s="25"/>
      <c r="M24" s="25"/>
      <c r="N24" s="25">
        <v>64000</v>
      </c>
      <c r="O24" s="25">
        <v>574000</v>
      </c>
      <c r="P24" s="25"/>
      <c r="Q24" s="23">
        <v>638000</v>
      </c>
    </row>
    <row r="25" spans="1:18">
      <c r="A25" s="6" t="s">
        <v>414</v>
      </c>
      <c r="B25" s="27">
        <f t="shared" ref="B25:B33" si="1">SUM(K25:O25)</f>
        <v>0</v>
      </c>
      <c r="C25" s="7" t="s">
        <v>407</v>
      </c>
      <c r="D25" s="8"/>
      <c r="E25" s="8"/>
      <c r="F25" s="8"/>
      <c r="G25" s="8"/>
      <c r="H25" s="8"/>
      <c r="I25" s="8"/>
      <c r="J25" s="9"/>
      <c r="K25" s="8"/>
      <c r="L25" s="8"/>
      <c r="M25" s="8"/>
      <c r="N25" s="9"/>
      <c r="O25" s="8"/>
      <c r="P25" s="9"/>
    </row>
    <row r="26" spans="1:18">
      <c r="A26" s="6" t="s">
        <v>146</v>
      </c>
      <c r="B26" s="27">
        <f t="shared" si="1"/>
        <v>120000</v>
      </c>
      <c r="C26" s="7"/>
      <c r="D26" s="8"/>
      <c r="E26" s="8"/>
      <c r="F26" s="8"/>
      <c r="G26" s="8"/>
      <c r="H26" s="8">
        <v>8</v>
      </c>
      <c r="I26" s="8" t="s">
        <v>383</v>
      </c>
      <c r="J26" s="9">
        <v>15000</v>
      </c>
      <c r="K26" s="8"/>
      <c r="L26" s="8"/>
      <c r="M26" s="8"/>
      <c r="N26" s="9"/>
      <c r="O26" s="9">
        <v>120000</v>
      </c>
      <c r="P26" s="9"/>
    </row>
    <row r="27" spans="1:18">
      <c r="A27" s="6" t="s">
        <v>147</v>
      </c>
      <c r="B27" s="27">
        <f t="shared" si="1"/>
        <v>120000</v>
      </c>
      <c r="C27" s="7"/>
      <c r="D27" s="8"/>
      <c r="E27" s="8"/>
      <c r="F27" s="8"/>
      <c r="G27" s="8"/>
      <c r="H27" s="8">
        <v>8</v>
      </c>
      <c r="I27" s="8" t="s">
        <v>383</v>
      </c>
      <c r="J27" s="9">
        <v>15000</v>
      </c>
      <c r="K27" s="8"/>
      <c r="L27" s="8"/>
      <c r="M27" s="8"/>
      <c r="N27" s="9"/>
      <c r="O27" s="9">
        <v>120000</v>
      </c>
      <c r="P27" s="9"/>
    </row>
    <row r="28" spans="1:18">
      <c r="A28" s="6" t="s">
        <v>148</v>
      </c>
      <c r="B28" s="27">
        <f t="shared" si="1"/>
        <v>120000</v>
      </c>
      <c r="C28" s="7"/>
      <c r="D28" s="8"/>
      <c r="E28" s="8"/>
      <c r="F28" s="8"/>
      <c r="G28" s="8"/>
      <c r="H28" s="8">
        <v>8</v>
      </c>
      <c r="I28" s="8" t="s">
        <v>383</v>
      </c>
      <c r="J28" s="9">
        <v>15000</v>
      </c>
      <c r="K28" s="8"/>
      <c r="L28" s="8"/>
      <c r="M28" s="8"/>
      <c r="N28" s="9"/>
      <c r="O28" s="9">
        <v>120000</v>
      </c>
      <c r="P28" s="9"/>
    </row>
    <row r="29" spans="1:18">
      <c r="A29" s="6" t="s">
        <v>415</v>
      </c>
      <c r="B29" s="27">
        <f t="shared" si="1"/>
        <v>0</v>
      </c>
      <c r="C29" s="7" t="s">
        <v>408</v>
      </c>
      <c r="D29" s="8"/>
      <c r="E29" s="8"/>
      <c r="F29" s="8"/>
      <c r="G29" s="8"/>
      <c r="H29" s="8">
        <v>15</v>
      </c>
      <c r="I29" s="8" t="s">
        <v>383</v>
      </c>
      <c r="J29" s="9">
        <v>15000</v>
      </c>
      <c r="K29" s="8"/>
      <c r="L29" s="8"/>
      <c r="M29" s="8"/>
      <c r="N29" s="9"/>
      <c r="O29" s="8"/>
      <c r="P29" s="9"/>
    </row>
    <row r="30" spans="1:18">
      <c r="A30" s="6" t="s">
        <v>416</v>
      </c>
      <c r="B30" s="27">
        <f t="shared" si="1"/>
        <v>0</v>
      </c>
      <c r="C30" s="7" t="s">
        <v>407</v>
      </c>
      <c r="D30" s="8"/>
      <c r="E30" s="8"/>
      <c r="F30" s="8"/>
      <c r="G30" s="8"/>
      <c r="H30" s="8"/>
      <c r="I30" s="8"/>
      <c r="J30" s="9"/>
      <c r="K30" s="8"/>
      <c r="L30" s="8"/>
      <c r="M30" s="8"/>
      <c r="N30" s="9"/>
      <c r="O30" s="8"/>
      <c r="P30" s="9"/>
    </row>
    <row r="31" spans="1:18">
      <c r="A31" s="6" t="s">
        <v>150</v>
      </c>
      <c r="B31" s="27">
        <f t="shared" si="1"/>
        <v>128000</v>
      </c>
      <c r="C31" s="7"/>
      <c r="D31" s="8"/>
      <c r="E31" s="8"/>
      <c r="F31" s="8"/>
      <c r="G31" s="8">
        <v>8</v>
      </c>
      <c r="H31" s="8">
        <v>8</v>
      </c>
      <c r="I31" s="8" t="s">
        <v>384</v>
      </c>
      <c r="J31" s="9">
        <v>8000</v>
      </c>
      <c r="K31" s="8"/>
      <c r="L31" s="8"/>
      <c r="M31" s="8"/>
      <c r="N31" s="9">
        <v>64000</v>
      </c>
      <c r="O31" s="9">
        <v>64000</v>
      </c>
      <c r="P31" s="9"/>
    </row>
    <row r="32" spans="1:18">
      <c r="A32" s="6" t="s">
        <v>151</v>
      </c>
      <c r="B32" s="27">
        <f t="shared" si="1"/>
        <v>75000</v>
      </c>
      <c r="C32" s="7" t="s">
        <v>407</v>
      </c>
      <c r="D32" s="8"/>
      <c r="E32" s="8"/>
      <c r="F32" s="8"/>
      <c r="G32" s="8"/>
      <c r="H32" s="8">
        <v>5</v>
      </c>
      <c r="I32" s="8" t="s">
        <v>383</v>
      </c>
      <c r="J32" s="9">
        <v>15000</v>
      </c>
      <c r="K32" s="8"/>
      <c r="L32" s="8"/>
      <c r="M32" s="8"/>
      <c r="N32" s="9"/>
      <c r="O32" s="9">
        <v>75000</v>
      </c>
      <c r="P32" s="9"/>
    </row>
    <row r="33" spans="1:17">
      <c r="A33" s="6" t="s">
        <v>152</v>
      </c>
      <c r="B33" s="27">
        <f t="shared" si="1"/>
        <v>75000</v>
      </c>
      <c r="C33" s="7" t="s">
        <v>407</v>
      </c>
      <c r="D33" s="8"/>
      <c r="E33" s="8"/>
      <c r="F33" s="8"/>
      <c r="G33" s="8"/>
      <c r="H33" s="8">
        <v>5</v>
      </c>
      <c r="I33" s="8" t="s">
        <v>383</v>
      </c>
      <c r="J33" s="9">
        <v>15000</v>
      </c>
      <c r="K33" s="8"/>
      <c r="L33" s="8"/>
      <c r="M33" s="8"/>
      <c r="N33" s="9"/>
      <c r="O33" s="9">
        <v>75000</v>
      </c>
      <c r="P33" s="9"/>
    </row>
    <row r="34" spans="1:17" s="24" customFormat="1" ht="15" customHeight="1">
      <c r="A34" s="19" t="s">
        <v>395</v>
      </c>
      <c r="B34" s="26">
        <f>B35</f>
        <v>75000</v>
      </c>
      <c r="C34" s="20"/>
      <c r="D34" s="21"/>
      <c r="E34" s="21"/>
      <c r="F34" s="21"/>
      <c r="G34" s="21"/>
      <c r="H34" s="21"/>
      <c r="I34" s="21"/>
      <c r="J34" s="25">
        <v>75000</v>
      </c>
      <c r="K34" s="25">
        <v>0</v>
      </c>
      <c r="L34" s="25">
        <v>0</v>
      </c>
      <c r="M34" s="25">
        <v>0</v>
      </c>
      <c r="N34" s="25">
        <v>75000</v>
      </c>
      <c r="O34" s="25">
        <v>0</v>
      </c>
      <c r="P34" s="25"/>
      <c r="Q34" s="23">
        <v>75000</v>
      </c>
    </row>
    <row r="35" spans="1:17" ht="15" customHeight="1">
      <c r="A35" s="6" t="s">
        <v>154</v>
      </c>
      <c r="B35" s="27">
        <f>SUM(K35:O35)</f>
        <v>75000</v>
      </c>
      <c r="C35" s="7" t="s">
        <v>407</v>
      </c>
      <c r="D35" s="8"/>
      <c r="E35" s="8"/>
      <c r="F35" s="8"/>
      <c r="G35" s="8">
        <v>1</v>
      </c>
      <c r="H35" s="8"/>
      <c r="I35" s="8" t="s">
        <v>354</v>
      </c>
      <c r="J35" s="9">
        <v>75000</v>
      </c>
      <c r="K35" s="8"/>
      <c r="L35" s="8"/>
      <c r="M35" s="8"/>
      <c r="N35" s="9">
        <v>75000</v>
      </c>
      <c r="O35" s="9"/>
      <c r="P35" s="9"/>
    </row>
    <row r="36" spans="1:17" s="24" customFormat="1">
      <c r="A36" s="19" t="s">
        <v>396</v>
      </c>
      <c r="B36" s="26">
        <f>B37</f>
        <v>28000</v>
      </c>
      <c r="C36" s="20"/>
      <c r="D36" s="21"/>
      <c r="E36" s="21"/>
      <c r="F36" s="21"/>
      <c r="G36" s="21"/>
      <c r="H36" s="21"/>
      <c r="I36" s="21"/>
      <c r="J36" s="25">
        <v>1000</v>
      </c>
      <c r="K36" s="25">
        <v>0</v>
      </c>
      <c r="L36" s="25">
        <v>0</v>
      </c>
      <c r="M36" s="25">
        <v>0</v>
      </c>
      <c r="N36" s="25">
        <v>0</v>
      </c>
      <c r="O36" s="25">
        <v>28000</v>
      </c>
      <c r="P36" s="25"/>
      <c r="Q36" s="23">
        <v>28000</v>
      </c>
    </row>
    <row r="37" spans="1:17">
      <c r="A37" s="6" t="s">
        <v>156</v>
      </c>
      <c r="B37" s="27">
        <f>SUM(K37:O37)</f>
        <v>28000</v>
      </c>
      <c r="C37" s="7" t="s">
        <v>408</v>
      </c>
      <c r="D37" s="8"/>
      <c r="E37" s="8"/>
      <c r="F37" s="8"/>
      <c r="G37" s="8"/>
      <c r="H37" s="8">
        <v>28</v>
      </c>
      <c r="I37" s="14"/>
      <c r="J37" s="15">
        <v>1000</v>
      </c>
      <c r="K37" s="18">
        <v>0</v>
      </c>
      <c r="L37" s="18">
        <v>0</v>
      </c>
      <c r="M37" s="18">
        <v>0</v>
      </c>
      <c r="N37" s="18">
        <v>0</v>
      </c>
      <c r="O37" s="18">
        <v>28000</v>
      </c>
      <c r="P37" s="9"/>
    </row>
    <row r="38" spans="1:17" s="24" customFormat="1" ht="15" customHeight="1">
      <c r="A38" s="19" t="s">
        <v>397</v>
      </c>
      <c r="B38" s="26">
        <f>B39</f>
        <v>50000</v>
      </c>
      <c r="C38" s="20"/>
      <c r="D38" s="21"/>
      <c r="E38" s="21"/>
      <c r="F38" s="21"/>
      <c r="G38" s="21"/>
      <c r="H38" s="21"/>
      <c r="I38" s="21"/>
      <c r="J38" s="25">
        <v>50000</v>
      </c>
      <c r="K38" s="25">
        <v>0</v>
      </c>
      <c r="L38" s="25">
        <v>0</v>
      </c>
      <c r="M38" s="25">
        <v>0</v>
      </c>
      <c r="N38" s="25">
        <v>50000</v>
      </c>
      <c r="O38" s="25">
        <v>0</v>
      </c>
      <c r="P38" s="25"/>
      <c r="Q38" s="23">
        <v>50000</v>
      </c>
    </row>
    <row r="39" spans="1:17">
      <c r="A39" s="6" t="s">
        <v>158</v>
      </c>
      <c r="B39" s="27">
        <f>SUM(K39:O39)</f>
        <v>50000</v>
      </c>
      <c r="C39" s="7" t="s">
        <v>407</v>
      </c>
      <c r="D39" s="8"/>
      <c r="E39" s="8"/>
      <c r="F39" s="8"/>
      <c r="G39" s="8">
        <v>1</v>
      </c>
      <c r="H39" s="8"/>
      <c r="I39" s="8" t="s">
        <v>354</v>
      </c>
      <c r="J39" s="9">
        <v>50000</v>
      </c>
      <c r="K39" s="8"/>
      <c r="L39" s="8"/>
      <c r="M39" s="8"/>
      <c r="N39" s="9">
        <v>50000</v>
      </c>
      <c r="O39" s="8"/>
      <c r="P39" s="9"/>
    </row>
    <row r="40" spans="1:17" s="24" customFormat="1" ht="15" customHeight="1">
      <c r="A40" s="19" t="s">
        <v>398</v>
      </c>
      <c r="B40" s="26">
        <f>SUM(B41:B43)</f>
        <v>200000</v>
      </c>
      <c r="C40" s="20"/>
      <c r="D40" s="21"/>
      <c r="E40" s="21"/>
      <c r="F40" s="21"/>
      <c r="G40" s="21"/>
      <c r="H40" s="21"/>
      <c r="I40" s="21"/>
      <c r="J40" s="25">
        <v>200000</v>
      </c>
      <c r="K40" s="25">
        <v>0</v>
      </c>
      <c r="L40" s="25">
        <v>0</v>
      </c>
      <c r="M40" s="25">
        <v>0</v>
      </c>
      <c r="N40" s="25">
        <v>200000</v>
      </c>
      <c r="O40" s="25">
        <v>0</v>
      </c>
      <c r="P40" s="25"/>
      <c r="Q40" s="23">
        <v>200000</v>
      </c>
    </row>
    <row r="41" spans="1:17">
      <c r="A41" s="6" t="s">
        <v>160</v>
      </c>
      <c r="B41" s="27">
        <f t="shared" ref="B41:B43" si="2">SUM(K41:O41)</f>
        <v>100000</v>
      </c>
      <c r="C41" s="7" t="s">
        <v>408</v>
      </c>
      <c r="D41" s="8"/>
      <c r="E41" s="8"/>
      <c r="F41" s="8"/>
      <c r="G41" s="8">
        <v>1</v>
      </c>
      <c r="H41" s="8"/>
      <c r="I41" s="8" t="s">
        <v>354</v>
      </c>
      <c r="J41" s="9">
        <v>100000</v>
      </c>
      <c r="K41" s="8"/>
      <c r="L41" s="8"/>
      <c r="M41" s="8"/>
      <c r="N41" s="9">
        <v>100000</v>
      </c>
      <c r="O41" s="8"/>
      <c r="P41" s="9"/>
    </row>
    <row r="42" spans="1:17">
      <c r="A42" s="6" t="s">
        <v>161</v>
      </c>
      <c r="B42" s="27">
        <f t="shared" si="2"/>
        <v>50000</v>
      </c>
      <c r="C42" s="7" t="s">
        <v>408</v>
      </c>
      <c r="D42" s="8"/>
      <c r="E42" s="8"/>
      <c r="F42" s="8"/>
      <c r="G42" s="8">
        <v>1</v>
      </c>
      <c r="H42" s="8"/>
      <c r="I42" s="8" t="s">
        <v>354</v>
      </c>
      <c r="J42" s="9">
        <v>50000</v>
      </c>
      <c r="K42" s="8"/>
      <c r="L42" s="8"/>
      <c r="M42" s="8"/>
      <c r="N42" s="9">
        <v>50000</v>
      </c>
      <c r="O42" s="8"/>
      <c r="P42" s="9"/>
    </row>
    <row r="43" spans="1:17">
      <c r="A43" s="6" t="s">
        <v>162</v>
      </c>
      <c r="B43" s="27">
        <f t="shared" si="2"/>
        <v>50000</v>
      </c>
      <c r="C43" s="7" t="s">
        <v>408</v>
      </c>
      <c r="D43" s="8"/>
      <c r="E43" s="8"/>
      <c r="F43" s="8"/>
      <c r="G43" s="8">
        <v>1</v>
      </c>
      <c r="H43" s="8"/>
      <c r="I43" s="8" t="s">
        <v>354</v>
      </c>
      <c r="J43" s="9">
        <v>50000</v>
      </c>
      <c r="K43" s="8"/>
      <c r="L43" s="8"/>
      <c r="M43" s="8"/>
      <c r="N43" s="9">
        <v>50000</v>
      </c>
      <c r="O43" s="8"/>
      <c r="P43" s="9"/>
    </row>
    <row r="44" spans="1:17" s="24" customFormat="1" ht="15" customHeight="1">
      <c r="A44" s="19" t="s">
        <v>399</v>
      </c>
      <c r="B44" s="26">
        <f>B45+B46</f>
        <v>450000</v>
      </c>
      <c r="C44" s="20"/>
      <c r="D44" s="21"/>
      <c r="E44" s="21"/>
      <c r="F44" s="21"/>
      <c r="G44" s="21"/>
      <c r="H44" s="21"/>
      <c r="I44" s="21"/>
      <c r="J44" s="25">
        <v>450000</v>
      </c>
      <c r="K44" s="25">
        <v>0</v>
      </c>
      <c r="L44" s="25">
        <v>0</v>
      </c>
      <c r="M44" s="25">
        <v>0</v>
      </c>
      <c r="N44" s="25">
        <v>150000</v>
      </c>
      <c r="O44" s="25">
        <v>300000</v>
      </c>
      <c r="P44" s="25"/>
      <c r="Q44" s="23">
        <v>450000</v>
      </c>
    </row>
    <row r="45" spans="1:17">
      <c r="A45" s="6" t="s">
        <v>164</v>
      </c>
      <c r="B45" s="27">
        <f t="shared" ref="B45:B46" si="3">SUM(K45:O45)</f>
        <v>150000</v>
      </c>
      <c r="C45" s="7" t="s">
        <v>407</v>
      </c>
      <c r="D45" s="8"/>
      <c r="E45" s="8"/>
      <c r="F45" s="8"/>
      <c r="G45" s="8">
        <v>1</v>
      </c>
      <c r="H45" s="8"/>
      <c r="I45" s="8" t="s">
        <v>354</v>
      </c>
      <c r="J45" s="9">
        <v>150000</v>
      </c>
      <c r="K45" s="8"/>
      <c r="L45" s="8"/>
      <c r="M45" s="8"/>
      <c r="N45" s="9">
        <v>150000</v>
      </c>
      <c r="O45" s="8"/>
      <c r="P45" s="9"/>
    </row>
    <row r="46" spans="1:17" ht="15" customHeight="1">
      <c r="A46" s="6" t="s">
        <v>165</v>
      </c>
      <c r="B46" s="27">
        <f t="shared" si="3"/>
        <v>300000</v>
      </c>
      <c r="C46" s="7" t="s">
        <v>407</v>
      </c>
      <c r="D46" s="8"/>
      <c r="E46" s="8"/>
      <c r="F46" s="8"/>
      <c r="G46" s="8"/>
      <c r="H46" s="8">
        <v>1</v>
      </c>
      <c r="I46" s="8"/>
      <c r="J46" s="9">
        <v>300000</v>
      </c>
      <c r="K46" s="8"/>
      <c r="L46" s="8"/>
      <c r="M46" s="8"/>
      <c r="N46" s="9"/>
      <c r="O46" s="9">
        <v>300000</v>
      </c>
      <c r="P46" s="9"/>
    </row>
    <row r="47" spans="1:17" s="24" customFormat="1">
      <c r="A47" s="19" t="s">
        <v>166</v>
      </c>
      <c r="B47" s="26">
        <f>B48+B49</f>
        <v>3000000</v>
      </c>
      <c r="C47" s="20"/>
      <c r="D47" s="21"/>
      <c r="E47" s="21"/>
      <c r="F47" s="21"/>
      <c r="G47" s="21"/>
      <c r="H47" s="21"/>
      <c r="I47" s="21"/>
      <c r="J47" s="25">
        <v>625000</v>
      </c>
      <c r="K47" s="25">
        <v>0</v>
      </c>
      <c r="L47" s="25">
        <v>0</v>
      </c>
      <c r="M47" s="25">
        <v>0</v>
      </c>
      <c r="N47" s="25">
        <v>1750000</v>
      </c>
      <c r="O47" s="25">
        <v>1250000</v>
      </c>
      <c r="P47" s="25"/>
      <c r="Q47" s="23">
        <v>3000000</v>
      </c>
    </row>
    <row r="48" spans="1:17">
      <c r="A48" s="6" t="s">
        <v>167</v>
      </c>
      <c r="B48" s="27">
        <f t="shared" ref="B48:B49" si="4">SUM(K48:O48)</f>
        <v>500000</v>
      </c>
      <c r="C48" s="7" t="s">
        <v>406</v>
      </c>
      <c r="D48" s="8"/>
      <c r="E48" s="8"/>
      <c r="F48" s="8"/>
      <c r="G48" s="8">
        <v>1</v>
      </c>
      <c r="H48" s="8"/>
      <c r="I48" s="8" t="s">
        <v>354</v>
      </c>
      <c r="J48" s="9">
        <v>500000</v>
      </c>
      <c r="K48" s="8"/>
      <c r="L48" s="8"/>
      <c r="M48" s="8"/>
      <c r="N48" s="9">
        <v>500000</v>
      </c>
      <c r="O48" s="8"/>
      <c r="P48" s="9"/>
    </row>
    <row r="49" spans="1:17">
      <c r="A49" s="6" t="s">
        <v>168</v>
      </c>
      <c r="B49" s="27">
        <f t="shared" si="4"/>
        <v>2500000</v>
      </c>
      <c r="C49" s="7" t="s">
        <v>406</v>
      </c>
      <c r="D49" s="8"/>
      <c r="E49" s="8"/>
      <c r="F49" s="8"/>
      <c r="G49" s="8">
        <v>10</v>
      </c>
      <c r="H49" s="8">
        <v>10</v>
      </c>
      <c r="I49" s="8" t="s">
        <v>355</v>
      </c>
      <c r="J49" s="9">
        <v>125000</v>
      </c>
      <c r="K49" s="8"/>
      <c r="L49" s="8"/>
      <c r="M49" s="8"/>
      <c r="N49" s="9">
        <v>1250000</v>
      </c>
      <c r="O49" s="9">
        <v>1250000</v>
      </c>
      <c r="P49" s="9"/>
    </row>
    <row r="50" spans="1:17">
      <c r="A50" s="28" t="s">
        <v>434</v>
      </c>
      <c r="B50" s="29">
        <f>B3+B6+B11+B19+B24+B34+B36+B38+B40+B44+B47</f>
        <v>73060155.24328357</v>
      </c>
      <c r="J50" s="16">
        <v>44748255.013432823</v>
      </c>
      <c r="K50" s="16">
        <v>0</v>
      </c>
      <c r="L50" s="16">
        <v>0</v>
      </c>
      <c r="M50" s="16">
        <v>0</v>
      </c>
      <c r="N50" s="16">
        <v>3029000</v>
      </c>
      <c r="O50" s="16">
        <v>71183692.556716412</v>
      </c>
      <c r="P50" s="16">
        <v>74212692.556716412</v>
      </c>
    </row>
    <row r="51" spans="1:17">
      <c r="J51" s="16"/>
      <c r="K51" s="16"/>
      <c r="L51" s="16"/>
      <c r="M51" s="16"/>
      <c r="N51" s="16"/>
      <c r="O51" s="16"/>
      <c r="P51" s="16">
        <v>39495820.895522378</v>
      </c>
      <c r="Q51" s="1" t="s">
        <v>428</v>
      </c>
    </row>
    <row r="52" spans="1:17">
      <c r="P52" s="16">
        <v>29535871.661194026</v>
      </c>
      <c r="Q52" s="1" t="s">
        <v>429</v>
      </c>
    </row>
    <row r="53" spans="1:17">
      <c r="P53" s="16">
        <v>5181000.0000000075</v>
      </c>
      <c r="Q53" s="1" t="s">
        <v>430</v>
      </c>
    </row>
  </sheetData>
  <mergeCells count="8">
    <mergeCell ref="P1:P2"/>
    <mergeCell ref="B1:B2"/>
    <mergeCell ref="A1:A2"/>
    <mergeCell ref="C1:C2"/>
    <mergeCell ref="D1:H1"/>
    <mergeCell ref="I1:I2"/>
    <mergeCell ref="J1:J2"/>
    <mergeCell ref="K1:O1"/>
  </mergeCells>
  <pageMargins left="0.7" right="0.7" top="0.75" bottom="0.75" header="0.3" footer="0.3"/>
  <ignoredErrors>
    <ignoredError sqref="B15 B4:B11 B16:B49" formulaRange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1EFD79-C3E8-1C4C-8B98-FF17DDA98FF1}">
  <dimension ref="B1:T36"/>
  <sheetViews>
    <sheetView workbookViewId="0" xr3:uid="{DB61C716-81FC-56B1-BEDF-601D9F597D98}">
      <selection activeCell="A13" sqref="A13"/>
    </sheetView>
  </sheetViews>
  <sheetFormatPr defaultColWidth="10.875" defaultRowHeight="15"/>
  <cols>
    <col min="1" max="1" width="10.875" style="32"/>
    <col min="2" max="2" width="41.875" style="32" bestFit="1" customWidth="1"/>
    <col min="3" max="3" width="9.625" style="32" customWidth="1"/>
    <col min="4" max="4" width="13.625" style="32" customWidth="1"/>
    <col min="5" max="8" width="12.875" style="32" customWidth="1"/>
    <col min="9" max="9" width="14.375" style="32" bestFit="1" customWidth="1"/>
    <col min="10" max="10" width="13.125" style="32" customWidth="1"/>
    <col min="11" max="13" width="12.875" style="32" bestFit="1" customWidth="1"/>
    <col min="14" max="20" width="12" style="32" bestFit="1" customWidth="1"/>
    <col min="21" max="16384" width="10.875" style="32"/>
  </cols>
  <sheetData>
    <row r="1" spans="2:20">
      <c r="D1" s="32" t="s">
        <v>435</v>
      </c>
      <c r="E1" s="32" t="s">
        <v>436</v>
      </c>
      <c r="I1" s="32" t="s">
        <v>435</v>
      </c>
      <c r="J1" s="32" t="s">
        <v>436</v>
      </c>
      <c r="N1" s="32" t="s">
        <v>437</v>
      </c>
      <c r="O1" s="32">
        <v>3.35</v>
      </c>
    </row>
    <row r="2" spans="2:20">
      <c r="B2" s="32" t="s">
        <v>438</v>
      </c>
      <c r="D2" s="33">
        <v>72646241.317489281</v>
      </c>
      <c r="E2" s="38">
        <f>D2/$O$1</f>
        <v>21685445.169399787</v>
      </c>
      <c r="G2" s="32" t="s">
        <v>439</v>
      </c>
      <c r="I2" s="33">
        <v>44306948.847400077</v>
      </c>
      <c r="J2" s="38">
        <f>I2/$O$1</f>
        <v>13225954.879820919</v>
      </c>
    </row>
    <row r="3" spans="2:20">
      <c r="D3" s="34">
        <f>D2</f>
        <v>72646241.317489281</v>
      </c>
      <c r="E3" s="34">
        <f>D3/$O$1</f>
        <v>21685445.169399787</v>
      </c>
      <c r="I3" s="34">
        <f>I2</f>
        <v>44306948.847400077</v>
      </c>
      <c r="J3" s="34">
        <f>I3/$O$1</f>
        <v>13225954.879820919</v>
      </c>
    </row>
    <row r="4" spans="2:20">
      <c r="D4" s="34">
        <f>D3</f>
        <v>72646241.317489281</v>
      </c>
      <c r="E4" s="34">
        <f>D4/$O$1</f>
        <v>21685445.169399787</v>
      </c>
      <c r="I4" s="34">
        <f>I3</f>
        <v>44306948.847400077</v>
      </c>
      <c r="J4" s="34">
        <f>I4/$O$1</f>
        <v>13225954.879820919</v>
      </c>
    </row>
    <row r="5" spans="2:20">
      <c r="B5" s="32" t="s">
        <v>392</v>
      </c>
      <c r="E5" s="34">
        <v>500000</v>
      </c>
    </row>
    <row r="7" spans="2:20">
      <c r="B7" s="58" t="s">
        <v>440</v>
      </c>
      <c r="C7" s="59"/>
      <c r="D7" s="352" t="s">
        <v>441</v>
      </c>
      <c r="E7" s="352"/>
      <c r="F7" s="352"/>
      <c r="G7" s="352"/>
      <c r="H7" s="352"/>
      <c r="I7" s="353" t="s">
        <v>442</v>
      </c>
      <c r="J7" s="353"/>
      <c r="K7" s="353"/>
      <c r="L7" s="353"/>
      <c r="M7" s="353"/>
      <c r="N7" s="353"/>
      <c r="O7" s="353"/>
      <c r="P7" s="353"/>
      <c r="Q7" s="353"/>
      <c r="R7" s="353"/>
      <c r="S7" s="353"/>
      <c r="T7" s="353"/>
    </row>
    <row r="8" spans="2:20" s="35" customFormat="1">
      <c r="B8" s="54"/>
      <c r="C8" s="54"/>
      <c r="D8" s="56">
        <v>2019</v>
      </c>
      <c r="E8" s="56">
        <v>2020</v>
      </c>
      <c r="F8" s="56">
        <v>2021</v>
      </c>
      <c r="G8" s="56">
        <v>2022</v>
      </c>
      <c r="H8" s="56">
        <v>2023</v>
      </c>
      <c r="I8" s="57">
        <v>2024</v>
      </c>
      <c r="J8" s="57">
        <v>2025</v>
      </c>
      <c r="K8" s="57">
        <v>2026</v>
      </c>
      <c r="L8" s="57">
        <v>2027</v>
      </c>
      <c r="M8" s="57">
        <v>2028</v>
      </c>
      <c r="N8" s="57">
        <v>2029</v>
      </c>
      <c r="O8" s="57">
        <v>2030</v>
      </c>
      <c r="P8" s="57">
        <v>2031</v>
      </c>
      <c r="Q8" s="57">
        <v>2032</v>
      </c>
      <c r="R8" s="57">
        <v>2033</v>
      </c>
      <c r="S8" s="57">
        <v>2034</v>
      </c>
      <c r="T8" s="57">
        <v>2035</v>
      </c>
    </row>
    <row r="9" spans="2:20">
      <c r="B9" s="32" t="s">
        <v>443</v>
      </c>
      <c r="C9" s="37">
        <v>0.05</v>
      </c>
      <c r="E9" s="34">
        <f>C9*E4</f>
        <v>1084272.2584699893</v>
      </c>
    </row>
    <row r="10" spans="2:20">
      <c r="B10" s="32" t="s">
        <v>131</v>
      </c>
      <c r="C10" s="37">
        <v>0.2</v>
      </c>
      <c r="E10" s="34">
        <f>C10*E9</f>
        <v>216854.45169399786</v>
      </c>
    </row>
    <row r="11" spans="2:20">
      <c r="B11" s="32" t="s">
        <v>444</v>
      </c>
      <c r="F11" s="34">
        <f>0.2*E4</f>
        <v>4337089.0338799572</v>
      </c>
      <c r="G11" s="34">
        <f>0.5*E4</f>
        <v>10842722.584699893</v>
      </c>
      <c r="H11" s="34">
        <f>0.3*E4</f>
        <v>6505633.5508199362</v>
      </c>
    </row>
    <row r="12" spans="2:20">
      <c r="B12" s="32" t="s">
        <v>133</v>
      </c>
      <c r="C12" s="37">
        <v>0.08</v>
      </c>
      <c r="F12" s="34">
        <f>F11*$C12</f>
        <v>346967.12271039659</v>
      </c>
      <c r="G12" s="34">
        <f>G11*$C12</f>
        <v>867417.80677599146</v>
      </c>
      <c r="H12" s="34">
        <f>H11*$C12</f>
        <v>520450.68406559492</v>
      </c>
    </row>
    <row r="13" spans="2:20">
      <c r="B13" s="32" t="s">
        <v>445</v>
      </c>
      <c r="E13" s="34"/>
      <c r="F13" s="34"/>
      <c r="G13" s="34">
        <f>0.2*J4</f>
        <v>2645190.9759641839</v>
      </c>
      <c r="H13" s="34">
        <f>0.8*J4</f>
        <v>10580763.903856736</v>
      </c>
    </row>
    <row r="14" spans="2:20">
      <c r="B14" s="32" t="s">
        <v>446</v>
      </c>
      <c r="C14" s="37">
        <v>0.03</v>
      </c>
      <c r="G14" s="34">
        <f>$C14*G13</f>
        <v>79355.729278925515</v>
      </c>
      <c r="H14" s="34">
        <f>$C14*H13</f>
        <v>317422.91711570206</v>
      </c>
    </row>
    <row r="15" spans="2:20">
      <c r="B15" s="41" t="s">
        <v>392</v>
      </c>
      <c r="C15" s="40">
        <v>0.25</v>
      </c>
      <c r="D15" s="41"/>
      <c r="E15" s="42">
        <f>$E$5*$C$15</f>
        <v>125000</v>
      </c>
      <c r="F15" s="42">
        <f t="shared" ref="F15:H15" si="0">$E$5*$C$15</f>
        <v>125000</v>
      </c>
      <c r="G15" s="42">
        <f t="shared" si="0"/>
        <v>125000</v>
      </c>
      <c r="H15" s="42">
        <f t="shared" si="0"/>
        <v>125000</v>
      </c>
    </row>
    <row r="16" spans="2:20" s="35" customFormat="1">
      <c r="B16" s="54" t="s">
        <v>447</v>
      </c>
      <c r="C16" s="54"/>
      <c r="D16" s="55">
        <f>SUM(D9:D15)</f>
        <v>0</v>
      </c>
      <c r="E16" s="55">
        <f>SUM(E9:E15)</f>
        <v>1426126.7101639872</v>
      </c>
      <c r="F16" s="55">
        <f t="shared" ref="F16:H16" si="1">SUM(F9:F15)</f>
        <v>4809056.1565903537</v>
      </c>
      <c r="G16" s="55">
        <f t="shared" si="1"/>
        <v>14559687.096718993</v>
      </c>
      <c r="H16" s="55">
        <f t="shared" si="1"/>
        <v>18049271.055857971</v>
      </c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</row>
    <row r="17" spans="2:20">
      <c r="B17" s="32" t="s">
        <v>448</v>
      </c>
      <c r="C17" s="37">
        <v>0.02</v>
      </c>
      <c r="I17" s="34">
        <f>$C$17*$E$4</f>
        <v>433708.90338799573</v>
      </c>
      <c r="J17" s="34">
        <f t="shared" ref="J17:T17" si="2">$C$17*$E$4</f>
        <v>433708.90338799573</v>
      </c>
      <c r="K17" s="34">
        <f t="shared" si="2"/>
        <v>433708.90338799573</v>
      </c>
      <c r="L17" s="34">
        <f t="shared" si="2"/>
        <v>433708.90338799573</v>
      </c>
      <c r="M17" s="34">
        <f t="shared" si="2"/>
        <v>433708.90338799573</v>
      </c>
      <c r="N17" s="34">
        <f t="shared" si="2"/>
        <v>433708.90338799573</v>
      </c>
      <c r="O17" s="34">
        <f>$C$17*$E$4</f>
        <v>433708.90338799573</v>
      </c>
      <c r="P17" s="34">
        <f t="shared" si="2"/>
        <v>433708.90338799573</v>
      </c>
      <c r="Q17" s="34">
        <f t="shared" si="2"/>
        <v>433708.90338799573</v>
      </c>
      <c r="R17" s="34">
        <f t="shared" si="2"/>
        <v>433708.90338799573</v>
      </c>
      <c r="S17" s="34">
        <f t="shared" si="2"/>
        <v>433708.90338799573</v>
      </c>
      <c r="T17" s="34">
        <f t="shared" si="2"/>
        <v>433708.90338799573</v>
      </c>
    </row>
    <row r="18" spans="2:20">
      <c r="B18" s="32" t="s">
        <v>449</v>
      </c>
      <c r="C18" s="37">
        <v>0.05</v>
      </c>
      <c r="I18" s="34">
        <f>$C$18*$J$4</f>
        <v>661297.74399104598</v>
      </c>
      <c r="J18" s="34">
        <f t="shared" ref="J18:T18" si="3">$C$18*$J$4</f>
        <v>661297.74399104598</v>
      </c>
      <c r="K18" s="34">
        <f t="shared" si="3"/>
        <v>661297.74399104598</v>
      </c>
      <c r="L18" s="34">
        <f t="shared" si="3"/>
        <v>661297.74399104598</v>
      </c>
      <c r="M18" s="34">
        <f t="shared" si="3"/>
        <v>661297.74399104598</v>
      </c>
      <c r="N18" s="34">
        <f t="shared" si="3"/>
        <v>661297.74399104598</v>
      </c>
      <c r="O18" s="34">
        <f t="shared" si="3"/>
        <v>661297.74399104598</v>
      </c>
      <c r="P18" s="34">
        <f t="shared" si="3"/>
        <v>661297.74399104598</v>
      </c>
      <c r="Q18" s="34">
        <f t="shared" si="3"/>
        <v>661297.74399104598</v>
      </c>
      <c r="R18" s="34">
        <f t="shared" si="3"/>
        <v>661297.74399104598</v>
      </c>
      <c r="S18" s="34">
        <f>$C$18*$J$4</f>
        <v>661297.74399104598</v>
      </c>
      <c r="T18" s="34">
        <f t="shared" si="3"/>
        <v>661297.74399104598</v>
      </c>
    </row>
    <row r="19" spans="2:20">
      <c r="B19" s="32" t="s">
        <v>450</v>
      </c>
      <c r="C19" s="53">
        <v>2.8500000000000001E-2</v>
      </c>
      <c r="I19" s="34">
        <f>$C$19*($E$4+$J$4)</f>
        <v>994974.9014027901</v>
      </c>
      <c r="J19" s="34">
        <f t="shared" ref="J19:T19" si="4">$C$19*($E$4+$J$4)</f>
        <v>994974.9014027901</v>
      </c>
      <c r="K19" s="34">
        <f t="shared" si="4"/>
        <v>994974.9014027901</v>
      </c>
      <c r="L19" s="34">
        <f t="shared" si="4"/>
        <v>994974.9014027901</v>
      </c>
      <c r="M19" s="34">
        <f t="shared" si="4"/>
        <v>994974.9014027901</v>
      </c>
      <c r="N19" s="34">
        <f t="shared" si="4"/>
        <v>994974.9014027901</v>
      </c>
      <c r="O19" s="34">
        <f t="shared" si="4"/>
        <v>994974.9014027901</v>
      </c>
      <c r="P19" s="34">
        <f t="shared" si="4"/>
        <v>994974.9014027901</v>
      </c>
      <c r="Q19" s="34">
        <f t="shared" si="4"/>
        <v>994974.9014027901</v>
      </c>
      <c r="R19" s="34">
        <f t="shared" si="4"/>
        <v>994974.9014027901</v>
      </c>
      <c r="S19" s="34">
        <f t="shared" si="4"/>
        <v>994974.9014027901</v>
      </c>
      <c r="T19" s="34">
        <f t="shared" si="4"/>
        <v>994974.9014027901</v>
      </c>
    </row>
    <row r="20" spans="2:20" s="35" customFormat="1">
      <c r="B20" s="54" t="s">
        <v>451</v>
      </c>
      <c r="C20" s="54"/>
      <c r="D20" s="54"/>
      <c r="E20" s="54"/>
      <c r="F20" s="54"/>
      <c r="G20" s="54"/>
      <c r="H20" s="54"/>
      <c r="I20" s="55">
        <f>SUM(I17:I19)</f>
        <v>2089981.5487818317</v>
      </c>
      <c r="J20" s="55">
        <f t="shared" ref="J20:M20" si="5">SUM(J17:J19)</f>
        <v>2089981.5487818317</v>
      </c>
      <c r="K20" s="55">
        <f t="shared" si="5"/>
        <v>2089981.5487818317</v>
      </c>
      <c r="L20" s="55">
        <f t="shared" si="5"/>
        <v>2089981.5487818317</v>
      </c>
      <c r="M20" s="55">
        <f t="shared" si="5"/>
        <v>2089981.5487818317</v>
      </c>
      <c r="N20" s="55">
        <f t="shared" ref="N20" si="6">SUM(N17:N19)</f>
        <v>2089981.5487818317</v>
      </c>
      <c r="O20" s="55">
        <f t="shared" ref="O20" si="7">SUM(O17:O19)</f>
        <v>2089981.5487818317</v>
      </c>
      <c r="P20" s="55">
        <f t="shared" ref="P20:Q20" si="8">SUM(P17:P19)</f>
        <v>2089981.5487818317</v>
      </c>
      <c r="Q20" s="55">
        <f t="shared" si="8"/>
        <v>2089981.5487818317</v>
      </c>
      <c r="R20" s="55">
        <f t="shared" ref="R20" si="9">SUM(R17:R19)</f>
        <v>2089981.5487818317</v>
      </c>
      <c r="S20" s="55">
        <f t="shared" ref="S20" si="10">SUM(S17:S19)</f>
        <v>2089981.5487818317</v>
      </c>
      <c r="T20" s="55">
        <f t="shared" ref="T20" si="11">SUM(T17:T19)</f>
        <v>2089981.5487818317</v>
      </c>
    </row>
    <row r="21" spans="2:20" s="35" customFormat="1">
      <c r="B21" s="46" t="s">
        <v>452</v>
      </c>
      <c r="C21" s="46"/>
      <c r="D21" s="47">
        <f>D16+D20</f>
        <v>0</v>
      </c>
      <c r="E21" s="47">
        <f t="shared" ref="E21:M21" si="12">E16+E20</f>
        <v>1426126.7101639872</v>
      </c>
      <c r="F21" s="47">
        <f t="shared" si="12"/>
        <v>4809056.1565903537</v>
      </c>
      <c r="G21" s="47">
        <f t="shared" si="12"/>
        <v>14559687.096718993</v>
      </c>
      <c r="H21" s="47">
        <f t="shared" si="12"/>
        <v>18049271.055857971</v>
      </c>
      <c r="I21" s="47">
        <f t="shared" si="12"/>
        <v>2089981.5487818317</v>
      </c>
      <c r="J21" s="47">
        <f t="shared" si="12"/>
        <v>2089981.5487818317</v>
      </c>
      <c r="K21" s="47">
        <f t="shared" si="12"/>
        <v>2089981.5487818317</v>
      </c>
      <c r="L21" s="47">
        <f t="shared" si="12"/>
        <v>2089981.5487818317</v>
      </c>
      <c r="M21" s="47">
        <f t="shared" si="12"/>
        <v>2089981.5487818317</v>
      </c>
      <c r="N21" s="47">
        <f>N16+N20</f>
        <v>2089981.5487818317</v>
      </c>
      <c r="O21" s="47">
        <f t="shared" ref="O21" si="13">O16+O20</f>
        <v>2089981.5487818317</v>
      </c>
      <c r="P21" s="47">
        <f t="shared" ref="P21" si="14">P16+P20</f>
        <v>2089981.5487818317</v>
      </c>
      <c r="Q21" s="47">
        <f t="shared" ref="Q21" si="15">Q16+Q20</f>
        <v>2089981.5487818317</v>
      </c>
      <c r="R21" s="47">
        <f t="shared" ref="R21" si="16">R16+R20</f>
        <v>2089981.5487818317</v>
      </c>
      <c r="S21" s="47">
        <f t="shared" ref="S21" si="17">S16+S20</f>
        <v>2089981.5487818317</v>
      </c>
      <c r="T21" s="47">
        <f t="shared" ref="T21" si="18">T16+T20</f>
        <v>2089981.5487818317</v>
      </c>
    </row>
    <row r="22" spans="2:20">
      <c r="D22" s="61">
        <f>SUM(D21:H21)*3.35</f>
        <v>130127872.41475987</v>
      </c>
    </row>
    <row r="26" spans="2:20">
      <c r="B26" s="32" t="s">
        <v>453</v>
      </c>
      <c r="C26" s="32" t="s">
        <v>454</v>
      </c>
      <c r="D26" s="34">
        <v>199989867</v>
      </c>
    </row>
    <row r="27" spans="2:20">
      <c r="B27" s="32" t="s">
        <v>455</v>
      </c>
      <c r="C27" s="32" t="s">
        <v>454</v>
      </c>
      <c r="D27" s="34">
        <v>47569955</v>
      </c>
      <c r="E27" s="34">
        <v>54060062</v>
      </c>
      <c r="F27" s="34">
        <v>61832868</v>
      </c>
      <c r="G27" s="34">
        <v>63481550</v>
      </c>
      <c r="H27" s="34">
        <v>65133718</v>
      </c>
      <c r="I27" s="34">
        <v>65386252</v>
      </c>
      <c r="J27" s="34">
        <v>67181841</v>
      </c>
      <c r="K27" s="34">
        <v>68631836</v>
      </c>
      <c r="L27" s="34">
        <v>69598294</v>
      </c>
      <c r="M27" s="34">
        <v>70416950</v>
      </c>
    </row>
    <row r="28" spans="2:20">
      <c r="B28" s="32" t="s">
        <v>456</v>
      </c>
      <c r="C28" s="32" t="s">
        <v>454</v>
      </c>
      <c r="D28" s="34">
        <v>4405724</v>
      </c>
      <c r="E28" s="34">
        <v>4515867</v>
      </c>
      <c r="F28" s="34">
        <v>4628764</v>
      </c>
      <c r="G28" s="34">
        <v>4744483</v>
      </c>
      <c r="H28" s="34">
        <v>4863095</v>
      </c>
      <c r="I28" s="34">
        <v>4984672</v>
      </c>
      <c r="J28" s="34">
        <v>5109289</v>
      </c>
      <c r="K28" s="34">
        <v>5237021</v>
      </c>
      <c r="L28" s="34">
        <v>5367947</v>
      </c>
      <c r="M28" s="34">
        <v>5502145</v>
      </c>
    </row>
    <row r="30" spans="2:20">
      <c r="D30" s="45">
        <f>D28/D27</f>
        <v>9.261568567807138E-2</v>
      </c>
      <c r="E30" s="45">
        <f t="shared" ref="E30:M30" si="19">E28/E27</f>
        <v>8.3534254918168613E-2</v>
      </c>
      <c r="F30" s="45">
        <f t="shared" si="19"/>
        <v>7.4859280342616491E-2</v>
      </c>
      <c r="G30" s="45">
        <f t="shared" si="19"/>
        <v>7.4737982925747723E-2</v>
      </c>
      <c r="H30" s="45">
        <f t="shared" si="19"/>
        <v>7.4663248918171693E-2</v>
      </c>
      <c r="I30" s="45">
        <f t="shared" si="19"/>
        <v>7.6234251811833478E-2</v>
      </c>
      <c r="J30" s="45">
        <f t="shared" si="19"/>
        <v>7.6051637227387087E-2</v>
      </c>
      <c r="K30" s="45">
        <f t="shared" si="19"/>
        <v>7.6306001780281671E-2</v>
      </c>
      <c r="L30" s="45">
        <f t="shared" si="19"/>
        <v>7.7127565799242154E-2</v>
      </c>
      <c r="M30" s="45">
        <f t="shared" si="19"/>
        <v>7.8136656018188796E-2</v>
      </c>
    </row>
    <row r="31" spans="2:20">
      <c r="D31" s="45">
        <f>D28/D26</f>
        <v>2.2029736136581358E-2</v>
      </c>
    </row>
    <row r="32" spans="2:20">
      <c r="D32" s="44">
        <f>D27/D26</f>
        <v>0.23786182626942795</v>
      </c>
      <c r="E32" s="44">
        <f>E27/$D$26</f>
        <v>0.27031400545908657</v>
      </c>
      <c r="F32" s="44">
        <f t="shared" ref="F32:M32" si="20">F27/$D$26</f>
        <v>0.30918000460493333</v>
      </c>
      <c r="G32" s="44">
        <f t="shared" si="20"/>
        <v>0.31742383227846238</v>
      </c>
      <c r="H32" s="44">
        <f t="shared" si="20"/>
        <v>0.32568509083512714</v>
      </c>
      <c r="I32" s="44">
        <f t="shared" si="20"/>
        <v>0.32694782481154405</v>
      </c>
      <c r="J32" s="44">
        <f t="shared" si="20"/>
        <v>0.33592622470217454</v>
      </c>
      <c r="K32" s="44">
        <f t="shared" si="20"/>
        <v>0.3431765670407691</v>
      </c>
      <c r="L32" s="44">
        <f t="shared" si="20"/>
        <v>0.34800910188114681</v>
      </c>
      <c r="M32" s="44">
        <f t="shared" si="20"/>
        <v>0.35210258927768573</v>
      </c>
    </row>
    <row r="35" spans="5:15" ht="15.6">
      <c r="O35"/>
    </row>
    <row r="36" spans="5:15">
      <c r="E36" s="43"/>
    </row>
  </sheetData>
  <mergeCells count="2">
    <mergeCell ref="D7:H7"/>
    <mergeCell ref="I7:T7"/>
  </mergeCells>
  <pageMargins left="0.7" right="0.7" top="0.75" bottom="0.75" header="0.3" footer="0.3"/>
  <legacy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702B32-6AF6-0A4E-B271-E4E59DC04BF8}">
  <dimension ref="B1:J35"/>
  <sheetViews>
    <sheetView topLeftCell="A18" workbookViewId="0" xr3:uid="{F3ADF729-3A7A-5F98-9D9F-1E9729FBE9A1}">
      <selection activeCell="I33" sqref="I33"/>
    </sheetView>
  </sheetViews>
  <sheetFormatPr defaultColWidth="10.875" defaultRowHeight="15"/>
  <cols>
    <col min="1" max="1" width="10.875" style="32"/>
    <col min="2" max="2" width="3.5" style="32" customWidth="1"/>
    <col min="3" max="3" width="3" style="32" customWidth="1"/>
    <col min="4" max="4" width="4.125" style="32" customWidth="1"/>
    <col min="5" max="5" width="10.875" style="32"/>
    <col min="6" max="6" width="18.625" style="32" customWidth="1"/>
    <col min="7" max="7" width="10.875" style="32"/>
    <col min="8" max="8" width="15.5" style="32" customWidth="1"/>
    <col min="9" max="9" width="15.875" style="32" customWidth="1"/>
    <col min="10" max="16384" width="10.875" style="32"/>
  </cols>
  <sheetData>
    <row r="1" spans="2:10">
      <c r="H1" s="32" t="s">
        <v>441</v>
      </c>
      <c r="I1" s="34">
        <f>'Componente 3...'!D26</f>
        <v>199989867</v>
      </c>
    </row>
    <row r="2" spans="2:10">
      <c r="B2" s="32" t="s">
        <v>457</v>
      </c>
    </row>
    <row r="3" spans="2:10">
      <c r="C3" s="32">
        <v>2017</v>
      </c>
    </row>
    <row r="4" spans="2:10">
      <c r="H4" s="36" t="s">
        <v>458</v>
      </c>
      <c r="I4" s="36" t="s">
        <v>459</v>
      </c>
    </row>
    <row r="5" spans="2:10" s="35" customFormat="1">
      <c r="B5" s="35" t="s">
        <v>460</v>
      </c>
      <c r="H5" s="51">
        <v>146612281</v>
      </c>
      <c r="I5" s="39">
        <f>I6+I18</f>
        <v>5692417</v>
      </c>
      <c r="J5" s="52">
        <f>I5/I1</f>
        <v>2.8463527104600754E-2</v>
      </c>
    </row>
    <row r="6" spans="2:10" s="35" customFormat="1">
      <c r="C6" s="35" t="s">
        <v>461</v>
      </c>
      <c r="H6" s="51">
        <v>37788151</v>
      </c>
      <c r="I6" s="39">
        <f>SUM(I7:I17)</f>
        <v>1655744</v>
      </c>
    </row>
    <row r="7" spans="2:10">
      <c r="D7" s="32" t="s">
        <v>462</v>
      </c>
      <c r="H7" s="48">
        <v>616897</v>
      </c>
      <c r="I7" s="34">
        <f>H7</f>
        <v>616897</v>
      </c>
    </row>
    <row r="8" spans="2:10">
      <c r="D8" s="32" t="s">
        <v>463</v>
      </c>
      <c r="H8" s="48">
        <v>35676</v>
      </c>
      <c r="I8" s="34">
        <f t="shared" ref="I8:I17" si="0">H8</f>
        <v>35676</v>
      </c>
    </row>
    <row r="9" spans="2:10">
      <c r="D9" s="32" t="s">
        <v>464</v>
      </c>
      <c r="H9" s="48">
        <v>54786</v>
      </c>
      <c r="I9" s="34">
        <f t="shared" si="0"/>
        <v>54786</v>
      </c>
    </row>
    <row r="10" spans="2:10">
      <c r="D10" s="32" t="s">
        <v>465</v>
      </c>
      <c r="H10" s="48">
        <v>710019</v>
      </c>
      <c r="I10" s="34">
        <f t="shared" si="0"/>
        <v>710019</v>
      </c>
    </row>
    <row r="11" spans="2:10">
      <c r="D11" s="32" t="s">
        <v>466</v>
      </c>
      <c r="H11" s="48">
        <v>53155</v>
      </c>
      <c r="I11" s="34">
        <f t="shared" si="0"/>
        <v>53155</v>
      </c>
    </row>
    <row r="12" spans="2:10">
      <c r="D12" s="32" t="s">
        <v>467</v>
      </c>
      <c r="H12" s="48">
        <v>51025</v>
      </c>
      <c r="I12" s="34">
        <f t="shared" si="0"/>
        <v>51025</v>
      </c>
    </row>
    <row r="13" spans="2:10">
      <c r="D13" s="49" t="s">
        <v>468</v>
      </c>
      <c r="E13" s="49"/>
      <c r="F13" s="49"/>
      <c r="G13" s="49"/>
      <c r="H13" s="50">
        <v>36132407</v>
      </c>
    </row>
    <row r="14" spans="2:10">
      <c r="D14" s="32" t="s">
        <v>469</v>
      </c>
      <c r="H14" s="48">
        <v>49289</v>
      </c>
      <c r="I14" s="34">
        <f t="shared" si="0"/>
        <v>49289</v>
      </c>
    </row>
    <row r="15" spans="2:10">
      <c r="D15" s="32" t="s">
        <v>470</v>
      </c>
      <c r="H15" s="48">
        <v>24309</v>
      </c>
      <c r="I15" s="34">
        <f t="shared" si="0"/>
        <v>24309</v>
      </c>
    </row>
    <row r="16" spans="2:10">
      <c r="D16" s="32" t="s">
        <v>471</v>
      </c>
      <c r="H16" s="48">
        <v>0</v>
      </c>
      <c r="I16" s="34">
        <f t="shared" si="0"/>
        <v>0</v>
      </c>
    </row>
    <row r="17" spans="3:9">
      <c r="D17" s="32" t="s">
        <v>472</v>
      </c>
      <c r="H17" s="48">
        <v>60588</v>
      </c>
      <c r="I17" s="34">
        <f t="shared" si="0"/>
        <v>60588</v>
      </c>
    </row>
    <row r="18" spans="3:9" s="35" customFormat="1">
      <c r="C18" s="35" t="s">
        <v>473</v>
      </c>
      <c r="H18" s="51">
        <v>110149100</v>
      </c>
      <c r="I18" s="39">
        <f>I19+I20+I24+I28+I29</f>
        <v>4036673</v>
      </c>
    </row>
    <row r="19" spans="3:9">
      <c r="D19" s="32" t="s">
        <v>474</v>
      </c>
      <c r="H19" s="48">
        <v>148883</v>
      </c>
      <c r="I19" s="34">
        <f>H19</f>
        <v>148883</v>
      </c>
    </row>
    <row r="20" spans="3:9">
      <c r="D20" s="32" t="s">
        <v>475</v>
      </c>
      <c r="H20" s="48">
        <v>2843766</v>
      </c>
      <c r="I20" s="34">
        <f>H20</f>
        <v>2843766</v>
      </c>
    </row>
    <row r="21" spans="3:9">
      <c r="E21" s="32" t="s">
        <v>476</v>
      </c>
      <c r="H21" s="48">
        <v>2659309</v>
      </c>
    </row>
    <row r="22" spans="3:9">
      <c r="E22" s="32" t="s">
        <v>477</v>
      </c>
      <c r="H22" s="48">
        <v>111234</v>
      </c>
    </row>
    <row r="23" spans="3:9">
      <c r="E23" s="32" t="s">
        <v>478</v>
      </c>
      <c r="H23" s="48">
        <v>73223</v>
      </c>
    </row>
    <row r="24" spans="3:9">
      <c r="D24" s="32" t="s">
        <v>479</v>
      </c>
      <c r="H24" s="48">
        <v>568664</v>
      </c>
      <c r="I24" s="34">
        <f>H24</f>
        <v>568664</v>
      </c>
    </row>
    <row r="25" spans="3:9">
      <c r="E25" s="32" t="s">
        <v>480</v>
      </c>
      <c r="H25" s="48">
        <v>559879</v>
      </c>
    </row>
    <row r="26" spans="3:9">
      <c r="E26" s="32" t="s">
        <v>481</v>
      </c>
      <c r="H26" s="48">
        <v>4800</v>
      </c>
    </row>
    <row r="27" spans="3:9">
      <c r="E27" s="32" t="s">
        <v>482</v>
      </c>
      <c r="H27" s="48">
        <v>3975</v>
      </c>
    </row>
    <row r="28" spans="3:9">
      <c r="D28" s="32" t="s">
        <v>483</v>
      </c>
      <c r="H28" s="48">
        <v>52657</v>
      </c>
      <c r="I28" s="48">
        <f>H28</f>
        <v>52657</v>
      </c>
    </row>
    <row r="29" spans="3:9">
      <c r="D29" s="32" t="s">
        <v>484</v>
      </c>
      <c r="H29" s="48">
        <v>7064849</v>
      </c>
      <c r="I29" s="48">
        <f>SUM(I30:I33)</f>
        <v>422703</v>
      </c>
    </row>
    <row r="30" spans="3:9">
      <c r="E30" s="32" t="s">
        <v>485</v>
      </c>
      <c r="H30" s="48">
        <v>4029</v>
      </c>
      <c r="I30" s="48">
        <f>H30</f>
        <v>4029</v>
      </c>
    </row>
    <row r="31" spans="3:9">
      <c r="E31" s="32" t="s">
        <v>486</v>
      </c>
      <c r="H31" s="48">
        <v>1327</v>
      </c>
      <c r="I31" s="48">
        <f>H31</f>
        <v>1327</v>
      </c>
    </row>
    <row r="32" spans="3:9">
      <c r="E32" s="32" t="s">
        <v>487</v>
      </c>
      <c r="H32" s="48">
        <v>417347</v>
      </c>
      <c r="I32" s="48">
        <f>H32</f>
        <v>417347</v>
      </c>
    </row>
    <row r="33" spans="4:8">
      <c r="E33" s="32" t="s">
        <v>488</v>
      </c>
      <c r="H33" s="48">
        <v>6642156</v>
      </c>
    </row>
    <row r="34" spans="4:8">
      <c r="D34" s="49" t="s">
        <v>489</v>
      </c>
      <c r="E34" s="49"/>
      <c r="F34" s="49"/>
      <c r="G34" s="49"/>
      <c r="H34" s="50">
        <v>54296275</v>
      </c>
    </row>
    <row r="35" spans="4:8">
      <c r="D35" s="49" t="s">
        <v>490</v>
      </c>
      <c r="E35" s="49"/>
      <c r="F35" s="49"/>
      <c r="G35" s="49"/>
      <c r="H35" s="50">
        <v>43849036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F4B28C-7AA7-412B-8B63-333587CC08A4}">
  <sheetPr>
    <tabColor theme="4"/>
  </sheetPr>
  <dimension ref="A1:AC133"/>
  <sheetViews>
    <sheetView zoomScale="59" zoomScaleNormal="59" workbookViewId="0" xr3:uid="{8A1D3218-9792-506B-84A9-14E754CFF1E1}">
      <selection activeCell="A13" sqref="A13"/>
    </sheetView>
  </sheetViews>
  <sheetFormatPr defaultColWidth="11.25" defaultRowHeight="15.6"/>
  <cols>
    <col min="1" max="1" width="10.625" customWidth="1"/>
    <col min="2" max="2" width="49.125" customWidth="1"/>
    <col min="3" max="3" width="10" customWidth="1"/>
    <col min="4" max="4" width="15.75" customWidth="1"/>
    <col min="5" max="9" width="7.25" customWidth="1"/>
    <col min="10" max="27" width="18.75" customWidth="1"/>
    <col min="29" max="29" width="15.125" bestFit="1" customWidth="1"/>
  </cols>
  <sheetData>
    <row r="1" spans="1:29">
      <c r="E1" s="113"/>
    </row>
    <row r="2" spans="1:29" ht="23.45">
      <c r="A2" s="294" t="s">
        <v>0</v>
      </c>
      <c r="B2" s="294"/>
      <c r="C2" s="294"/>
      <c r="D2" s="294"/>
      <c r="E2" s="294"/>
      <c r="F2" s="294"/>
      <c r="G2" s="294"/>
      <c r="H2" s="294"/>
      <c r="I2" s="294"/>
      <c r="J2" s="294"/>
      <c r="K2" s="294"/>
      <c r="L2" s="294"/>
      <c r="M2" s="294"/>
      <c r="N2" s="294"/>
      <c r="O2" s="294"/>
      <c r="P2" s="294"/>
      <c r="Q2" s="294"/>
      <c r="R2" s="294"/>
      <c r="S2" s="294"/>
      <c r="T2" s="294"/>
      <c r="U2" s="294"/>
      <c r="V2" s="294"/>
      <c r="W2" s="294"/>
      <c r="X2" s="294"/>
      <c r="Y2" s="294"/>
      <c r="Z2" s="294"/>
      <c r="AA2" s="294"/>
    </row>
    <row r="3" spans="1:29">
      <c r="A3" s="295" t="s">
        <v>1</v>
      </c>
      <c r="B3" s="295"/>
      <c r="C3" s="295"/>
      <c r="D3" s="295"/>
      <c r="E3" s="295"/>
      <c r="F3" s="295"/>
      <c r="G3" s="295"/>
      <c r="H3" s="295"/>
      <c r="I3" s="295"/>
      <c r="J3" s="295"/>
      <c r="K3" s="295"/>
      <c r="L3" s="295"/>
      <c r="M3" s="295"/>
      <c r="N3" s="295"/>
      <c r="O3" s="295"/>
      <c r="P3" s="295"/>
      <c r="Q3" s="295"/>
      <c r="R3" s="295"/>
      <c r="S3" s="295"/>
      <c r="T3" s="295"/>
      <c r="U3" s="295"/>
      <c r="V3" s="295"/>
      <c r="W3" s="295"/>
      <c r="X3" s="295"/>
      <c r="Y3" s="295"/>
      <c r="Z3" s="295"/>
      <c r="AA3" s="295"/>
    </row>
    <row r="4" spans="1:29" ht="21">
      <c r="A4" s="307" t="s">
        <v>110</v>
      </c>
      <c r="B4" s="307"/>
      <c r="C4" s="307"/>
      <c r="D4" s="307"/>
      <c r="E4" s="307"/>
      <c r="F4" s="307"/>
      <c r="G4" s="307"/>
      <c r="H4" s="307"/>
      <c r="I4" s="307"/>
      <c r="J4" s="307"/>
      <c r="K4" s="307"/>
      <c r="L4" s="307"/>
      <c r="M4" s="307"/>
      <c r="N4" s="307"/>
      <c r="O4" s="307"/>
      <c r="P4" s="307"/>
      <c r="Q4" s="307"/>
      <c r="R4" s="307"/>
      <c r="S4" s="307"/>
      <c r="T4" s="307"/>
      <c r="U4" s="307"/>
      <c r="V4" s="307"/>
      <c r="W4" s="307"/>
      <c r="X4" s="307"/>
      <c r="Y4" s="307"/>
      <c r="Z4" s="307"/>
      <c r="AA4" s="307"/>
    </row>
    <row r="7" spans="1:29" ht="15.75" customHeight="1">
      <c r="A7" s="291" t="s">
        <v>4</v>
      </c>
      <c r="B7" s="291" t="s">
        <v>5</v>
      </c>
      <c r="C7" s="299" t="s">
        <v>6</v>
      </c>
      <c r="D7" s="300" t="s">
        <v>7</v>
      </c>
      <c r="E7" s="296" t="s">
        <v>8</v>
      </c>
      <c r="F7" s="297"/>
      <c r="G7" s="297"/>
      <c r="H7" s="297"/>
      <c r="I7" s="298"/>
      <c r="J7" s="296" t="s">
        <v>9</v>
      </c>
      <c r="K7" s="297"/>
      <c r="L7" s="297"/>
      <c r="M7" s="297"/>
      <c r="N7" s="297"/>
      <c r="O7" s="297"/>
      <c r="P7" s="297"/>
      <c r="Q7" s="297"/>
      <c r="R7" s="297"/>
      <c r="S7" s="297"/>
      <c r="T7" s="297"/>
      <c r="U7" s="297"/>
      <c r="V7" s="297"/>
      <c r="W7" s="297"/>
      <c r="X7" s="298"/>
      <c r="Y7" s="301" t="s">
        <v>10</v>
      </c>
      <c r="Z7" s="302"/>
      <c r="AA7" s="303"/>
    </row>
    <row r="8" spans="1:29">
      <c r="A8" s="292"/>
      <c r="B8" s="292"/>
      <c r="C8" s="299"/>
      <c r="D8" s="300"/>
      <c r="E8" s="286" t="s">
        <v>11</v>
      </c>
      <c r="F8" s="286" t="s">
        <v>12</v>
      </c>
      <c r="G8" s="286" t="s">
        <v>13</v>
      </c>
      <c r="H8" s="286" t="s">
        <v>14</v>
      </c>
      <c r="I8" s="286" t="s">
        <v>15</v>
      </c>
      <c r="J8" s="296" t="s">
        <v>11</v>
      </c>
      <c r="K8" s="297"/>
      <c r="L8" s="298"/>
      <c r="M8" s="296" t="s">
        <v>12</v>
      </c>
      <c r="N8" s="297"/>
      <c r="O8" s="298"/>
      <c r="P8" s="296" t="s">
        <v>13</v>
      </c>
      <c r="Q8" s="297"/>
      <c r="R8" s="298"/>
      <c r="S8" s="296" t="s">
        <v>14</v>
      </c>
      <c r="T8" s="297"/>
      <c r="U8" s="298"/>
      <c r="V8" s="296" t="s">
        <v>15</v>
      </c>
      <c r="W8" s="297"/>
      <c r="X8" s="298"/>
      <c r="Y8" s="304"/>
      <c r="Z8" s="305"/>
      <c r="AA8" s="306"/>
    </row>
    <row r="9" spans="1:29" ht="16.149999999999999" thickBot="1">
      <c r="A9" s="293"/>
      <c r="B9" s="293"/>
      <c r="C9" s="285"/>
      <c r="D9" s="286"/>
      <c r="E9" s="286"/>
      <c r="F9" s="286"/>
      <c r="G9" s="286"/>
      <c r="H9" s="286"/>
      <c r="I9" s="286"/>
      <c r="J9" s="286" t="s">
        <v>16</v>
      </c>
      <c r="K9" s="286" t="s">
        <v>17</v>
      </c>
      <c r="L9" s="286" t="s">
        <v>18</v>
      </c>
      <c r="M9" s="286" t="s">
        <v>16</v>
      </c>
      <c r="N9" s="286" t="s">
        <v>17</v>
      </c>
      <c r="O9" s="286" t="s">
        <v>18</v>
      </c>
      <c r="P9" s="286" t="s">
        <v>16</v>
      </c>
      <c r="Q9" s="286" t="s">
        <v>17</v>
      </c>
      <c r="R9" s="286" t="s">
        <v>18</v>
      </c>
      <c r="S9" s="286" t="s">
        <v>16</v>
      </c>
      <c r="T9" s="286" t="s">
        <v>17</v>
      </c>
      <c r="U9" s="286" t="s">
        <v>18</v>
      </c>
      <c r="V9" s="286" t="s">
        <v>16</v>
      </c>
      <c r="W9" s="286" t="s">
        <v>17</v>
      </c>
      <c r="X9" s="286" t="s">
        <v>18</v>
      </c>
      <c r="Y9" s="286" t="s">
        <v>16</v>
      </c>
      <c r="Z9" s="286" t="s">
        <v>17</v>
      </c>
      <c r="AA9" s="283" t="s">
        <v>18</v>
      </c>
    </row>
    <row r="10" spans="1:29" ht="28.15" thickBot="1">
      <c r="A10" s="119"/>
      <c r="B10" s="119" t="s">
        <v>19</v>
      </c>
      <c r="C10" s="81"/>
      <c r="D10" s="120"/>
      <c r="E10" s="120"/>
      <c r="F10" s="120"/>
      <c r="G10" s="120"/>
      <c r="H10" s="120"/>
      <c r="I10" s="120"/>
      <c r="J10" s="121">
        <f>+SUM(J11:J18)</f>
        <v>157440</v>
      </c>
      <c r="K10" s="121">
        <f t="shared" ref="K10:Z10" si="0">+SUM(K11:K18)</f>
        <v>34560</v>
      </c>
      <c r="L10" s="121">
        <f t="shared" si="0"/>
        <v>192000</v>
      </c>
      <c r="M10" s="121">
        <f t="shared" si="0"/>
        <v>1801505.044896801</v>
      </c>
      <c r="N10" s="121">
        <f t="shared" si="0"/>
        <v>395452.32692856609</v>
      </c>
      <c r="O10" s="121">
        <f t="shared" si="0"/>
        <v>2196957.3718253672</v>
      </c>
      <c r="P10" s="121">
        <f t="shared" si="0"/>
        <v>2456925</v>
      </c>
      <c r="Q10" s="121">
        <f t="shared" si="0"/>
        <v>539325</v>
      </c>
      <c r="R10" s="121">
        <f t="shared" si="0"/>
        <v>2996250</v>
      </c>
      <c r="S10" s="121">
        <f t="shared" si="0"/>
        <v>2440525</v>
      </c>
      <c r="T10" s="121">
        <f t="shared" si="0"/>
        <v>535725</v>
      </c>
      <c r="U10" s="121">
        <f t="shared" si="0"/>
        <v>2976250</v>
      </c>
      <c r="V10" s="121">
        <f t="shared" si="0"/>
        <v>2306250</v>
      </c>
      <c r="W10" s="121">
        <f t="shared" si="0"/>
        <v>506250</v>
      </c>
      <c r="X10" s="121">
        <f>+SUM(X11:X18)</f>
        <v>2812500</v>
      </c>
      <c r="Y10" s="121">
        <f>+SUM(Y11:Y18)</f>
        <v>9162645.0448968001</v>
      </c>
      <c r="Z10" s="142">
        <f t="shared" si="0"/>
        <v>2011312.3269285662</v>
      </c>
      <c r="AA10" s="136">
        <f>+SUM(AA11:AA18)</f>
        <v>11173957.371825367</v>
      </c>
      <c r="AC10" s="113"/>
    </row>
    <row r="11" spans="1:29" ht="33" customHeight="1">
      <c r="A11" s="213">
        <v>1</v>
      </c>
      <c r="B11" s="91" t="s">
        <v>20</v>
      </c>
      <c r="C11" s="67">
        <f>+SUM(E11:I11)</f>
        <v>1</v>
      </c>
      <c r="D11" s="69">
        <f>+'Componente 1'!I7</f>
        <v>238957.37182536721</v>
      </c>
      <c r="E11" s="150">
        <f>+'Componente 1'!D7</f>
        <v>0</v>
      </c>
      <c r="F11" s="150">
        <f>+'Componente 1'!E7</f>
        <v>1</v>
      </c>
      <c r="G11" s="150">
        <f>+'Componente 1'!F7</f>
        <v>0</v>
      </c>
      <c r="H11" s="150">
        <f>+'Componente 1'!G7</f>
        <v>0</v>
      </c>
      <c r="I11" s="150">
        <f>+'Componente 1'!H7</f>
        <v>0</v>
      </c>
      <c r="J11" s="141">
        <f>+L11*82%</f>
        <v>0</v>
      </c>
      <c r="K11" s="141">
        <f>18%*L11</f>
        <v>0</v>
      </c>
      <c r="L11" s="69">
        <f>+E11*$D11</f>
        <v>0</v>
      </c>
      <c r="M11" s="141">
        <f>+O11*82%</f>
        <v>195945.04489680109</v>
      </c>
      <c r="N11" s="141">
        <f>18%*O11</f>
        <v>43012.326928566094</v>
      </c>
      <c r="O11" s="137">
        <f>+F11*$D11</f>
        <v>238957.37182536721</v>
      </c>
      <c r="P11" s="141">
        <f>+R11*82%</f>
        <v>0</v>
      </c>
      <c r="Q11" s="141">
        <f>18%*R11</f>
        <v>0</v>
      </c>
      <c r="R11" s="69">
        <f>+G11*$D11</f>
        <v>0</v>
      </c>
      <c r="S11" s="141">
        <f>+U11*82%</f>
        <v>0</v>
      </c>
      <c r="T11" s="141">
        <f>18%*U11</f>
        <v>0</v>
      </c>
      <c r="U11" s="69">
        <f>+H11*$D11</f>
        <v>0</v>
      </c>
      <c r="V11" s="141">
        <f>+X11*82%</f>
        <v>0</v>
      </c>
      <c r="W11" s="141">
        <f>18%*X11</f>
        <v>0</v>
      </c>
      <c r="X11" s="69">
        <f>+I11*$D11</f>
        <v>0</v>
      </c>
      <c r="Y11" s="159">
        <f t="shared" ref="Y11" si="1">+J11+M11+P11+S11+V11</f>
        <v>195945.04489680109</v>
      </c>
      <c r="Z11" s="141">
        <f>+K11+N11+Q11+T11+W11</f>
        <v>43012.326928566094</v>
      </c>
      <c r="AA11" s="143">
        <f>+L11+O11+R11+U11+X11</f>
        <v>238957.37182536721</v>
      </c>
    </row>
    <row r="12" spans="1:29" ht="44.25" customHeight="1">
      <c r="A12" s="150">
        <v>2</v>
      </c>
      <c r="B12" s="152" t="s">
        <v>21</v>
      </c>
      <c r="C12" s="151">
        <f t="shared" ref="C12:C18" si="2">+SUM(E12:I12)</f>
        <v>4</v>
      </c>
      <c r="D12" s="69">
        <f>+'Componente 1'!I8</f>
        <v>160000</v>
      </c>
      <c r="E12" s="150">
        <f>+'Componente 1'!D8</f>
        <v>0</v>
      </c>
      <c r="F12" s="150">
        <f>+'Componente 1'!E8</f>
        <v>1</v>
      </c>
      <c r="G12" s="150">
        <f>+'Componente 1'!F8</f>
        <v>1</v>
      </c>
      <c r="H12" s="150">
        <f>+'Componente 1'!G8</f>
        <v>2</v>
      </c>
      <c r="I12" s="150">
        <f>+'Componente 1'!H8</f>
        <v>0</v>
      </c>
      <c r="J12" s="141">
        <f t="shared" ref="J12:J18" si="3">+L12*82%</f>
        <v>0</v>
      </c>
      <c r="K12" s="141">
        <f t="shared" ref="K12:K18" si="4">18%*L12</f>
        <v>0</v>
      </c>
      <c r="L12" s="69">
        <f t="shared" ref="L12:L18" si="5">+E12*$D12</f>
        <v>0</v>
      </c>
      <c r="M12" s="141">
        <f t="shared" ref="M12:M18" si="6">+O12*82%</f>
        <v>131200</v>
      </c>
      <c r="N12" s="141">
        <f t="shared" ref="N12:N18" si="7">18%*O12</f>
        <v>28800</v>
      </c>
      <c r="O12" s="137">
        <f t="shared" ref="O12:O18" si="8">+F12*$D12</f>
        <v>160000</v>
      </c>
      <c r="P12" s="141">
        <f t="shared" ref="P12:P18" si="9">+R12*82%</f>
        <v>131200</v>
      </c>
      <c r="Q12" s="141">
        <f t="shared" ref="Q12:Q18" si="10">18%*R12</f>
        <v>28800</v>
      </c>
      <c r="R12" s="69">
        <f t="shared" ref="R12:R18" si="11">+G12*$D12</f>
        <v>160000</v>
      </c>
      <c r="S12" s="141">
        <f t="shared" ref="S12:S18" si="12">+U12*82%</f>
        <v>262400</v>
      </c>
      <c r="T12" s="141">
        <f t="shared" ref="T12:T18" si="13">18%*U12</f>
        <v>57600</v>
      </c>
      <c r="U12" s="69">
        <f t="shared" ref="U12:U18" si="14">+H12*$D12</f>
        <v>320000</v>
      </c>
      <c r="V12" s="141">
        <f t="shared" ref="V12:V18" si="15">+X12*82%</f>
        <v>0</v>
      </c>
      <c r="W12" s="141">
        <f t="shared" ref="W12:W18" si="16">18%*X12</f>
        <v>0</v>
      </c>
      <c r="X12" s="69">
        <f t="shared" ref="X12:X18" si="17">+I12*$D12</f>
        <v>0</v>
      </c>
      <c r="Y12" s="159">
        <f t="shared" ref="Y12:Y18" si="18">+J12+M12+P12+S12+V12</f>
        <v>524800</v>
      </c>
      <c r="Z12" s="141">
        <f t="shared" ref="Z12:Z18" si="19">+K12+N12+Q12+T12+W12</f>
        <v>115200</v>
      </c>
      <c r="AA12" s="143">
        <f t="shared" ref="AA12:AA18" si="20">+L12+O12+R12+U12+X12</f>
        <v>640000</v>
      </c>
    </row>
    <row r="13" spans="1:29" ht="33" customHeight="1">
      <c r="A13" s="150">
        <v>3</v>
      </c>
      <c r="B13" s="152" t="s">
        <v>22</v>
      </c>
      <c r="C13" s="151">
        <f t="shared" si="2"/>
        <v>16</v>
      </c>
      <c r="D13" s="69">
        <f>+'Componente 1'!I9</f>
        <v>195312.5</v>
      </c>
      <c r="E13" s="150">
        <f>+'Componente 1'!D9</f>
        <v>0</v>
      </c>
      <c r="F13" s="150">
        <f>+'Componente 1'!E9</f>
        <v>0</v>
      </c>
      <c r="G13" s="150">
        <f>+'Componente 1'!F9</f>
        <v>4</v>
      </c>
      <c r="H13" s="150">
        <f>+'Componente 1'!G9</f>
        <v>4</v>
      </c>
      <c r="I13" s="150">
        <f>+'Componente 1'!H9</f>
        <v>8</v>
      </c>
      <c r="J13" s="141">
        <f t="shared" si="3"/>
        <v>0</v>
      </c>
      <c r="K13" s="141">
        <f t="shared" si="4"/>
        <v>0</v>
      </c>
      <c r="L13" s="69">
        <f t="shared" si="5"/>
        <v>0</v>
      </c>
      <c r="M13" s="141">
        <f t="shared" si="6"/>
        <v>0</v>
      </c>
      <c r="N13" s="141">
        <f t="shared" si="7"/>
        <v>0</v>
      </c>
      <c r="O13" s="137">
        <f t="shared" si="8"/>
        <v>0</v>
      </c>
      <c r="P13" s="141">
        <f t="shared" si="9"/>
        <v>640625</v>
      </c>
      <c r="Q13" s="141">
        <f t="shared" si="10"/>
        <v>140625</v>
      </c>
      <c r="R13" s="69">
        <f t="shared" si="11"/>
        <v>781250</v>
      </c>
      <c r="S13" s="141">
        <f t="shared" si="12"/>
        <v>640625</v>
      </c>
      <c r="T13" s="141">
        <f t="shared" si="13"/>
        <v>140625</v>
      </c>
      <c r="U13" s="69">
        <f t="shared" si="14"/>
        <v>781250</v>
      </c>
      <c r="V13" s="141">
        <f t="shared" si="15"/>
        <v>1281250</v>
      </c>
      <c r="W13" s="141">
        <f t="shared" si="16"/>
        <v>281250</v>
      </c>
      <c r="X13" s="69">
        <f t="shared" si="17"/>
        <v>1562500</v>
      </c>
      <c r="Y13" s="159">
        <f t="shared" si="18"/>
        <v>2562500</v>
      </c>
      <c r="Z13" s="141">
        <f t="shared" si="19"/>
        <v>562500</v>
      </c>
      <c r="AA13" s="143">
        <f t="shared" si="20"/>
        <v>3125000</v>
      </c>
    </row>
    <row r="14" spans="1:29" ht="21" customHeight="1">
      <c r="A14" s="213">
        <v>4</v>
      </c>
      <c r="B14" s="152" t="s">
        <v>23</v>
      </c>
      <c r="C14" s="151">
        <f t="shared" si="2"/>
        <v>1</v>
      </c>
      <c r="D14" s="69">
        <f>+'Componente 1'!I10</f>
        <v>300000</v>
      </c>
      <c r="E14" s="150">
        <f>+'Componente 1'!D10</f>
        <v>0</v>
      </c>
      <c r="F14" s="150">
        <f>+'Componente 1'!E10</f>
        <v>1</v>
      </c>
      <c r="G14" s="150">
        <f>+'Componente 1'!F10</f>
        <v>0</v>
      </c>
      <c r="H14" s="150">
        <f>+'Componente 1'!G10</f>
        <v>0</v>
      </c>
      <c r="I14" s="150">
        <f>+'Componente 1'!H10</f>
        <v>0</v>
      </c>
      <c r="J14" s="141">
        <f t="shared" si="3"/>
        <v>0</v>
      </c>
      <c r="K14" s="141">
        <f t="shared" si="4"/>
        <v>0</v>
      </c>
      <c r="L14" s="69">
        <f t="shared" si="5"/>
        <v>0</v>
      </c>
      <c r="M14" s="141">
        <f t="shared" si="6"/>
        <v>245999.99999999997</v>
      </c>
      <c r="N14" s="141">
        <f t="shared" si="7"/>
        <v>54000</v>
      </c>
      <c r="O14" s="137">
        <f t="shared" si="8"/>
        <v>300000</v>
      </c>
      <c r="P14" s="141">
        <f t="shared" si="9"/>
        <v>0</v>
      </c>
      <c r="Q14" s="141">
        <f t="shared" si="10"/>
        <v>0</v>
      </c>
      <c r="R14" s="69">
        <f t="shared" si="11"/>
        <v>0</v>
      </c>
      <c r="S14" s="141">
        <f t="shared" si="12"/>
        <v>0</v>
      </c>
      <c r="T14" s="141">
        <f t="shared" si="13"/>
        <v>0</v>
      </c>
      <c r="U14" s="69">
        <f t="shared" si="14"/>
        <v>0</v>
      </c>
      <c r="V14" s="141">
        <f t="shared" si="15"/>
        <v>0</v>
      </c>
      <c r="W14" s="141">
        <f t="shared" si="16"/>
        <v>0</v>
      </c>
      <c r="X14" s="69">
        <f t="shared" si="17"/>
        <v>0</v>
      </c>
      <c r="Y14" s="159">
        <f t="shared" si="18"/>
        <v>245999.99999999997</v>
      </c>
      <c r="Z14" s="141">
        <f t="shared" si="19"/>
        <v>54000</v>
      </c>
      <c r="AA14" s="143">
        <f t="shared" si="20"/>
        <v>300000</v>
      </c>
    </row>
    <row r="15" spans="1:29" ht="30" customHeight="1">
      <c r="A15" s="150">
        <v>5</v>
      </c>
      <c r="B15" s="152" t="s">
        <v>24</v>
      </c>
      <c r="C15" s="151">
        <f t="shared" si="2"/>
        <v>1</v>
      </c>
      <c r="D15" s="69">
        <f>+'Componente 1'!I11</f>
        <v>300000</v>
      </c>
      <c r="E15" s="150">
        <f>+'Componente 1'!D11</f>
        <v>0</v>
      </c>
      <c r="F15" s="150">
        <f>+'Componente 1'!E11</f>
        <v>0.4</v>
      </c>
      <c r="G15" s="150">
        <f>+'Componente 1'!F11</f>
        <v>0.6</v>
      </c>
      <c r="H15" s="150">
        <f>+'Componente 1'!G11</f>
        <v>0</v>
      </c>
      <c r="I15" s="150">
        <f>+'Componente 1'!H11</f>
        <v>0</v>
      </c>
      <c r="J15" s="141">
        <f t="shared" si="3"/>
        <v>0</v>
      </c>
      <c r="K15" s="141">
        <f t="shared" si="4"/>
        <v>0</v>
      </c>
      <c r="L15" s="69">
        <f t="shared" si="5"/>
        <v>0</v>
      </c>
      <c r="M15" s="141">
        <f t="shared" si="6"/>
        <v>98400</v>
      </c>
      <c r="N15" s="141">
        <f t="shared" si="7"/>
        <v>21600</v>
      </c>
      <c r="O15" s="137">
        <f t="shared" si="8"/>
        <v>120000</v>
      </c>
      <c r="P15" s="141">
        <f t="shared" si="9"/>
        <v>147600</v>
      </c>
      <c r="Q15" s="141">
        <f t="shared" si="10"/>
        <v>32400</v>
      </c>
      <c r="R15" s="69">
        <f t="shared" si="11"/>
        <v>180000</v>
      </c>
      <c r="S15" s="141">
        <f t="shared" si="12"/>
        <v>0</v>
      </c>
      <c r="T15" s="141">
        <f t="shared" si="13"/>
        <v>0</v>
      </c>
      <c r="U15" s="69">
        <f t="shared" si="14"/>
        <v>0</v>
      </c>
      <c r="V15" s="141">
        <f t="shared" si="15"/>
        <v>0</v>
      </c>
      <c r="W15" s="141">
        <f t="shared" si="16"/>
        <v>0</v>
      </c>
      <c r="X15" s="69">
        <f t="shared" si="17"/>
        <v>0</v>
      </c>
      <c r="Y15" s="159">
        <f t="shared" si="18"/>
        <v>246000</v>
      </c>
      <c r="Z15" s="141">
        <f t="shared" si="19"/>
        <v>54000</v>
      </c>
      <c r="AA15" s="143">
        <f t="shared" si="20"/>
        <v>300000</v>
      </c>
    </row>
    <row r="16" spans="1:29" ht="28.5" customHeight="1">
      <c r="A16" s="150">
        <v>6</v>
      </c>
      <c r="B16" s="152" t="s">
        <v>25</v>
      </c>
      <c r="C16" s="151">
        <f t="shared" si="2"/>
        <v>1</v>
      </c>
      <c r="D16" s="69">
        <f>+'Componente 1'!I12</f>
        <v>160000</v>
      </c>
      <c r="E16" s="150">
        <f>+'Componente 1'!D12</f>
        <v>1</v>
      </c>
      <c r="F16" s="150">
        <f>+'Componente 1'!E12</f>
        <v>0</v>
      </c>
      <c r="G16" s="150">
        <f>+'Componente 1'!F12</f>
        <v>0</v>
      </c>
      <c r="H16" s="150">
        <f>+'Componente 1'!G12</f>
        <v>0</v>
      </c>
      <c r="I16" s="150">
        <f>+'Componente 1'!H12</f>
        <v>0</v>
      </c>
      <c r="J16" s="141">
        <f t="shared" si="3"/>
        <v>131200</v>
      </c>
      <c r="K16" s="141">
        <f t="shared" si="4"/>
        <v>28800</v>
      </c>
      <c r="L16" s="69">
        <f t="shared" si="5"/>
        <v>160000</v>
      </c>
      <c r="M16" s="141">
        <f t="shared" si="6"/>
        <v>0</v>
      </c>
      <c r="N16" s="141">
        <f t="shared" si="7"/>
        <v>0</v>
      </c>
      <c r="O16" s="137">
        <f t="shared" si="8"/>
        <v>0</v>
      </c>
      <c r="P16" s="141">
        <f t="shared" si="9"/>
        <v>0</v>
      </c>
      <c r="Q16" s="141">
        <f t="shared" si="10"/>
        <v>0</v>
      </c>
      <c r="R16" s="69">
        <f t="shared" si="11"/>
        <v>0</v>
      </c>
      <c r="S16" s="141">
        <f t="shared" si="12"/>
        <v>0</v>
      </c>
      <c r="T16" s="141">
        <f t="shared" si="13"/>
        <v>0</v>
      </c>
      <c r="U16" s="69">
        <f t="shared" si="14"/>
        <v>0</v>
      </c>
      <c r="V16" s="141">
        <f t="shared" si="15"/>
        <v>0</v>
      </c>
      <c r="W16" s="141">
        <f t="shared" si="16"/>
        <v>0</v>
      </c>
      <c r="X16" s="69">
        <f t="shared" si="17"/>
        <v>0</v>
      </c>
      <c r="Y16" s="159">
        <f t="shared" si="18"/>
        <v>131200</v>
      </c>
      <c r="Z16" s="141">
        <f t="shared" si="19"/>
        <v>28800</v>
      </c>
      <c r="AA16" s="143">
        <f t="shared" si="20"/>
        <v>160000</v>
      </c>
    </row>
    <row r="17" spans="1:27" ht="31.5" customHeight="1">
      <c r="A17" s="213">
        <v>7</v>
      </c>
      <c r="B17" s="153" t="s">
        <v>26</v>
      </c>
      <c r="C17" s="151">
        <f t="shared" si="2"/>
        <v>1</v>
      </c>
      <c r="D17" s="69">
        <f>+'Componente 1'!I13</f>
        <v>160000</v>
      </c>
      <c r="E17" s="150">
        <f>+'Componente 1'!D13</f>
        <v>0.2</v>
      </c>
      <c r="F17" s="150">
        <f>+'Componente 1'!E13</f>
        <v>0.8</v>
      </c>
      <c r="G17" s="150">
        <f>+'Componente 1'!F13</f>
        <v>0</v>
      </c>
      <c r="H17" s="150">
        <f>+'Componente 1'!G13</f>
        <v>0</v>
      </c>
      <c r="I17" s="150">
        <f>+'Componente 1'!H13</f>
        <v>0</v>
      </c>
      <c r="J17" s="141">
        <f t="shared" si="3"/>
        <v>26240</v>
      </c>
      <c r="K17" s="141">
        <f t="shared" si="4"/>
        <v>5760</v>
      </c>
      <c r="L17" s="69">
        <f t="shared" si="5"/>
        <v>32000</v>
      </c>
      <c r="M17" s="141">
        <f t="shared" si="6"/>
        <v>104960</v>
      </c>
      <c r="N17" s="141">
        <f t="shared" si="7"/>
        <v>23040</v>
      </c>
      <c r="O17" s="137">
        <f t="shared" si="8"/>
        <v>128000</v>
      </c>
      <c r="P17" s="141">
        <f t="shared" si="9"/>
        <v>0</v>
      </c>
      <c r="Q17" s="141">
        <f t="shared" si="10"/>
        <v>0</v>
      </c>
      <c r="R17" s="69">
        <f t="shared" si="11"/>
        <v>0</v>
      </c>
      <c r="S17" s="141">
        <f t="shared" si="12"/>
        <v>0</v>
      </c>
      <c r="T17" s="141">
        <f t="shared" si="13"/>
        <v>0</v>
      </c>
      <c r="U17" s="69">
        <f t="shared" si="14"/>
        <v>0</v>
      </c>
      <c r="V17" s="141">
        <f t="shared" si="15"/>
        <v>0</v>
      </c>
      <c r="W17" s="141">
        <f t="shared" si="16"/>
        <v>0</v>
      </c>
      <c r="X17" s="69">
        <f t="shared" si="17"/>
        <v>0</v>
      </c>
      <c r="Y17" s="159">
        <f t="shared" si="18"/>
        <v>131200</v>
      </c>
      <c r="Z17" s="141">
        <f t="shared" si="19"/>
        <v>28800</v>
      </c>
      <c r="AA17" s="143">
        <f t="shared" si="20"/>
        <v>160000</v>
      </c>
    </row>
    <row r="18" spans="1:27" ht="28.15" thickBot="1">
      <c r="A18" s="150">
        <v>8</v>
      </c>
      <c r="B18" s="153" t="s">
        <v>27</v>
      </c>
      <c r="C18" s="151">
        <f t="shared" si="2"/>
        <v>50</v>
      </c>
      <c r="D18" s="69">
        <f>+'Componente 1'!I14</f>
        <v>125000</v>
      </c>
      <c r="E18" s="150">
        <f>+'Componente 1'!D14</f>
        <v>0</v>
      </c>
      <c r="F18" s="150">
        <f>+'Componente 1'!E14</f>
        <v>10</v>
      </c>
      <c r="G18" s="150">
        <f>+'Componente 1'!F14</f>
        <v>15</v>
      </c>
      <c r="H18" s="150">
        <f>+'Componente 1'!G14</f>
        <v>15</v>
      </c>
      <c r="I18" s="150">
        <f>+'Componente 1'!H14</f>
        <v>10</v>
      </c>
      <c r="J18" s="141">
        <f t="shared" si="3"/>
        <v>0</v>
      </c>
      <c r="K18" s="141">
        <f t="shared" si="4"/>
        <v>0</v>
      </c>
      <c r="L18" s="69">
        <f t="shared" si="5"/>
        <v>0</v>
      </c>
      <c r="M18" s="141">
        <f t="shared" si="6"/>
        <v>1024999.9999999999</v>
      </c>
      <c r="N18" s="141">
        <f t="shared" si="7"/>
        <v>225000</v>
      </c>
      <c r="O18" s="137">
        <f t="shared" si="8"/>
        <v>1250000</v>
      </c>
      <c r="P18" s="141">
        <f t="shared" si="9"/>
        <v>1537500</v>
      </c>
      <c r="Q18" s="141">
        <f t="shared" si="10"/>
        <v>337500</v>
      </c>
      <c r="R18" s="69">
        <f t="shared" si="11"/>
        <v>1875000</v>
      </c>
      <c r="S18" s="141">
        <f t="shared" si="12"/>
        <v>1537500</v>
      </c>
      <c r="T18" s="141">
        <f t="shared" si="13"/>
        <v>337500</v>
      </c>
      <c r="U18" s="69">
        <f t="shared" si="14"/>
        <v>1875000</v>
      </c>
      <c r="V18" s="141">
        <f t="shared" si="15"/>
        <v>1024999.9999999999</v>
      </c>
      <c r="W18" s="141">
        <f t="shared" si="16"/>
        <v>225000</v>
      </c>
      <c r="X18" s="69">
        <f t="shared" si="17"/>
        <v>1250000</v>
      </c>
      <c r="Y18" s="159">
        <f t="shared" si="18"/>
        <v>5125000</v>
      </c>
      <c r="Z18" s="141">
        <f t="shared" si="19"/>
        <v>1125000</v>
      </c>
      <c r="AA18" s="143">
        <f t="shared" si="20"/>
        <v>6250000</v>
      </c>
    </row>
    <row r="19" spans="1:27" ht="28.15" thickBot="1">
      <c r="A19" s="119"/>
      <c r="B19" s="119" t="s">
        <v>28</v>
      </c>
      <c r="C19" s="81"/>
      <c r="D19" s="120"/>
      <c r="E19" s="120"/>
      <c r="F19" s="120"/>
      <c r="G19" s="120"/>
      <c r="H19" s="120"/>
      <c r="I19" s="120"/>
      <c r="J19" s="142">
        <f t="shared" ref="J19:Y19" si="21">+SUM(J20:J29)</f>
        <v>0</v>
      </c>
      <c r="K19" s="142">
        <f t="shared" si="21"/>
        <v>0</v>
      </c>
      <c r="L19" s="142">
        <f t="shared" si="21"/>
        <v>0</v>
      </c>
      <c r="M19" s="142">
        <f t="shared" si="21"/>
        <v>1291500</v>
      </c>
      <c r="N19" s="142">
        <f t="shared" si="21"/>
        <v>283500</v>
      </c>
      <c r="O19" s="142">
        <f t="shared" si="21"/>
        <v>1575000</v>
      </c>
      <c r="P19" s="142">
        <f t="shared" si="21"/>
        <v>11533300</v>
      </c>
      <c r="Q19" s="142">
        <f t="shared" si="21"/>
        <v>2531700</v>
      </c>
      <c r="R19" s="142">
        <f t="shared" si="21"/>
        <v>14065000</v>
      </c>
      <c r="S19" s="142">
        <f t="shared" si="21"/>
        <v>24657400</v>
      </c>
      <c r="T19" s="142">
        <f t="shared" si="21"/>
        <v>5412600</v>
      </c>
      <c r="U19" s="142">
        <f t="shared" si="21"/>
        <v>30070000</v>
      </c>
      <c r="V19" s="142">
        <f t="shared" si="21"/>
        <v>5567800</v>
      </c>
      <c r="W19" s="142">
        <f t="shared" si="21"/>
        <v>1222200</v>
      </c>
      <c r="X19" s="142">
        <f t="shared" si="21"/>
        <v>6790000</v>
      </c>
      <c r="Y19" s="142">
        <f t="shared" si="21"/>
        <v>43050000</v>
      </c>
      <c r="Z19" s="142">
        <f>+SUM(Z20:Z29)</f>
        <v>9450000</v>
      </c>
      <c r="AA19" s="136">
        <f>+SUM(AA20:AA29)</f>
        <v>52500000</v>
      </c>
    </row>
    <row r="20" spans="1:27" ht="27.6">
      <c r="A20" s="213">
        <v>9</v>
      </c>
      <c r="B20" s="91" t="s">
        <v>111</v>
      </c>
      <c r="C20" s="115">
        <f>+'Componente 2'!B7</f>
        <v>7</v>
      </c>
      <c r="D20" s="115">
        <f>+'Componente 2'!C7</f>
        <v>50000</v>
      </c>
      <c r="E20" s="115">
        <f>+'Componente 2'!D7</f>
        <v>0</v>
      </c>
      <c r="F20" s="115">
        <f>+'Componente 2'!E7</f>
        <v>7</v>
      </c>
      <c r="G20" s="115">
        <f>+'Componente 2'!F7</f>
        <v>0</v>
      </c>
      <c r="H20" s="115">
        <f>+'Componente 2'!G7</f>
        <v>0</v>
      </c>
      <c r="I20" s="115">
        <f>+'Componente 2'!H7</f>
        <v>0</v>
      </c>
      <c r="J20" s="141">
        <f>+L20*82%</f>
        <v>0</v>
      </c>
      <c r="K20" s="141">
        <f>18%*L20</f>
        <v>0</v>
      </c>
      <c r="L20" s="115">
        <f>+E20*D20</f>
        <v>0</v>
      </c>
      <c r="M20" s="141">
        <f>+O20*82%</f>
        <v>287000</v>
      </c>
      <c r="N20" s="141">
        <f>18%*O20</f>
        <v>63000</v>
      </c>
      <c r="O20" s="115">
        <f>+F20*D20</f>
        <v>350000</v>
      </c>
      <c r="P20" s="141">
        <f>+R20*82%</f>
        <v>0</v>
      </c>
      <c r="Q20" s="141">
        <f>18%*R20</f>
        <v>0</v>
      </c>
      <c r="R20" s="115">
        <f>+G20*D20</f>
        <v>0</v>
      </c>
      <c r="S20" s="141">
        <f>+U20*82%</f>
        <v>0</v>
      </c>
      <c r="T20" s="141">
        <f>18%*U20</f>
        <v>0</v>
      </c>
      <c r="U20" s="115">
        <f>+H20*D20</f>
        <v>0</v>
      </c>
      <c r="V20" s="141">
        <f>+X20*82%</f>
        <v>0</v>
      </c>
      <c r="W20" s="141">
        <f>18%*X20</f>
        <v>0</v>
      </c>
      <c r="X20" s="115">
        <f>+I20*D20</f>
        <v>0</v>
      </c>
      <c r="Y20" s="141">
        <f>+J20+M20+P20+S20+V20</f>
        <v>287000</v>
      </c>
      <c r="Z20" s="141">
        <f>+K20+N20+Q20+T20+W20</f>
        <v>63000</v>
      </c>
      <c r="AA20" s="143">
        <f>+L20+O20+R20+U20+X20</f>
        <v>350000</v>
      </c>
    </row>
    <row r="21" spans="1:27" ht="27.6">
      <c r="A21" s="213">
        <v>13</v>
      </c>
      <c r="B21" s="91" t="s">
        <v>112</v>
      </c>
      <c r="C21" s="115">
        <f>+'Componente 2'!B8</f>
        <v>10</v>
      </c>
      <c r="D21" s="115">
        <f>+'Componente 2'!C8</f>
        <v>70000</v>
      </c>
      <c r="E21" s="115">
        <f>+'Componente 2'!D8</f>
        <v>0</v>
      </c>
      <c r="F21" s="115">
        <f>+'Componente 2'!E8</f>
        <v>10</v>
      </c>
      <c r="G21" s="115">
        <f>+'Componente 2'!F8</f>
        <v>0</v>
      </c>
      <c r="H21" s="115">
        <f>+'Componente 2'!G8</f>
        <v>0</v>
      </c>
      <c r="I21" s="115">
        <f>+'Componente 2'!H8</f>
        <v>0</v>
      </c>
      <c r="J21" s="141">
        <f t="shared" ref="J21:J29" si="22">+L21*82%</f>
        <v>0</v>
      </c>
      <c r="K21" s="141">
        <f t="shared" ref="K21:K29" si="23">18%*L21</f>
        <v>0</v>
      </c>
      <c r="L21" s="115">
        <f t="shared" ref="L21:L29" si="24">+E21*D21</f>
        <v>0</v>
      </c>
      <c r="M21" s="141">
        <f t="shared" ref="M21:M29" si="25">+O21*82%</f>
        <v>574000</v>
      </c>
      <c r="N21" s="141">
        <f t="shared" ref="N21:N75" si="26">18%*O21</f>
        <v>126000</v>
      </c>
      <c r="O21" s="115">
        <f t="shared" ref="O21:O29" si="27">+F21*D21</f>
        <v>700000</v>
      </c>
      <c r="P21" s="141">
        <f t="shared" ref="P21:P29" si="28">+R21*82%</f>
        <v>0</v>
      </c>
      <c r="Q21" s="141">
        <f t="shared" ref="Q21:Q29" si="29">18%*R21</f>
        <v>0</v>
      </c>
      <c r="R21" s="115">
        <f t="shared" ref="R21:R29" si="30">+G21*D21</f>
        <v>0</v>
      </c>
      <c r="S21" s="141">
        <f t="shared" ref="S21:S29" si="31">+U21*82%</f>
        <v>0</v>
      </c>
      <c r="T21" s="141">
        <f t="shared" ref="T21:T28" si="32">18%*U21</f>
        <v>0</v>
      </c>
      <c r="U21" s="115">
        <f t="shared" ref="U21:U29" si="33">+H21*D21</f>
        <v>0</v>
      </c>
      <c r="V21" s="141">
        <f t="shared" ref="V21:V29" si="34">+X21*82%</f>
        <v>0</v>
      </c>
      <c r="W21" s="141">
        <f t="shared" ref="W21:W29" si="35">18%*X21</f>
        <v>0</v>
      </c>
      <c r="X21" s="115">
        <f t="shared" ref="X21:X29" si="36">+I21*D21</f>
        <v>0</v>
      </c>
      <c r="Y21" s="141">
        <f t="shared" ref="Y21:Y29" si="37">+J21+M21+P21+S21+V21</f>
        <v>574000</v>
      </c>
      <c r="Z21" s="141">
        <f t="shared" ref="Z21:Z29" si="38">+K21+N21+Q21+T21+W21</f>
        <v>126000</v>
      </c>
      <c r="AA21" s="143">
        <f t="shared" ref="AA21:AA29" si="39">+L21+O21+R21+U21+X21</f>
        <v>700000</v>
      </c>
    </row>
    <row r="22" spans="1:27" ht="27.6">
      <c r="A22" s="213">
        <v>10</v>
      </c>
      <c r="B22" s="91" t="s">
        <v>113</v>
      </c>
      <c r="C22" s="115">
        <f>+'Componente 2'!B9</f>
        <v>7</v>
      </c>
      <c r="D22" s="115">
        <f>+'Componente 2'!C9</f>
        <v>75000</v>
      </c>
      <c r="E22" s="115">
        <f>+'Componente 2'!D9</f>
        <v>0</v>
      </c>
      <c r="F22" s="115">
        <f>+'Componente 2'!E9</f>
        <v>0</v>
      </c>
      <c r="G22" s="115">
        <f>+'Componente 2'!F9</f>
        <v>3</v>
      </c>
      <c r="H22" s="115">
        <f>+'Componente 2'!G9</f>
        <v>4</v>
      </c>
      <c r="I22" s="115">
        <f>+'Componente 2'!H9</f>
        <v>0</v>
      </c>
      <c r="J22" s="141">
        <f t="shared" si="22"/>
        <v>0</v>
      </c>
      <c r="K22" s="141">
        <f t="shared" si="23"/>
        <v>0</v>
      </c>
      <c r="L22" s="115">
        <f t="shared" si="24"/>
        <v>0</v>
      </c>
      <c r="M22" s="141">
        <f t="shared" si="25"/>
        <v>0</v>
      </c>
      <c r="N22" s="141">
        <f t="shared" si="26"/>
        <v>0</v>
      </c>
      <c r="O22" s="115">
        <f t="shared" si="27"/>
        <v>0</v>
      </c>
      <c r="P22" s="141">
        <f t="shared" si="28"/>
        <v>184500</v>
      </c>
      <c r="Q22" s="141">
        <f t="shared" si="29"/>
        <v>40500</v>
      </c>
      <c r="R22" s="115">
        <f t="shared" si="30"/>
        <v>225000</v>
      </c>
      <c r="S22" s="141">
        <f t="shared" si="31"/>
        <v>245999.99999999997</v>
      </c>
      <c r="T22" s="141">
        <f t="shared" si="32"/>
        <v>54000</v>
      </c>
      <c r="U22" s="115">
        <f t="shared" si="33"/>
        <v>300000</v>
      </c>
      <c r="V22" s="141">
        <f t="shared" si="34"/>
        <v>0</v>
      </c>
      <c r="W22" s="141">
        <f t="shared" si="35"/>
        <v>0</v>
      </c>
      <c r="X22" s="115">
        <f t="shared" si="36"/>
        <v>0</v>
      </c>
      <c r="Y22" s="141">
        <f t="shared" si="37"/>
        <v>430500</v>
      </c>
      <c r="Z22" s="141">
        <f t="shared" si="38"/>
        <v>94500</v>
      </c>
      <c r="AA22" s="143">
        <f t="shared" si="39"/>
        <v>525000</v>
      </c>
    </row>
    <row r="23" spans="1:27" ht="27.6">
      <c r="A23" s="213">
        <v>14</v>
      </c>
      <c r="B23" s="91" t="s">
        <v>114</v>
      </c>
      <c r="C23" s="115">
        <f>+'Componente 2'!B10</f>
        <v>10</v>
      </c>
      <c r="D23" s="115">
        <f>+'Componente 2'!C10</f>
        <v>105000</v>
      </c>
      <c r="E23" s="115">
        <f>+'Componente 2'!D10</f>
        <v>0</v>
      </c>
      <c r="F23" s="115">
        <f>+'Componente 2'!E10</f>
        <v>0</v>
      </c>
      <c r="G23" s="115">
        <f>+'Componente 2'!F10</f>
        <v>2</v>
      </c>
      <c r="H23" s="115">
        <f>+'Componente 2'!G10</f>
        <v>6</v>
      </c>
      <c r="I23" s="115">
        <f>+'Componente 2'!H10</f>
        <v>2</v>
      </c>
      <c r="J23" s="141">
        <f t="shared" si="22"/>
        <v>0</v>
      </c>
      <c r="K23" s="141">
        <f t="shared" si="23"/>
        <v>0</v>
      </c>
      <c r="L23" s="115">
        <f t="shared" si="24"/>
        <v>0</v>
      </c>
      <c r="M23" s="141">
        <f t="shared" si="25"/>
        <v>0</v>
      </c>
      <c r="N23" s="141">
        <f t="shared" si="26"/>
        <v>0</v>
      </c>
      <c r="O23" s="115">
        <f t="shared" si="27"/>
        <v>0</v>
      </c>
      <c r="P23" s="141">
        <f t="shared" si="28"/>
        <v>172200</v>
      </c>
      <c r="Q23" s="141">
        <f t="shared" si="29"/>
        <v>37800</v>
      </c>
      <c r="R23" s="115">
        <f t="shared" si="30"/>
        <v>210000</v>
      </c>
      <c r="S23" s="141">
        <f t="shared" si="31"/>
        <v>516599.99999999994</v>
      </c>
      <c r="T23" s="141">
        <f t="shared" si="32"/>
        <v>113400</v>
      </c>
      <c r="U23" s="115">
        <f t="shared" si="33"/>
        <v>630000</v>
      </c>
      <c r="V23" s="141">
        <f t="shared" si="34"/>
        <v>172200</v>
      </c>
      <c r="W23" s="141">
        <f t="shared" si="35"/>
        <v>37800</v>
      </c>
      <c r="X23" s="115">
        <f t="shared" si="36"/>
        <v>210000</v>
      </c>
      <c r="Y23" s="141">
        <f t="shared" si="37"/>
        <v>861000</v>
      </c>
      <c r="Z23" s="141">
        <f t="shared" si="38"/>
        <v>189000</v>
      </c>
      <c r="AA23" s="143">
        <f t="shared" si="39"/>
        <v>1050000</v>
      </c>
    </row>
    <row r="24" spans="1:27" ht="27.6">
      <c r="A24" s="213">
        <v>10</v>
      </c>
      <c r="B24" s="91" t="s">
        <v>115</v>
      </c>
      <c r="C24" s="115">
        <f>+'Componente 2'!B11</f>
        <v>7</v>
      </c>
      <c r="D24" s="115">
        <f>+'Componente 2'!C11</f>
        <v>2225000</v>
      </c>
      <c r="E24" s="115">
        <f>+'Componente 2'!D11</f>
        <v>0</v>
      </c>
      <c r="F24" s="115">
        <f>+'Componente 2'!E11</f>
        <v>0</v>
      </c>
      <c r="G24" s="115">
        <f>+'Componente 2'!F11</f>
        <v>3</v>
      </c>
      <c r="H24" s="115">
        <f>+'Componente 2'!G11</f>
        <v>4</v>
      </c>
      <c r="I24" s="115">
        <f>+'Componente 2'!H11</f>
        <v>0</v>
      </c>
      <c r="J24" s="141">
        <f t="shared" si="22"/>
        <v>0</v>
      </c>
      <c r="K24" s="141">
        <f t="shared" si="23"/>
        <v>0</v>
      </c>
      <c r="L24" s="115">
        <f t="shared" si="24"/>
        <v>0</v>
      </c>
      <c r="M24" s="141">
        <f t="shared" si="25"/>
        <v>0</v>
      </c>
      <c r="N24" s="141">
        <f t="shared" si="26"/>
        <v>0</v>
      </c>
      <c r="O24" s="115">
        <f t="shared" si="27"/>
        <v>0</v>
      </c>
      <c r="P24" s="141">
        <f t="shared" si="28"/>
        <v>5473500</v>
      </c>
      <c r="Q24" s="141">
        <f t="shared" si="29"/>
        <v>1201500</v>
      </c>
      <c r="R24" s="115">
        <f t="shared" si="30"/>
        <v>6675000</v>
      </c>
      <c r="S24" s="141">
        <f t="shared" si="31"/>
        <v>7298000</v>
      </c>
      <c r="T24" s="141">
        <f t="shared" si="32"/>
        <v>1602000</v>
      </c>
      <c r="U24" s="115">
        <f t="shared" si="33"/>
        <v>8900000</v>
      </c>
      <c r="V24" s="141">
        <f t="shared" si="34"/>
        <v>0</v>
      </c>
      <c r="W24" s="141">
        <f t="shared" si="35"/>
        <v>0</v>
      </c>
      <c r="X24" s="115">
        <f t="shared" si="36"/>
        <v>0</v>
      </c>
      <c r="Y24" s="141">
        <f t="shared" si="37"/>
        <v>12771500</v>
      </c>
      <c r="Z24" s="141">
        <f t="shared" si="38"/>
        <v>2803500</v>
      </c>
      <c r="AA24" s="143">
        <f t="shared" si="39"/>
        <v>15575000</v>
      </c>
    </row>
    <row r="25" spans="1:27" ht="27.6">
      <c r="A25" s="213">
        <v>14</v>
      </c>
      <c r="B25" s="91" t="s">
        <v>116</v>
      </c>
      <c r="C25" s="115">
        <f>+'Componente 2'!B12</f>
        <v>10</v>
      </c>
      <c r="D25" s="115">
        <f>+'Componente 2'!C12</f>
        <v>3010000</v>
      </c>
      <c r="E25" s="115">
        <f>+'Componente 2'!D12</f>
        <v>0</v>
      </c>
      <c r="F25" s="115">
        <f>+'Componente 2'!E12</f>
        <v>0</v>
      </c>
      <c r="G25" s="115">
        <f>+'Componente 2'!F12</f>
        <v>2</v>
      </c>
      <c r="H25" s="115">
        <f>+'Componente 2'!G12</f>
        <v>6</v>
      </c>
      <c r="I25" s="115">
        <f>+'Componente 2'!H12</f>
        <v>2</v>
      </c>
      <c r="J25" s="141">
        <f t="shared" si="22"/>
        <v>0</v>
      </c>
      <c r="K25" s="141">
        <f t="shared" si="23"/>
        <v>0</v>
      </c>
      <c r="L25" s="115">
        <f t="shared" si="24"/>
        <v>0</v>
      </c>
      <c r="M25" s="141">
        <f t="shared" si="25"/>
        <v>0</v>
      </c>
      <c r="N25" s="141">
        <f t="shared" si="26"/>
        <v>0</v>
      </c>
      <c r="O25" s="115">
        <f t="shared" si="27"/>
        <v>0</v>
      </c>
      <c r="P25" s="141">
        <f t="shared" si="28"/>
        <v>4936400</v>
      </c>
      <c r="Q25" s="141">
        <f t="shared" si="29"/>
        <v>1083600</v>
      </c>
      <c r="R25" s="115">
        <f t="shared" si="30"/>
        <v>6020000</v>
      </c>
      <c r="S25" s="141">
        <f t="shared" si="31"/>
        <v>14809200</v>
      </c>
      <c r="T25" s="141">
        <f t="shared" si="32"/>
        <v>3250800</v>
      </c>
      <c r="U25" s="115">
        <f t="shared" si="33"/>
        <v>18060000</v>
      </c>
      <c r="V25" s="141">
        <f t="shared" si="34"/>
        <v>4936400</v>
      </c>
      <c r="W25" s="141">
        <f t="shared" si="35"/>
        <v>1083600</v>
      </c>
      <c r="X25" s="115">
        <f t="shared" si="36"/>
        <v>6020000</v>
      </c>
      <c r="Y25" s="141">
        <f t="shared" si="37"/>
        <v>24682000</v>
      </c>
      <c r="Z25" s="141">
        <f t="shared" si="38"/>
        <v>5418000</v>
      </c>
      <c r="AA25" s="143">
        <f t="shared" si="39"/>
        <v>30100000</v>
      </c>
    </row>
    <row r="26" spans="1:27" ht="41.45">
      <c r="A26" s="213">
        <v>9</v>
      </c>
      <c r="B26" s="91" t="s">
        <v>117</v>
      </c>
      <c r="C26" s="115">
        <f>+'Componente 2'!B13</f>
        <v>7</v>
      </c>
      <c r="D26" s="115">
        <f>+'Componente 2'!C13</f>
        <v>25000</v>
      </c>
      <c r="E26" s="115">
        <f>+'Componente 2'!D13</f>
        <v>0</v>
      </c>
      <c r="F26" s="115">
        <f>+'Componente 2'!E13</f>
        <v>7</v>
      </c>
      <c r="G26" s="115">
        <f>+'Componente 2'!F13</f>
        <v>0</v>
      </c>
      <c r="H26" s="115">
        <f>+'Componente 2'!G13</f>
        <v>0</v>
      </c>
      <c r="I26" s="115">
        <f>+'Componente 2'!H13</f>
        <v>0</v>
      </c>
      <c r="J26" s="141">
        <f t="shared" si="22"/>
        <v>0</v>
      </c>
      <c r="K26" s="141">
        <f t="shared" si="23"/>
        <v>0</v>
      </c>
      <c r="L26" s="115">
        <f t="shared" si="24"/>
        <v>0</v>
      </c>
      <c r="M26" s="141">
        <f t="shared" si="25"/>
        <v>143500</v>
      </c>
      <c r="N26" s="141">
        <f t="shared" si="26"/>
        <v>31500</v>
      </c>
      <c r="O26" s="115">
        <f t="shared" si="27"/>
        <v>175000</v>
      </c>
      <c r="P26" s="141">
        <f t="shared" si="28"/>
        <v>0</v>
      </c>
      <c r="Q26" s="141">
        <f t="shared" si="29"/>
        <v>0</v>
      </c>
      <c r="R26" s="115">
        <f t="shared" si="30"/>
        <v>0</v>
      </c>
      <c r="S26" s="141">
        <f t="shared" si="31"/>
        <v>0</v>
      </c>
      <c r="T26" s="141">
        <f t="shared" si="32"/>
        <v>0</v>
      </c>
      <c r="U26" s="115">
        <f t="shared" si="33"/>
        <v>0</v>
      </c>
      <c r="V26" s="141">
        <f t="shared" si="34"/>
        <v>0</v>
      </c>
      <c r="W26" s="141">
        <f t="shared" si="35"/>
        <v>0</v>
      </c>
      <c r="X26" s="115">
        <f t="shared" si="36"/>
        <v>0</v>
      </c>
      <c r="Y26" s="141">
        <f t="shared" si="37"/>
        <v>143500</v>
      </c>
      <c r="Z26" s="141">
        <f t="shared" si="38"/>
        <v>31500</v>
      </c>
      <c r="AA26" s="143">
        <f t="shared" si="39"/>
        <v>175000</v>
      </c>
    </row>
    <row r="27" spans="1:27" ht="41.45">
      <c r="A27" s="213">
        <v>13</v>
      </c>
      <c r="B27" s="91" t="s">
        <v>118</v>
      </c>
      <c r="C27" s="115">
        <f>+'Componente 2'!B14</f>
        <v>10</v>
      </c>
      <c r="D27" s="115">
        <f>+'Componente 2'!C14</f>
        <v>35000</v>
      </c>
      <c r="E27" s="115">
        <f>+'Componente 2'!D14</f>
        <v>0</v>
      </c>
      <c r="F27" s="115">
        <f>+'Componente 2'!E14</f>
        <v>10</v>
      </c>
      <c r="G27" s="115">
        <f>+'Componente 2'!F14</f>
        <v>0</v>
      </c>
      <c r="H27" s="115">
        <f>+'Componente 2'!G14</f>
        <v>0</v>
      </c>
      <c r="I27" s="115">
        <f>+'Componente 2'!H14</f>
        <v>0</v>
      </c>
      <c r="J27" s="141">
        <f t="shared" si="22"/>
        <v>0</v>
      </c>
      <c r="K27" s="141">
        <f t="shared" si="23"/>
        <v>0</v>
      </c>
      <c r="L27" s="115">
        <f t="shared" si="24"/>
        <v>0</v>
      </c>
      <c r="M27" s="141">
        <f t="shared" si="25"/>
        <v>287000</v>
      </c>
      <c r="N27" s="141">
        <f t="shared" si="26"/>
        <v>63000</v>
      </c>
      <c r="O27" s="115">
        <f t="shared" si="27"/>
        <v>350000</v>
      </c>
      <c r="P27" s="141">
        <f t="shared" si="28"/>
        <v>0</v>
      </c>
      <c r="Q27" s="141">
        <f t="shared" si="29"/>
        <v>0</v>
      </c>
      <c r="R27" s="115">
        <f t="shared" si="30"/>
        <v>0</v>
      </c>
      <c r="S27" s="141">
        <f t="shared" si="31"/>
        <v>0</v>
      </c>
      <c r="T27" s="141">
        <f t="shared" si="32"/>
        <v>0</v>
      </c>
      <c r="U27" s="115">
        <f t="shared" si="33"/>
        <v>0</v>
      </c>
      <c r="V27" s="141">
        <f t="shared" si="34"/>
        <v>0</v>
      </c>
      <c r="W27" s="141">
        <f t="shared" si="35"/>
        <v>0</v>
      </c>
      <c r="X27" s="115">
        <f t="shared" si="36"/>
        <v>0</v>
      </c>
      <c r="Y27" s="141">
        <f t="shared" si="37"/>
        <v>287000</v>
      </c>
      <c r="Z27" s="141">
        <f t="shared" si="38"/>
        <v>63000</v>
      </c>
      <c r="AA27" s="143">
        <f t="shared" si="39"/>
        <v>350000</v>
      </c>
    </row>
    <row r="28" spans="1:27" ht="26.25" customHeight="1">
      <c r="A28" s="213">
        <v>11</v>
      </c>
      <c r="B28" s="91" t="s">
        <v>119</v>
      </c>
      <c r="C28" s="115">
        <f>+'Componente 2'!B15</f>
        <v>7</v>
      </c>
      <c r="D28" s="115">
        <f>+'Componente 2'!C15</f>
        <v>125000</v>
      </c>
      <c r="E28" s="115">
        <f>+'Componente 2'!D15</f>
        <v>0</v>
      </c>
      <c r="F28" s="115">
        <f>+'Componente 2'!E15</f>
        <v>0</v>
      </c>
      <c r="G28" s="115">
        <f>+'Componente 2'!F15</f>
        <v>3</v>
      </c>
      <c r="H28" s="115">
        <f>+'Componente 2'!G15</f>
        <v>4</v>
      </c>
      <c r="I28" s="115">
        <f>+'Componente 2'!H15</f>
        <v>0</v>
      </c>
      <c r="J28" s="141">
        <f t="shared" si="22"/>
        <v>0</v>
      </c>
      <c r="K28" s="141">
        <f t="shared" si="23"/>
        <v>0</v>
      </c>
      <c r="L28" s="115">
        <f t="shared" si="24"/>
        <v>0</v>
      </c>
      <c r="M28" s="141">
        <f t="shared" si="25"/>
        <v>0</v>
      </c>
      <c r="N28" s="141">
        <f t="shared" si="26"/>
        <v>0</v>
      </c>
      <c r="O28" s="115">
        <f t="shared" si="27"/>
        <v>0</v>
      </c>
      <c r="P28" s="141">
        <f t="shared" si="28"/>
        <v>307500</v>
      </c>
      <c r="Q28" s="141">
        <f t="shared" si="29"/>
        <v>67500</v>
      </c>
      <c r="R28" s="115">
        <f t="shared" si="30"/>
        <v>375000</v>
      </c>
      <c r="S28" s="141">
        <f t="shared" si="31"/>
        <v>410000</v>
      </c>
      <c r="T28" s="141">
        <f t="shared" si="32"/>
        <v>90000</v>
      </c>
      <c r="U28" s="115">
        <f t="shared" si="33"/>
        <v>500000</v>
      </c>
      <c r="V28" s="141">
        <f t="shared" si="34"/>
        <v>0</v>
      </c>
      <c r="W28" s="141">
        <f t="shared" si="35"/>
        <v>0</v>
      </c>
      <c r="X28" s="115">
        <f t="shared" si="36"/>
        <v>0</v>
      </c>
      <c r="Y28" s="141">
        <f t="shared" si="37"/>
        <v>717500</v>
      </c>
      <c r="Z28" s="141">
        <f t="shared" si="38"/>
        <v>157500</v>
      </c>
      <c r="AA28" s="143">
        <f t="shared" si="39"/>
        <v>875000</v>
      </c>
    </row>
    <row r="29" spans="1:27" ht="28.15" thickBot="1">
      <c r="A29" s="213">
        <v>15</v>
      </c>
      <c r="B29" s="91" t="s">
        <v>120</v>
      </c>
      <c r="C29" s="115">
        <f>+'Componente 2'!B16</f>
        <v>10</v>
      </c>
      <c r="D29" s="115">
        <f>+'Componente 2'!C16</f>
        <v>280000</v>
      </c>
      <c r="E29" s="115">
        <f>+'Componente 2'!D16</f>
        <v>0</v>
      </c>
      <c r="F29" s="115">
        <f>+'Componente 2'!E16</f>
        <v>0</v>
      </c>
      <c r="G29" s="115">
        <f>+'Componente 2'!F16</f>
        <v>2</v>
      </c>
      <c r="H29" s="115">
        <f>+'Componente 2'!G16</f>
        <v>6</v>
      </c>
      <c r="I29" s="115">
        <f>+'Componente 2'!H16</f>
        <v>2</v>
      </c>
      <c r="J29" s="141">
        <f t="shared" si="22"/>
        <v>0</v>
      </c>
      <c r="K29" s="141">
        <f t="shared" si="23"/>
        <v>0</v>
      </c>
      <c r="L29" s="115">
        <f t="shared" si="24"/>
        <v>0</v>
      </c>
      <c r="M29" s="141">
        <f t="shared" si="25"/>
        <v>0</v>
      </c>
      <c r="N29" s="141">
        <f t="shared" si="26"/>
        <v>0</v>
      </c>
      <c r="O29" s="115">
        <f t="shared" si="27"/>
        <v>0</v>
      </c>
      <c r="P29" s="141">
        <f t="shared" si="28"/>
        <v>459200</v>
      </c>
      <c r="Q29" s="141">
        <f t="shared" si="29"/>
        <v>100800</v>
      </c>
      <c r="R29" s="115">
        <f t="shared" si="30"/>
        <v>560000</v>
      </c>
      <c r="S29" s="141">
        <f t="shared" si="31"/>
        <v>1377600</v>
      </c>
      <c r="T29" s="141">
        <f>18%*U29</f>
        <v>302400</v>
      </c>
      <c r="U29" s="115">
        <f t="shared" si="33"/>
        <v>1680000</v>
      </c>
      <c r="V29" s="141">
        <f t="shared" si="34"/>
        <v>459200</v>
      </c>
      <c r="W29" s="141">
        <f t="shared" si="35"/>
        <v>100800</v>
      </c>
      <c r="X29" s="115">
        <f t="shared" si="36"/>
        <v>560000</v>
      </c>
      <c r="Y29" s="141">
        <f t="shared" si="37"/>
        <v>2296000</v>
      </c>
      <c r="Z29" s="141">
        <f t="shared" si="38"/>
        <v>504000</v>
      </c>
      <c r="AA29" s="144">
        <f t="shared" si="39"/>
        <v>2800000</v>
      </c>
    </row>
    <row r="30" spans="1:27" ht="26.25" customHeight="1" thickBot="1">
      <c r="A30" s="119"/>
      <c r="B30" s="119" t="s">
        <v>37</v>
      </c>
      <c r="C30" s="81"/>
      <c r="D30" s="120"/>
      <c r="E30" s="120"/>
      <c r="F30" s="120"/>
      <c r="G30" s="120"/>
      <c r="H30" s="120"/>
      <c r="I30" s="120"/>
      <c r="J30" s="142">
        <f t="shared" ref="J30:Y30" si="40">+J31+J34+J39+J47+J52+J60+J62+J64+J66+J70+J73</f>
        <v>0</v>
      </c>
      <c r="K30" s="142">
        <f t="shared" si="40"/>
        <v>0</v>
      </c>
      <c r="L30" s="142">
        <f t="shared" si="40"/>
        <v>0</v>
      </c>
      <c r="M30" s="142">
        <f t="shared" si="40"/>
        <v>1079725.3642077863</v>
      </c>
      <c r="N30" s="142">
        <f t="shared" si="40"/>
        <v>237012.88482609944</v>
      </c>
      <c r="O30" s="142">
        <f t="shared" si="40"/>
        <v>1316738.2490338858</v>
      </c>
      <c r="P30" s="142">
        <f t="shared" si="40"/>
        <v>22121165.056103252</v>
      </c>
      <c r="Q30" s="142">
        <f t="shared" si="40"/>
        <v>4855865.5001202263</v>
      </c>
      <c r="R30" s="142">
        <f t="shared" si="40"/>
        <v>26977030.556223482</v>
      </c>
      <c r="S30" s="142">
        <f t="shared" si="40"/>
        <v>16436185.165868279</v>
      </c>
      <c r="T30" s="142">
        <f t="shared" si="40"/>
        <v>3607943.0851905979</v>
      </c>
      <c r="U30" s="142">
        <f t="shared" si="40"/>
        <v>20044128.251058877</v>
      </c>
      <c r="V30" s="142">
        <f t="shared" si="40"/>
        <v>23851985.637580525</v>
      </c>
      <c r="W30" s="142">
        <f t="shared" si="40"/>
        <v>5235801.7253225539</v>
      </c>
      <c r="X30" s="142">
        <f t="shared" si="40"/>
        <v>29087787.362903081</v>
      </c>
      <c r="Y30" s="142">
        <f t="shared" si="40"/>
        <v>63489061.223759845</v>
      </c>
      <c r="Z30" s="142">
        <f>+Z31+Z34+Z39+Z47+Z52+Z60+Z62+Z64+Z66+Z70+Z73</f>
        <v>13936623.195459478</v>
      </c>
      <c r="AA30" s="136">
        <f>+AA31+AA34+AA39+AA47+AA52+AA60+AA62+AA64+AA66+AA70+AA73</f>
        <v>77425684.419219315</v>
      </c>
    </row>
    <row r="31" spans="1:27" s="111" customFormat="1" ht="27.6">
      <c r="A31" s="99"/>
      <c r="B31" s="99" t="s">
        <v>121</v>
      </c>
      <c r="C31" s="211"/>
      <c r="D31" s="211"/>
      <c r="E31" s="210">
        <f>+'Metas Comp. 3'!B3</f>
        <v>0</v>
      </c>
      <c r="F31" s="211">
        <f>+'Metas Comp. 3'!C3</f>
        <v>0</v>
      </c>
      <c r="G31" s="211">
        <f>+'Metas Comp. 3'!D3</f>
        <v>0</v>
      </c>
      <c r="H31" s="210">
        <f>+'Metas Comp. 3'!E3</f>
        <v>0</v>
      </c>
      <c r="I31" s="211">
        <f>+'Metas Comp. 3'!F3</f>
        <v>0</v>
      </c>
      <c r="J31" s="211">
        <f t="shared" ref="J31" si="41">+L31*82%</f>
        <v>0</v>
      </c>
      <c r="K31" s="211">
        <f>18%*L31</f>
        <v>0</v>
      </c>
      <c r="L31" s="210">
        <f>+'Componente 3'!M7</f>
        <v>0</v>
      </c>
      <c r="M31" s="211">
        <f t="shared" ref="M31" si="42">+O31*82%</f>
        <v>0</v>
      </c>
      <c r="N31" s="211">
        <f t="shared" si="26"/>
        <v>0</v>
      </c>
      <c r="O31" s="210">
        <f>+'Componente 3'!N7</f>
        <v>0</v>
      </c>
      <c r="P31" s="211">
        <f t="shared" ref="P31" si="43">+R31*82%</f>
        <v>0</v>
      </c>
      <c r="Q31" s="211">
        <f>18%*R31</f>
        <v>0</v>
      </c>
      <c r="R31" s="210">
        <f>+'Componente 3'!O7</f>
        <v>0</v>
      </c>
      <c r="S31" s="211">
        <f t="shared" ref="S31" si="44">+U31*82%</f>
        <v>344400</v>
      </c>
      <c r="T31" s="211">
        <f t="shared" ref="T31" si="45">18%*U31</f>
        <v>75600</v>
      </c>
      <c r="U31" s="210">
        <f>+'Componente 3'!P7</f>
        <v>420000</v>
      </c>
      <c r="V31" s="211">
        <f>+X31*82%</f>
        <v>0</v>
      </c>
      <c r="W31" s="211">
        <f t="shared" ref="W31" si="46">18%*X31</f>
        <v>0</v>
      </c>
      <c r="X31" s="210">
        <f>+'Componente 3'!Q7</f>
        <v>0</v>
      </c>
      <c r="Y31" s="211">
        <f>+J31+M31+P31+S31+V31</f>
        <v>344400</v>
      </c>
      <c r="Z31" s="211">
        <f>+K31+N31+Q31+T31+W31</f>
        <v>75600</v>
      </c>
      <c r="AA31" s="212">
        <f>+L31+O31+R31+U31+X31</f>
        <v>420000</v>
      </c>
    </row>
    <row r="32" spans="1:27" ht="27.6">
      <c r="A32" s="213">
        <v>19</v>
      </c>
      <c r="B32" s="94" t="s">
        <v>122</v>
      </c>
      <c r="C32" s="141"/>
      <c r="D32" s="141"/>
      <c r="E32" s="115">
        <f>+'Metas Comp. 3'!B4</f>
        <v>0</v>
      </c>
      <c r="F32" s="141">
        <f>+'Metas Comp. 3'!C4</f>
        <v>0</v>
      </c>
      <c r="G32" s="141">
        <f>+'Metas Comp. 3'!D4</f>
        <v>0</v>
      </c>
      <c r="H32" s="115">
        <f>+'Metas Comp. 3'!E4</f>
        <v>4</v>
      </c>
      <c r="I32" s="141">
        <f>+'Metas Comp. 3'!F4</f>
        <v>0</v>
      </c>
      <c r="J32" s="141">
        <f t="shared" ref="J32:J75" si="47">+L32*82%</f>
        <v>0</v>
      </c>
      <c r="K32" s="141">
        <f t="shared" ref="K32:K75" si="48">18%*L32</f>
        <v>0</v>
      </c>
      <c r="L32" s="115">
        <f>+'Componente 3'!M8</f>
        <v>0</v>
      </c>
      <c r="M32" s="141">
        <f t="shared" ref="M32:M75" si="49">+O32*82%</f>
        <v>0</v>
      </c>
      <c r="N32" s="141">
        <f t="shared" si="26"/>
        <v>0</v>
      </c>
      <c r="O32" s="115">
        <f>+'Componente 3'!N8</f>
        <v>0</v>
      </c>
      <c r="P32" s="141">
        <f t="shared" ref="P32:P75" si="50">+R32*82%</f>
        <v>0</v>
      </c>
      <c r="Q32" s="141">
        <f t="shared" ref="Q32:Q75" si="51">18%*R32</f>
        <v>0</v>
      </c>
      <c r="R32" s="115">
        <f>+'Componente 3'!O8</f>
        <v>0</v>
      </c>
      <c r="S32" s="141">
        <f t="shared" ref="S32:S75" si="52">+U32*82%</f>
        <v>262400</v>
      </c>
      <c r="T32" s="141">
        <f t="shared" ref="T32:T75" si="53">18%*U32</f>
        <v>57600</v>
      </c>
      <c r="U32" s="115">
        <f>+'Componente 3'!P8</f>
        <v>320000</v>
      </c>
      <c r="V32" s="141">
        <f t="shared" ref="V32:V75" si="54">+X32*82%</f>
        <v>0</v>
      </c>
      <c r="W32" s="141">
        <f t="shared" ref="W32:W75" si="55">18%*X32</f>
        <v>0</v>
      </c>
      <c r="X32" s="115">
        <f>+'Componente 3'!Q8</f>
        <v>0</v>
      </c>
      <c r="Y32" s="141">
        <f t="shared" ref="Y32:Y75" si="56">+J32+M32+P32+S32+V32</f>
        <v>262400</v>
      </c>
      <c r="Z32" s="141">
        <f t="shared" ref="Z32:Z75" si="57">+K32+N32+Q32+T32+W32</f>
        <v>57600</v>
      </c>
      <c r="AA32" s="115">
        <f t="shared" ref="AA32:AA75" si="58">+L32+O32+R32+U32+X32</f>
        <v>320000</v>
      </c>
    </row>
    <row r="33" spans="1:27" ht="27.6">
      <c r="A33" s="213">
        <v>25</v>
      </c>
      <c r="B33" s="94" t="s">
        <v>123</v>
      </c>
      <c r="C33" s="141"/>
      <c r="D33" s="141"/>
      <c r="E33" s="115">
        <f>+'Metas Comp. 3'!B5</f>
        <v>0</v>
      </c>
      <c r="F33" s="141">
        <f>+'Metas Comp. 3'!C5</f>
        <v>0</v>
      </c>
      <c r="G33" s="141">
        <f>+'Metas Comp. 3'!D5</f>
        <v>0</v>
      </c>
      <c r="H33" s="115">
        <f>+'Metas Comp. 3'!E5</f>
        <v>2</v>
      </c>
      <c r="I33" s="141">
        <f>+'Metas Comp. 3'!F5</f>
        <v>0</v>
      </c>
      <c r="J33" s="141">
        <f t="shared" si="47"/>
        <v>0</v>
      </c>
      <c r="K33" s="141">
        <f t="shared" si="48"/>
        <v>0</v>
      </c>
      <c r="L33" s="115">
        <f>+'Componente 3'!M9</f>
        <v>0</v>
      </c>
      <c r="M33" s="141">
        <f t="shared" si="49"/>
        <v>0</v>
      </c>
      <c r="N33" s="141">
        <f t="shared" si="26"/>
        <v>0</v>
      </c>
      <c r="O33" s="115">
        <f>+'Componente 3'!N9</f>
        <v>0</v>
      </c>
      <c r="P33" s="141">
        <f t="shared" si="50"/>
        <v>0</v>
      </c>
      <c r="Q33" s="141">
        <f t="shared" si="51"/>
        <v>0</v>
      </c>
      <c r="R33" s="115">
        <f>+'Componente 3'!O9</f>
        <v>0</v>
      </c>
      <c r="S33" s="141">
        <f t="shared" si="52"/>
        <v>82000</v>
      </c>
      <c r="T33" s="141">
        <f t="shared" si="53"/>
        <v>18000</v>
      </c>
      <c r="U33" s="115">
        <f>+'Componente 3'!P9</f>
        <v>100000</v>
      </c>
      <c r="V33" s="141">
        <f t="shared" si="54"/>
        <v>0</v>
      </c>
      <c r="W33" s="141">
        <f t="shared" si="55"/>
        <v>0</v>
      </c>
      <c r="X33" s="115">
        <f>+'Componente 3'!Q9</f>
        <v>0</v>
      </c>
      <c r="Y33" s="141">
        <f t="shared" si="56"/>
        <v>82000</v>
      </c>
      <c r="Z33" s="141">
        <f t="shared" si="57"/>
        <v>18000</v>
      </c>
      <c r="AA33" s="115">
        <f t="shared" si="58"/>
        <v>100000</v>
      </c>
    </row>
    <row r="34" spans="1:27" ht="27.6">
      <c r="A34" s="99"/>
      <c r="B34" s="99" t="s">
        <v>124</v>
      </c>
      <c r="C34" s="211"/>
      <c r="D34" s="210"/>
      <c r="E34" s="211">
        <f>+'Metas Comp. 3'!B6</f>
        <v>0</v>
      </c>
      <c r="F34" s="211">
        <f>+'Metas Comp. 3'!C6</f>
        <v>0</v>
      </c>
      <c r="G34" s="210">
        <f>+'Metas Comp. 3'!D6</f>
        <v>0</v>
      </c>
      <c r="H34" s="211">
        <f>+'Metas Comp. 3'!E6</f>
        <v>0</v>
      </c>
      <c r="I34" s="211">
        <f>+'Metas Comp. 3'!F6</f>
        <v>0</v>
      </c>
      <c r="J34" s="211">
        <f t="shared" si="47"/>
        <v>0</v>
      </c>
      <c r="K34" s="210">
        <f t="shared" si="48"/>
        <v>0</v>
      </c>
      <c r="L34" s="211">
        <f>+'Componente 3'!M10</f>
        <v>0</v>
      </c>
      <c r="M34" s="211">
        <f t="shared" si="49"/>
        <v>0</v>
      </c>
      <c r="N34" s="210">
        <f t="shared" si="26"/>
        <v>0</v>
      </c>
      <c r="O34" s="211">
        <f>+'Componente 3'!N10</f>
        <v>0</v>
      </c>
      <c r="P34" s="211">
        <f t="shared" si="50"/>
        <v>0</v>
      </c>
      <c r="Q34" s="210">
        <f t="shared" si="51"/>
        <v>0</v>
      </c>
      <c r="R34" s="211">
        <f>+'Componente 3'!O10</f>
        <v>0</v>
      </c>
      <c r="S34" s="211">
        <f t="shared" si="52"/>
        <v>262400</v>
      </c>
      <c r="T34" s="210">
        <f t="shared" si="53"/>
        <v>57600</v>
      </c>
      <c r="U34" s="211">
        <f>+'Componente 3'!P10</f>
        <v>320000</v>
      </c>
      <c r="V34" s="211">
        <f t="shared" si="54"/>
        <v>0</v>
      </c>
      <c r="W34" s="210">
        <f t="shared" si="55"/>
        <v>0</v>
      </c>
      <c r="X34" s="211">
        <f>+'Componente 3'!Q10</f>
        <v>0</v>
      </c>
      <c r="Y34" s="211">
        <f t="shared" si="56"/>
        <v>262400</v>
      </c>
      <c r="Z34" s="210">
        <f t="shared" si="57"/>
        <v>57600</v>
      </c>
      <c r="AA34" s="210">
        <f t="shared" si="58"/>
        <v>320000</v>
      </c>
    </row>
    <row r="35" spans="1:27" ht="27.6">
      <c r="A35" s="213">
        <v>25</v>
      </c>
      <c r="B35" s="94" t="s">
        <v>125</v>
      </c>
      <c r="C35" s="141"/>
      <c r="D35" s="141"/>
      <c r="E35" s="115">
        <f>+'Metas Comp. 3'!B7</f>
        <v>0</v>
      </c>
      <c r="F35" s="141">
        <f>+'Metas Comp. 3'!C7</f>
        <v>0</v>
      </c>
      <c r="G35" s="141">
        <f>+'Metas Comp. 3'!D7</f>
        <v>0</v>
      </c>
      <c r="H35" s="115">
        <f>+'Metas Comp. 3'!E7</f>
        <v>1</v>
      </c>
      <c r="I35" s="141">
        <f>+'Metas Comp. 3'!F7</f>
        <v>0</v>
      </c>
      <c r="J35" s="141">
        <f t="shared" si="47"/>
        <v>0</v>
      </c>
      <c r="K35" s="141">
        <f t="shared" si="48"/>
        <v>0</v>
      </c>
      <c r="L35" s="115">
        <f>+'Componente 3'!M11</f>
        <v>0</v>
      </c>
      <c r="M35" s="141">
        <f t="shared" si="49"/>
        <v>0</v>
      </c>
      <c r="N35" s="141">
        <f t="shared" si="26"/>
        <v>0</v>
      </c>
      <c r="O35" s="115">
        <f>+'Componente 3'!N11</f>
        <v>0</v>
      </c>
      <c r="P35" s="141">
        <f t="shared" si="50"/>
        <v>0</v>
      </c>
      <c r="Q35" s="141">
        <f t="shared" si="51"/>
        <v>0</v>
      </c>
      <c r="R35" s="115">
        <f>+'Componente 3'!O11</f>
        <v>0</v>
      </c>
      <c r="S35" s="141">
        <f t="shared" si="52"/>
        <v>65600</v>
      </c>
      <c r="T35" s="141">
        <f t="shared" si="53"/>
        <v>14400</v>
      </c>
      <c r="U35" s="115">
        <f>+'Componente 3'!P11</f>
        <v>80000</v>
      </c>
      <c r="V35" s="141">
        <f t="shared" si="54"/>
        <v>0</v>
      </c>
      <c r="W35" s="141">
        <f t="shared" si="55"/>
        <v>0</v>
      </c>
      <c r="X35" s="115">
        <f>+'Componente 3'!Q11</f>
        <v>0</v>
      </c>
      <c r="Y35" s="141">
        <f t="shared" si="56"/>
        <v>65600</v>
      </c>
      <c r="Z35" s="141">
        <f t="shared" si="57"/>
        <v>14400</v>
      </c>
      <c r="AA35" s="115">
        <f t="shared" si="58"/>
        <v>80000</v>
      </c>
    </row>
    <row r="36" spans="1:27" ht="27.6">
      <c r="A36" s="213">
        <v>25</v>
      </c>
      <c r="B36" s="94" t="s">
        <v>126</v>
      </c>
      <c r="C36" s="141"/>
      <c r="D36" s="141"/>
      <c r="E36" s="115">
        <f>+'Metas Comp. 3'!B8</f>
        <v>0</v>
      </c>
      <c r="F36" s="141">
        <f>+'Metas Comp. 3'!C8</f>
        <v>0</v>
      </c>
      <c r="G36" s="141">
        <f>+'Metas Comp. 3'!D8</f>
        <v>0</v>
      </c>
      <c r="H36" s="115">
        <f>+'Metas Comp. 3'!E8</f>
        <v>1</v>
      </c>
      <c r="I36" s="141">
        <f>+'Metas Comp. 3'!F8</f>
        <v>0</v>
      </c>
      <c r="J36" s="141">
        <f t="shared" si="47"/>
        <v>0</v>
      </c>
      <c r="K36" s="141">
        <f t="shared" si="48"/>
        <v>0</v>
      </c>
      <c r="L36" s="115">
        <f>+'Componente 3'!M12</f>
        <v>0</v>
      </c>
      <c r="M36" s="141">
        <f t="shared" si="49"/>
        <v>0</v>
      </c>
      <c r="N36" s="141">
        <f t="shared" si="26"/>
        <v>0</v>
      </c>
      <c r="O36" s="115">
        <f>+'Componente 3'!N12</f>
        <v>0</v>
      </c>
      <c r="P36" s="141">
        <f t="shared" si="50"/>
        <v>0</v>
      </c>
      <c r="Q36" s="141">
        <f t="shared" si="51"/>
        <v>0</v>
      </c>
      <c r="R36" s="115">
        <f>+'Componente 3'!O12</f>
        <v>0</v>
      </c>
      <c r="S36" s="141">
        <f t="shared" si="52"/>
        <v>65600</v>
      </c>
      <c r="T36" s="141">
        <f t="shared" si="53"/>
        <v>14400</v>
      </c>
      <c r="U36" s="115">
        <f>+'Componente 3'!P12</f>
        <v>80000</v>
      </c>
      <c r="V36" s="141">
        <f t="shared" si="54"/>
        <v>0</v>
      </c>
      <c r="W36" s="141">
        <f t="shared" si="55"/>
        <v>0</v>
      </c>
      <c r="X36" s="115">
        <f>+'Componente 3'!Q12</f>
        <v>0</v>
      </c>
      <c r="Y36" s="141">
        <f t="shared" si="56"/>
        <v>65600</v>
      </c>
      <c r="Z36" s="141">
        <f t="shared" si="57"/>
        <v>14400</v>
      </c>
      <c r="AA36" s="115">
        <f t="shared" si="58"/>
        <v>80000</v>
      </c>
    </row>
    <row r="37" spans="1:27" ht="27.6">
      <c r="A37" s="213">
        <v>25</v>
      </c>
      <c r="B37" s="94" t="s">
        <v>127</v>
      </c>
      <c r="C37" s="141"/>
      <c r="D37" s="141"/>
      <c r="E37" s="115">
        <f>+'Metas Comp. 3'!B9</f>
        <v>0</v>
      </c>
      <c r="F37" s="141">
        <f>+'Metas Comp. 3'!C9</f>
        <v>0</v>
      </c>
      <c r="G37" s="141">
        <f>+'Metas Comp. 3'!D9</f>
        <v>0</v>
      </c>
      <c r="H37" s="115">
        <f>+'Metas Comp. 3'!E9</f>
        <v>1</v>
      </c>
      <c r="I37" s="141">
        <f>+'Metas Comp. 3'!F9</f>
        <v>0</v>
      </c>
      <c r="J37" s="141">
        <f t="shared" si="47"/>
        <v>0</v>
      </c>
      <c r="K37" s="141">
        <f t="shared" si="48"/>
        <v>0</v>
      </c>
      <c r="L37" s="115">
        <f>+'Componente 3'!M13</f>
        <v>0</v>
      </c>
      <c r="M37" s="141">
        <f t="shared" si="49"/>
        <v>0</v>
      </c>
      <c r="N37" s="141">
        <f t="shared" si="26"/>
        <v>0</v>
      </c>
      <c r="O37" s="115">
        <f>+'Componente 3'!N13</f>
        <v>0</v>
      </c>
      <c r="P37" s="141">
        <f t="shared" si="50"/>
        <v>0</v>
      </c>
      <c r="Q37" s="141">
        <f t="shared" si="51"/>
        <v>0</v>
      </c>
      <c r="R37" s="115">
        <f>+'Componente 3'!O13</f>
        <v>0</v>
      </c>
      <c r="S37" s="141">
        <f t="shared" si="52"/>
        <v>65600</v>
      </c>
      <c r="T37" s="141">
        <f t="shared" si="53"/>
        <v>14400</v>
      </c>
      <c r="U37" s="115">
        <f>+'Componente 3'!P13</f>
        <v>80000</v>
      </c>
      <c r="V37" s="141">
        <f t="shared" si="54"/>
        <v>0</v>
      </c>
      <c r="W37" s="141">
        <f t="shared" si="55"/>
        <v>0</v>
      </c>
      <c r="X37" s="115">
        <f>+'Componente 3'!Q13</f>
        <v>0</v>
      </c>
      <c r="Y37" s="141">
        <f t="shared" si="56"/>
        <v>65600</v>
      </c>
      <c r="Z37" s="141">
        <f t="shared" si="57"/>
        <v>14400</v>
      </c>
      <c r="AA37" s="115">
        <f t="shared" si="58"/>
        <v>80000</v>
      </c>
    </row>
    <row r="38" spans="1:27">
      <c r="A38" s="213">
        <v>25</v>
      </c>
      <c r="B38" s="94" t="s">
        <v>128</v>
      </c>
      <c r="C38" s="141"/>
      <c r="D38" s="141"/>
      <c r="E38" s="115">
        <f>+'Metas Comp. 3'!B10</f>
        <v>0</v>
      </c>
      <c r="F38" s="141">
        <f>+'Metas Comp. 3'!C10</f>
        <v>0</v>
      </c>
      <c r="G38" s="141">
        <f>+'Metas Comp. 3'!D10</f>
        <v>0</v>
      </c>
      <c r="H38" s="115">
        <f>+'Metas Comp. 3'!E10</f>
        <v>1</v>
      </c>
      <c r="I38" s="141">
        <f>+'Metas Comp. 3'!F10</f>
        <v>0</v>
      </c>
      <c r="J38" s="141">
        <f t="shared" si="47"/>
        <v>0</v>
      </c>
      <c r="K38" s="141">
        <f t="shared" si="48"/>
        <v>0</v>
      </c>
      <c r="L38" s="115">
        <f>+'Componente 3'!M14</f>
        <v>0</v>
      </c>
      <c r="M38" s="141">
        <f t="shared" si="49"/>
        <v>0</v>
      </c>
      <c r="N38" s="141">
        <f t="shared" si="26"/>
        <v>0</v>
      </c>
      <c r="O38" s="115">
        <f>+'Componente 3'!N14</f>
        <v>0</v>
      </c>
      <c r="P38" s="141">
        <f t="shared" si="50"/>
        <v>0</v>
      </c>
      <c r="Q38" s="141">
        <f t="shared" si="51"/>
        <v>0</v>
      </c>
      <c r="R38" s="115">
        <f>+'Componente 3'!O14</f>
        <v>0</v>
      </c>
      <c r="S38" s="141">
        <f t="shared" si="52"/>
        <v>65600</v>
      </c>
      <c r="T38" s="141">
        <f t="shared" si="53"/>
        <v>14400</v>
      </c>
      <c r="U38" s="115">
        <f>+'Componente 3'!P14</f>
        <v>80000</v>
      </c>
      <c r="V38" s="141">
        <f t="shared" si="54"/>
        <v>0</v>
      </c>
      <c r="W38" s="141">
        <f t="shared" si="55"/>
        <v>0</v>
      </c>
      <c r="X38" s="115">
        <f>+'Componente 3'!Q14</f>
        <v>0</v>
      </c>
      <c r="Y38" s="141">
        <f t="shared" si="56"/>
        <v>65600</v>
      </c>
      <c r="Z38" s="141">
        <f t="shared" si="57"/>
        <v>14400</v>
      </c>
      <c r="AA38" s="115">
        <f t="shared" si="58"/>
        <v>80000</v>
      </c>
    </row>
    <row r="39" spans="1:27" ht="27.6">
      <c r="A39" s="99"/>
      <c r="B39" s="99" t="s">
        <v>129</v>
      </c>
      <c r="C39" s="211"/>
      <c r="D39" s="210"/>
      <c r="E39" s="211">
        <f>+'Metas Comp. 3'!B11</f>
        <v>0</v>
      </c>
      <c r="F39" s="211">
        <f>+'Metas Comp. 3'!C11</f>
        <v>0</v>
      </c>
      <c r="G39" s="210">
        <f>+'Metas Comp. 3'!D11</f>
        <v>0</v>
      </c>
      <c r="H39" s="211">
        <f>+'Metas Comp. 3'!E11</f>
        <v>0</v>
      </c>
      <c r="I39" s="211">
        <f>+'Metas Comp. 3'!F11</f>
        <v>0</v>
      </c>
      <c r="J39" s="211">
        <f t="shared" si="47"/>
        <v>0</v>
      </c>
      <c r="K39" s="210">
        <f t="shared" si="48"/>
        <v>0</v>
      </c>
      <c r="L39" s="211">
        <f>+'Componente 3'!M15</f>
        <v>0</v>
      </c>
      <c r="M39" s="211">
        <f t="shared" si="49"/>
        <v>1079725.3642077863</v>
      </c>
      <c r="N39" s="210">
        <f t="shared" si="26"/>
        <v>237012.88482609944</v>
      </c>
      <c r="O39" s="211">
        <f>+'Componente 3'!N15</f>
        <v>1316738.2490338858</v>
      </c>
      <c r="P39" s="211">
        <f t="shared" si="50"/>
        <v>3698414.59114803</v>
      </c>
      <c r="Q39" s="210">
        <f t="shared" si="51"/>
        <v>811847.10537395789</v>
      </c>
      <c r="R39" s="211">
        <f>+'Componente 3'!O15</f>
        <v>4510261.6965219881</v>
      </c>
      <c r="S39" s="211">
        <f t="shared" si="52"/>
        <v>12218575.186196636</v>
      </c>
      <c r="T39" s="210">
        <f t="shared" si="53"/>
        <v>2682126.2603846276</v>
      </c>
      <c r="U39" s="211">
        <f>+'Componente 3'!P15</f>
        <v>14900701.446581265</v>
      </c>
      <c r="V39" s="211">
        <f t="shared" si="54"/>
        <v>17836731.320028286</v>
      </c>
      <c r="W39" s="210">
        <f t="shared" si="55"/>
        <v>3915380.0458598677</v>
      </c>
      <c r="X39" s="211">
        <f>+'Componente 3'!Q15</f>
        <v>21752111.365888156</v>
      </c>
      <c r="Y39" s="211">
        <f t="shared" si="56"/>
        <v>34833446.461580738</v>
      </c>
      <c r="Z39" s="210">
        <f t="shared" si="57"/>
        <v>7646366.296444553</v>
      </c>
      <c r="AA39" s="210">
        <f t="shared" si="58"/>
        <v>42479812.758025296</v>
      </c>
    </row>
    <row r="40" spans="1:27">
      <c r="A40" s="213">
        <v>17</v>
      </c>
      <c r="B40" s="94" t="s">
        <v>130</v>
      </c>
      <c r="C40" s="141"/>
      <c r="D40" s="141"/>
      <c r="E40" s="115">
        <f>+'Metas Comp. 3'!B12</f>
        <v>0</v>
      </c>
      <c r="F40" s="141">
        <f>+'Metas Comp. 3'!C12</f>
        <v>1</v>
      </c>
      <c r="G40" s="141">
        <f>+'Metas Comp. 3'!D12</f>
        <v>0</v>
      </c>
      <c r="H40" s="115">
        <f>+'Metas Comp. 3'!E12</f>
        <v>0</v>
      </c>
      <c r="I40" s="141">
        <f>+'Metas Comp. 3'!F12</f>
        <v>0</v>
      </c>
      <c r="J40" s="141">
        <f t="shared" si="47"/>
        <v>0</v>
      </c>
      <c r="K40" s="141">
        <f t="shared" si="48"/>
        <v>0</v>
      </c>
      <c r="L40" s="115">
        <f>+'Componente 3'!M16</f>
        <v>0</v>
      </c>
      <c r="M40" s="141">
        <f t="shared" si="49"/>
        <v>839323.47017315519</v>
      </c>
      <c r="N40" s="141">
        <f t="shared" si="26"/>
        <v>184241.73735508285</v>
      </c>
      <c r="O40" s="115">
        <f>+'Componente 3'!N16</f>
        <v>1023565.2075282381</v>
      </c>
      <c r="P40" s="141">
        <f t="shared" si="50"/>
        <v>0</v>
      </c>
      <c r="Q40" s="141">
        <f t="shared" si="51"/>
        <v>0</v>
      </c>
      <c r="R40" s="115">
        <f>+'Componente 3'!O16</f>
        <v>0</v>
      </c>
      <c r="S40" s="141">
        <f t="shared" si="52"/>
        <v>0</v>
      </c>
      <c r="T40" s="141">
        <f t="shared" si="53"/>
        <v>0</v>
      </c>
      <c r="U40" s="115">
        <f>+'Componente 3'!P16</f>
        <v>0</v>
      </c>
      <c r="V40" s="141">
        <f t="shared" si="54"/>
        <v>0</v>
      </c>
      <c r="W40" s="141">
        <f t="shared" si="55"/>
        <v>0</v>
      </c>
      <c r="X40" s="115">
        <f>+'Componente 3'!Q16</f>
        <v>0</v>
      </c>
      <c r="Y40" s="141">
        <f t="shared" si="56"/>
        <v>839323.47017315519</v>
      </c>
      <c r="Z40" s="141">
        <f t="shared" si="57"/>
        <v>184241.73735508285</v>
      </c>
      <c r="AA40" s="115">
        <f t="shared" si="58"/>
        <v>1023565.2075282381</v>
      </c>
    </row>
    <row r="41" spans="1:27">
      <c r="A41" s="213">
        <v>17</v>
      </c>
      <c r="B41" s="214" t="s">
        <v>131</v>
      </c>
      <c r="C41" s="141"/>
      <c r="D41" s="141"/>
      <c r="E41" s="115">
        <f>+'Metas Comp. 3'!B13</f>
        <v>0</v>
      </c>
      <c r="F41" s="141">
        <f>+'Metas Comp. 3'!C13</f>
        <v>1</v>
      </c>
      <c r="G41" s="141">
        <f>+'Metas Comp. 3'!D13</f>
        <v>0</v>
      </c>
      <c r="H41" s="115">
        <f>+'Metas Comp. 3'!E13</f>
        <v>0</v>
      </c>
      <c r="I41" s="141">
        <f>+'Metas Comp. 3'!F13</f>
        <v>0</v>
      </c>
      <c r="J41" s="141">
        <f t="shared" si="47"/>
        <v>0</v>
      </c>
      <c r="K41" s="141">
        <f t="shared" si="48"/>
        <v>0</v>
      </c>
      <c r="L41" s="115">
        <f>+'Componente 3'!M17</f>
        <v>0</v>
      </c>
      <c r="M41" s="141">
        <f t="shared" si="49"/>
        <v>167864.69403463104</v>
      </c>
      <c r="N41" s="141">
        <f t="shared" si="26"/>
        <v>36848.347471016568</v>
      </c>
      <c r="O41" s="115">
        <f>+'Componente 3'!N17</f>
        <v>204713.04150564762</v>
      </c>
      <c r="P41" s="141">
        <f t="shared" si="50"/>
        <v>0</v>
      </c>
      <c r="Q41" s="141">
        <f t="shared" si="51"/>
        <v>0</v>
      </c>
      <c r="R41" s="115">
        <f>+'Componente 3'!O17</f>
        <v>0</v>
      </c>
      <c r="S41" s="141">
        <f t="shared" si="52"/>
        <v>0</v>
      </c>
      <c r="T41" s="141">
        <f t="shared" si="53"/>
        <v>0</v>
      </c>
      <c r="U41" s="115">
        <f>+'Componente 3'!P17</f>
        <v>0</v>
      </c>
      <c r="V41" s="141">
        <f t="shared" si="54"/>
        <v>0</v>
      </c>
      <c r="W41" s="141">
        <f t="shared" si="55"/>
        <v>0</v>
      </c>
      <c r="X41" s="115">
        <f>+'Componente 3'!Q17</f>
        <v>0</v>
      </c>
      <c r="Y41" s="141">
        <f t="shared" si="56"/>
        <v>167864.69403463104</v>
      </c>
      <c r="Z41" s="141">
        <f t="shared" si="57"/>
        <v>36848.347471016568</v>
      </c>
      <c r="AA41" s="115">
        <f t="shared" si="58"/>
        <v>204713.04150564762</v>
      </c>
    </row>
    <row r="42" spans="1:27" ht="27.6">
      <c r="A42" s="213">
        <v>18</v>
      </c>
      <c r="B42" s="214" t="s">
        <v>132</v>
      </c>
      <c r="C42" s="141"/>
      <c r="D42" s="141"/>
      <c r="E42" s="115">
        <f>+'Metas Comp. 3'!B14</f>
        <v>0</v>
      </c>
      <c r="F42" s="141">
        <f>+'Metas Comp. 3'!C14</f>
        <v>0</v>
      </c>
      <c r="G42" s="141">
        <f>+'Metas Comp. 3'!D14</f>
        <v>0.2</v>
      </c>
      <c r="H42" s="115">
        <f>+'Metas Comp. 3'!E14</f>
        <v>0.5</v>
      </c>
      <c r="I42" s="141">
        <f>+'Metas Comp. 3'!F14</f>
        <v>0.3</v>
      </c>
      <c r="J42" s="141">
        <f t="shared" si="47"/>
        <v>0</v>
      </c>
      <c r="K42" s="141">
        <f t="shared" si="48"/>
        <v>0</v>
      </c>
      <c r="L42" s="115">
        <f>+'Componente 3'!M18</f>
        <v>0</v>
      </c>
      <c r="M42" s="141">
        <f t="shared" si="49"/>
        <v>0</v>
      </c>
      <c r="N42" s="141">
        <f t="shared" si="26"/>
        <v>0</v>
      </c>
      <c r="O42" s="115">
        <f>+'Componente 3'!N18</f>
        <v>0</v>
      </c>
      <c r="P42" s="141">
        <f t="shared" si="50"/>
        <v>3357293.8806926208</v>
      </c>
      <c r="Q42" s="141">
        <f t="shared" si="51"/>
        <v>736966.9494203314</v>
      </c>
      <c r="R42" s="115">
        <f>+'Componente 3'!O18</f>
        <v>4094260.8301129523</v>
      </c>
      <c r="S42" s="141">
        <f t="shared" si="52"/>
        <v>8393234.7017315514</v>
      </c>
      <c r="T42" s="141">
        <f t="shared" si="53"/>
        <v>1842417.3735508283</v>
      </c>
      <c r="U42" s="115">
        <f>+'Componente 3'!P18</f>
        <v>10235652.07528238</v>
      </c>
      <c r="V42" s="141">
        <f t="shared" si="54"/>
        <v>5035940.8210389307</v>
      </c>
      <c r="W42" s="141">
        <f t="shared" si="55"/>
        <v>1105450.424130497</v>
      </c>
      <c r="X42" s="115">
        <f>+'Componente 3'!Q18</f>
        <v>6141391.2451694282</v>
      </c>
      <c r="Y42" s="141">
        <f t="shared" si="56"/>
        <v>16786469.403463103</v>
      </c>
      <c r="Z42" s="141">
        <f t="shared" si="57"/>
        <v>3684834.7471016566</v>
      </c>
      <c r="AA42" s="115">
        <f t="shared" si="58"/>
        <v>20471304.15056476</v>
      </c>
    </row>
    <row r="43" spans="1:27">
      <c r="A43" s="213">
        <v>18</v>
      </c>
      <c r="B43" s="214" t="s">
        <v>133</v>
      </c>
      <c r="C43" s="141"/>
      <c r="D43" s="141"/>
      <c r="E43" s="115">
        <f>+'Metas Comp. 3'!B15</f>
        <v>0</v>
      </c>
      <c r="F43" s="141">
        <f>+'Metas Comp. 3'!C15</f>
        <v>0</v>
      </c>
      <c r="G43" s="141">
        <f>+'Metas Comp. 3'!D15</f>
        <v>0</v>
      </c>
      <c r="H43" s="115">
        <f>+'Metas Comp. 3'!E15</f>
        <v>0</v>
      </c>
      <c r="I43" s="141">
        <f>+'Metas Comp. 3'!F15</f>
        <v>1</v>
      </c>
      <c r="J43" s="141">
        <f t="shared" si="47"/>
        <v>0</v>
      </c>
      <c r="K43" s="141">
        <f t="shared" si="48"/>
        <v>0</v>
      </c>
      <c r="L43" s="115">
        <f>+'Componente 3'!M19</f>
        <v>0</v>
      </c>
      <c r="M43" s="141">
        <f t="shared" si="49"/>
        <v>0</v>
      </c>
      <c r="N43" s="141">
        <f t="shared" si="26"/>
        <v>0</v>
      </c>
      <c r="O43" s="115">
        <f>+'Componente 3'!N19</f>
        <v>0</v>
      </c>
      <c r="P43" s="141">
        <f t="shared" si="50"/>
        <v>268583.51045540971</v>
      </c>
      <c r="Q43" s="141">
        <f t="shared" si="51"/>
        <v>58957.355953626517</v>
      </c>
      <c r="R43" s="115">
        <f>+'Componente 3'!O19</f>
        <v>327540.86640903621</v>
      </c>
      <c r="S43" s="141">
        <f t="shared" si="52"/>
        <v>671458.77613852406</v>
      </c>
      <c r="T43" s="141">
        <f t="shared" si="53"/>
        <v>147393.38988406627</v>
      </c>
      <c r="U43" s="115">
        <f>+'Componente 3'!P19</f>
        <v>818852.16602259036</v>
      </c>
      <c r="V43" s="141">
        <f t="shared" si="54"/>
        <v>402875.26568311447</v>
      </c>
      <c r="W43" s="141">
        <f t="shared" si="55"/>
        <v>88436.033930439764</v>
      </c>
      <c r="X43" s="115">
        <f>+'Componente 3'!Q19</f>
        <v>491311.29961355426</v>
      </c>
      <c r="Y43" s="141">
        <f t="shared" si="56"/>
        <v>1342917.5522770484</v>
      </c>
      <c r="Z43" s="141">
        <f t="shared" si="57"/>
        <v>294786.77976813255</v>
      </c>
      <c r="AA43" s="115">
        <f t="shared" si="58"/>
        <v>1637704.332045181</v>
      </c>
    </row>
    <row r="44" spans="1:27" ht="27.6">
      <c r="A44" s="213" t="s">
        <v>134</v>
      </c>
      <c r="B44" s="214" t="s">
        <v>135</v>
      </c>
      <c r="C44" s="141"/>
      <c r="D44" s="141"/>
      <c r="E44" s="115">
        <f>+'Metas Comp. 3'!B16</f>
        <v>0</v>
      </c>
      <c r="F44" s="141">
        <f>+'Metas Comp. 3'!C16</f>
        <v>0</v>
      </c>
      <c r="G44" s="141">
        <f>+'Metas Comp. 3'!D16</f>
        <v>0</v>
      </c>
      <c r="H44" s="115">
        <f>+'Metas Comp. 3'!E16</f>
        <v>0.2</v>
      </c>
      <c r="I44" s="141">
        <f>+'Metas Comp. 3'!F16</f>
        <v>0.2</v>
      </c>
      <c r="J44" s="141">
        <f t="shared" si="47"/>
        <v>0</v>
      </c>
      <c r="K44" s="141">
        <f t="shared" si="48"/>
        <v>0</v>
      </c>
      <c r="L44" s="115">
        <f>+'Componente 3'!M20</f>
        <v>0</v>
      </c>
      <c r="M44" s="141">
        <f t="shared" si="49"/>
        <v>0</v>
      </c>
      <c r="N44" s="141">
        <f t="shared" si="26"/>
        <v>0</v>
      </c>
      <c r="O44" s="115">
        <f>+'Componente 3'!N20</f>
        <v>0</v>
      </c>
      <c r="P44" s="141">
        <f t="shared" si="50"/>
        <v>0</v>
      </c>
      <c r="Q44" s="141">
        <f t="shared" si="51"/>
        <v>0</v>
      </c>
      <c r="R44" s="115">
        <f>+'Componente 3'!O20</f>
        <v>0</v>
      </c>
      <c r="S44" s="141">
        <f t="shared" si="52"/>
        <v>2991596.6100257873</v>
      </c>
      <c r="T44" s="141">
        <f t="shared" si="53"/>
        <v>656691.93878614844</v>
      </c>
      <c r="U44" s="115">
        <f>+'Componente 3'!P20</f>
        <v>3648288.5488119358</v>
      </c>
      <c r="V44" s="141">
        <f t="shared" si="54"/>
        <v>11966386.440103149</v>
      </c>
      <c r="W44" s="141">
        <f t="shared" si="55"/>
        <v>2626767.7551445938</v>
      </c>
      <c r="X44" s="115">
        <f>+'Componente 3'!Q20</f>
        <v>14593154.195247743</v>
      </c>
      <c r="Y44" s="141">
        <f t="shared" si="56"/>
        <v>14957983.050128937</v>
      </c>
      <c r="Z44" s="141">
        <f t="shared" si="57"/>
        <v>3283459.6939307423</v>
      </c>
      <c r="AA44" s="115">
        <f t="shared" si="58"/>
        <v>18241442.744059678</v>
      </c>
    </row>
    <row r="45" spans="1:27" ht="27.6">
      <c r="A45" s="213" t="s">
        <v>136</v>
      </c>
      <c r="B45" s="214" t="s">
        <v>137</v>
      </c>
      <c r="C45" s="141"/>
      <c r="D45" s="141"/>
      <c r="E45" s="115">
        <f>+'Metas Comp. 3'!B17</f>
        <v>0</v>
      </c>
      <c r="F45" s="141">
        <f>+'Metas Comp. 3'!C17</f>
        <v>0</v>
      </c>
      <c r="G45" s="141">
        <f>+'Metas Comp. 3'!D17</f>
        <v>0</v>
      </c>
      <c r="H45" s="115">
        <f>+'Metas Comp. 3'!E17</f>
        <v>0</v>
      </c>
      <c r="I45" s="141">
        <f>+'Metas Comp. 3'!F17</f>
        <v>1</v>
      </c>
      <c r="J45" s="141">
        <f t="shared" si="47"/>
        <v>0</v>
      </c>
      <c r="K45" s="141">
        <f t="shared" si="48"/>
        <v>0</v>
      </c>
      <c r="L45" s="115">
        <f>+'Componente 3'!M21</f>
        <v>0</v>
      </c>
      <c r="M45" s="141">
        <f t="shared" si="49"/>
        <v>0</v>
      </c>
      <c r="N45" s="141">
        <f t="shared" si="26"/>
        <v>0</v>
      </c>
      <c r="O45" s="115">
        <f>+'Componente 3'!N21</f>
        <v>0</v>
      </c>
      <c r="P45" s="141">
        <f t="shared" si="50"/>
        <v>0</v>
      </c>
      <c r="Q45" s="141">
        <f t="shared" si="51"/>
        <v>0</v>
      </c>
      <c r="R45" s="115">
        <f>+'Componente 3'!O21</f>
        <v>0</v>
      </c>
      <c r="S45" s="141">
        <f t="shared" si="52"/>
        <v>89747.89830077361</v>
      </c>
      <c r="T45" s="141">
        <f t="shared" si="53"/>
        <v>19700.758163584451</v>
      </c>
      <c r="U45" s="115">
        <f>+'Componente 3'!P21</f>
        <v>109448.65646435806</v>
      </c>
      <c r="V45" s="141">
        <f t="shared" si="54"/>
        <v>358991.59320309444</v>
      </c>
      <c r="W45" s="141">
        <f t="shared" si="55"/>
        <v>78803.032654337803</v>
      </c>
      <c r="X45" s="115">
        <f>+'Componente 3'!Q21</f>
        <v>437794.62585743226</v>
      </c>
      <c r="Y45" s="141">
        <f t="shared" si="56"/>
        <v>448739.49150386802</v>
      </c>
      <c r="Z45" s="141">
        <f t="shared" si="57"/>
        <v>98503.790817922258</v>
      </c>
      <c r="AA45" s="115">
        <f t="shared" si="58"/>
        <v>547243.28232179035</v>
      </c>
    </row>
    <row r="46" spans="1:27">
      <c r="A46" s="213" t="s">
        <v>138</v>
      </c>
      <c r="B46" s="214" t="s">
        <v>139</v>
      </c>
      <c r="C46" s="141"/>
      <c r="D46" s="141"/>
      <c r="E46" s="115">
        <f>+'Metas Comp. 3'!B18</f>
        <v>0</v>
      </c>
      <c r="F46" s="141">
        <f>+'Metas Comp. 3'!C18</f>
        <v>1</v>
      </c>
      <c r="G46" s="141">
        <f>+'Metas Comp. 3'!D18</f>
        <v>1</v>
      </c>
      <c r="H46" s="115">
        <f>+'Metas Comp. 3'!E18</f>
        <v>1</v>
      </c>
      <c r="I46" s="141">
        <f>+'Metas Comp. 3'!F18</f>
        <v>1</v>
      </c>
      <c r="J46" s="141">
        <f t="shared" si="47"/>
        <v>0</v>
      </c>
      <c r="K46" s="141">
        <f t="shared" si="48"/>
        <v>0</v>
      </c>
      <c r="L46" s="115">
        <f>+'Componente 3'!M22</f>
        <v>0</v>
      </c>
      <c r="M46" s="141">
        <f t="shared" si="49"/>
        <v>72537.2</v>
      </c>
      <c r="N46" s="141">
        <f t="shared" si="26"/>
        <v>15922.8</v>
      </c>
      <c r="O46" s="115">
        <f>+'Componente 3'!N22</f>
        <v>88460</v>
      </c>
      <c r="P46" s="141">
        <f t="shared" si="50"/>
        <v>72537.2</v>
      </c>
      <c r="Q46" s="141">
        <f t="shared" si="51"/>
        <v>15922.8</v>
      </c>
      <c r="R46" s="115">
        <f>+'Componente 3'!O22</f>
        <v>88460</v>
      </c>
      <c r="S46" s="141">
        <f t="shared" si="52"/>
        <v>72537.2</v>
      </c>
      <c r="T46" s="141">
        <f t="shared" si="53"/>
        <v>15922.8</v>
      </c>
      <c r="U46" s="115">
        <f>+'Componente 3'!P22</f>
        <v>88460</v>
      </c>
      <c r="V46" s="141">
        <f t="shared" si="54"/>
        <v>72537.2</v>
      </c>
      <c r="W46" s="141">
        <f t="shared" si="55"/>
        <v>15922.8</v>
      </c>
      <c r="X46" s="115">
        <f>+'Componente 3'!Q22</f>
        <v>88460</v>
      </c>
      <c r="Y46" s="141">
        <f t="shared" si="56"/>
        <v>290148.8</v>
      </c>
      <c r="Z46" s="141">
        <f t="shared" si="57"/>
        <v>63691.199999999997</v>
      </c>
      <c r="AA46" s="115">
        <f t="shared" si="58"/>
        <v>353840</v>
      </c>
    </row>
    <row r="47" spans="1:27" ht="27.6">
      <c r="A47" s="99"/>
      <c r="B47" s="99" t="s">
        <v>140</v>
      </c>
      <c r="C47" s="211"/>
      <c r="D47" s="210"/>
      <c r="E47" s="211">
        <f>+'Metas Comp. 3'!B19</f>
        <v>0</v>
      </c>
      <c r="F47" s="211">
        <f>+'Metas Comp. 3'!C19</f>
        <v>0</v>
      </c>
      <c r="G47" s="210">
        <f>+'Metas Comp. 3'!D19</f>
        <v>0</v>
      </c>
      <c r="H47" s="211">
        <f>+'Metas Comp. 3'!E19</f>
        <v>0</v>
      </c>
      <c r="I47" s="211">
        <f>+'Metas Comp. 3'!F19</f>
        <v>0</v>
      </c>
      <c r="J47" s="211">
        <f t="shared" si="47"/>
        <v>0</v>
      </c>
      <c r="K47" s="210">
        <f t="shared" si="48"/>
        <v>0</v>
      </c>
      <c r="L47" s="211">
        <f>+'Componente 3'!M23</f>
        <v>0</v>
      </c>
      <c r="M47" s="211">
        <f t="shared" si="49"/>
        <v>0</v>
      </c>
      <c r="N47" s="210">
        <f t="shared" si="26"/>
        <v>0</v>
      </c>
      <c r="O47" s="211">
        <f>+'Componente 3'!N23</f>
        <v>0</v>
      </c>
      <c r="P47" s="211">
        <f t="shared" si="50"/>
        <v>18340750.464955222</v>
      </c>
      <c r="Q47" s="210">
        <f t="shared" si="51"/>
        <v>4026018.3947462682</v>
      </c>
      <c r="R47" s="211">
        <f>+'Componente 3'!O23</f>
        <v>22366768.859701492</v>
      </c>
      <c r="S47" s="211">
        <f t="shared" si="52"/>
        <v>1789589.9796716415</v>
      </c>
      <c r="T47" s="210">
        <f t="shared" si="53"/>
        <v>392836.82480597007</v>
      </c>
      <c r="U47" s="211">
        <f>+'Componente 3'!P23</f>
        <v>2182426.8044776116</v>
      </c>
      <c r="V47" s="211">
        <f t="shared" si="54"/>
        <v>4089074.3175522382</v>
      </c>
      <c r="W47" s="210">
        <f t="shared" si="55"/>
        <v>897601.67946268641</v>
      </c>
      <c r="X47" s="211">
        <f>+'Componente 3'!Q23</f>
        <v>4986675.9970149249</v>
      </c>
      <c r="Y47" s="211">
        <f t="shared" si="56"/>
        <v>24219414.762179103</v>
      </c>
      <c r="Z47" s="210">
        <f t="shared" si="57"/>
        <v>5316456.8990149247</v>
      </c>
      <c r="AA47" s="210">
        <f t="shared" si="58"/>
        <v>29535871.661194026</v>
      </c>
    </row>
    <row r="48" spans="1:27" ht="27.6">
      <c r="A48" s="213">
        <v>31</v>
      </c>
      <c r="B48" s="94" t="s">
        <v>141</v>
      </c>
      <c r="C48" s="141"/>
      <c r="D48" s="141"/>
      <c r="E48" s="115">
        <f>+'Metas Comp. 3'!B20</f>
        <v>0</v>
      </c>
      <c r="F48" s="141">
        <f>+'Metas Comp. 3'!C20</f>
        <v>0</v>
      </c>
      <c r="G48" s="141">
        <f>+'Metas Comp. 3'!D20</f>
        <v>4</v>
      </c>
      <c r="H48" s="115">
        <f>+'Metas Comp. 3'!E20</f>
        <v>1</v>
      </c>
      <c r="I48" s="141">
        <f>+'Metas Comp. 3'!F20</f>
        <v>2</v>
      </c>
      <c r="J48" s="141">
        <f t="shared" si="47"/>
        <v>0</v>
      </c>
      <c r="K48" s="141">
        <f t="shared" si="48"/>
        <v>0</v>
      </c>
      <c r="L48" s="115">
        <f>+'Componente 3'!M24</f>
        <v>0</v>
      </c>
      <c r="M48" s="141">
        <f t="shared" si="49"/>
        <v>0</v>
      </c>
      <c r="N48" s="141">
        <f t="shared" si="26"/>
        <v>0</v>
      </c>
      <c r="O48" s="115">
        <f>+'Componente 3'!N24</f>
        <v>0</v>
      </c>
      <c r="P48" s="141">
        <f t="shared" si="50"/>
        <v>3079205.0530149252</v>
      </c>
      <c r="Q48" s="141">
        <f t="shared" si="51"/>
        <v>675923.06041791046</v>
      </c>
      <c r="R48" s="115">
        <f>+'Componente 3'!O24</f>
        <v>3755128.1134328358</v>
      </c>
      <c r="S48" s="141">
        <f t="shared" si="52"/>
        <v>769801.2632537313</v>
      </c>
      <c r="T48" s="141">
        <f t="shared" si="53"/>
        <v>168980.76510447761</v>
      </c>
      <c r="U48" s="115">
        <f>+'Componente 3'!P24</f>
        <v>938782.02835820895</v>
      </c>
      <c r="V48" s="141">
        <f t="shared" si="54"/>
        <v>1539602.5265074626</v>
      </c>
      <c r="W48" s="141">
        <f t="shared" si="55"/>
        <v>337961.53020895523</v>
      </c>
      <c r="X48" s="115">
        <f>+'Componente 3'!Q24</f>
        <v>1877564.0567164179</v>
      </c>
      <c r="Y48" s="141">
        <f t="shared" si="56"/>
        <v>5388608.8427761188</v>
      </c>
      <c r="Z48" s="141">
        <f t="shared" si="57"/>
        <v>1182865.3557313434</v>
      </c>
      <c r="AA48" s="115">
        <f t="shared" si="58"/>
        <v>6571474.1985074626</v>
      </c>
    </row>
    <row r="49" spans="1:27" ht="27.6">
      <c r="A49" s="213">
        <v>31</v>
      </c>
      <c r="B49" s="94" t="s">
        <v>142</v>
      </c>
      <c r="C49" s="141"/>
      <c r="D49" s="141"/>
      <c r="E49" s="115">
        <f>+'Metas Comp. 3'!B21</f>
        <v>0</v>
      </c>
      <c r="F49" s="141">
        <f>+'Metas Comp. 3'!C21</f>
        <v>0</v>
      </c>
      <c r="G49" s="141">
        <f>+'Metas Comp. 3'!D21</f>
        <v>1</v>
      </c>
      <c r="H49" s="115">
        <f>+'Metas Comp. 3'!E21</f>
        <v>0</v>
      </c>
      <c r="I49" s="141">
        <f>+'Metas Comp. 3'!F21</f>
        <v>0</v>
      </c>
      <c r="J49" s="141">
        <f t="shared" si="47"/>
        <v>0</v>
      </c>
      <c r="K49" s="141">
        <f t="shared" si="48"/>
        <v>0</v>
      </c>
      <c r="L49" s="115">
        <f>+'Componente 3'!M25</f>
        <v>0</v>
      </c>
      <c r="M49" s="141">
        <f t="shared" si="49"/>
        <v>0</v>
      </c>
      <c r="N49" s="141">
        <f t="shared" si="26"/>
        <v>0</v>
      </c>
      <c r="O49" s="115">
        <f>+'Componente 3'!N25</f>
        <v>0</v>
      </c>
      <c r="P49" s="141">
        <f t="shared" si="50"/>
        <v>1396481.6626865671</v>
      </c>
      <c r="Q49" s="141">
        <f t="shared" si="51"/>
        <v>306544.75522388058</v>
      </c>
      <c r="R49" s="115">
        <f>+'Componente 3'!O25</f>
        <v>1703026.4179104478</v>
      </c>
      <c r="S49" s="141">
        <f t="shared" si="52"/>
        <v>0</v>
      </c>
      <c r="T49" s="141">
        <f t="shared" si="53"/>
        <v>0</v>
      </c>
      <c r="U49" s="115">
        <f>+'Componente 3'!P25</f>
        <v>0</v>
      </c>
      <c r="V49" s="141">
        <f t="shared" si="54"/>
        <v>0</v>
      </c>
      <c r="W49" s="141">
        <f t="shared" si="55"/>
        <v>0</v>
      </c>
      <c r="X49" s="115">
        <f>+'Componente 3'!Q25</f>
        <v>0</v>
      </c>
      <c r="Y49" s="141">
        <f t="shared" si="56"/>
        <v>1396481.6626865671</v>
      </c>
      <c r="Z49" s="141">
        <f t="shared" si="57"/>
        <v>306544.75522388058</v>
      </c>
      <c r="AA49" s="115">
        <f t="shared" si="58"/>
        <v>1703026.4179104478</v>
      </c>
    </row>
    <row r="50" spans="1:27" ht="27.6">
      <c r="A50" s="213">
        <v>31</v>
      </c>
      <c r="B50" s="94" t="s">
        <v>143</v>
      </c>
      <c r="C50" s="141"/>
      <c r="D50" s="141"/>
      <c r="E50" s="115">
        <f>+'Metas Comp. 3'!B22</f>
        <v>0</v>
      </c>
      <c r="F50" s="141">
        <f>+'Metas Comp. 3'!C22</f>
        <v>0</v>
      </c>
      <c r="G50" s="141">
        <f>+'Metas Comp. 3'!D22</f>
        <v>3</v>
      </c>
      <c r="H50" s="115">
        <f>+'Metas Comp. 3'!E22</f>
        <v>0</v>
      </c>
      <c r="I50" s="141">
        <f>+'Metas Comp. 3'!F22</f>
        <v>0</v>
      </c>
      <c r="J50" s="141">
        <f t="shared" si="47"/>
        <v>0</v>
      </c>
      <c r="K50" s="141">
        <f t="shared" si="48"/>
        <v>0</v>
      </c>
      <c r="L50" s="115">
        <f>+'Componente 3'!M26</f>
        <v>0</v>
      </c>
      <c r="M50" s="141">
        <f t="shared" si="49"/>
        <v>0</v>
      </c>
      <c r="N50" s="141">
        <f t="shared" si="26"/>
        <v>0</v>
      </c>
      <c r="O50" s="115">
        <f>+'Componente 3'!N26</f>
        <v>0</v>
      </c>
      <c r="P50" s="141">
        <f t="shared" si="50"/>
        <v>862757.614925373</v>
      </c>
      <c r="Q50" s="141">
        <f t="shared" si="51"/>
        <v>189385.81791044775</v>
      </c>
      <c r="R50" s="115">
        <f>+'Componente 3'!O26</f>
        <v>1052143.4328358208</v>
      </c>
      <c r="S50" s="141">
        <f t="shared" si="52"/>
        <v>0</v>
      </c>
      <c r="T50" s="141">
        <f t="shared" si="53"/>
        <v>0</v>
      </c>
      <c r="U50" s="115">
        <f>+'Componente 3'!P26</f>
        <v>0</v>
      </c>
      <c r="V50" s="141">
        <f t="shared" si="54"/>
        <v>0</v>
      </c>
      <c r="W50" s="141">
        <f t="shared" si="55"/>
        <v>0</v>
      </c>
      <c r="X50" s="115">
        <f>+'Componente 3'!Q26</f>
        <v>0</v>
      </c>
      <c r="Y50" s="141">
        <f t="shared" si="56"/>
        <v>862757.614925373</v>
      </c>
      <c r="Z50" s="141">
        <f t="shared" si="57"/>
        <v>189385.81791044775</v>
      </c>
      <c r="AA50" s="115">
        <f t="shared" si="58"/>
        <v>1052143.4328358208</v>
      </c>
    </row>
    <row r="51" spans="1:27" ht="28.5" customHeight="1">
      <c r="A51" s="213">
        <v>31</v>
      </c>
      <c r="B51" s="94" t="s">
        <v>144</v>
      </c>
      <c r="C51" s="141"/>
      <c r="D51" s="141"/>
      <c r="E51" s="115">
        <f>+'Metas Comp. 3'!B23</f>
        <v>0</v>
      </c>
      <c r="F51" s="141">
        <f>+'Metas Comp. 3'!C23</f>
        <v>0</v>
      </c>
      <c r="G51" s="141">
        <f>+'Metas Comp. 3'!D23</f>
        <v>51</v>
      </c>
      <c r="H51" s="115">
        <f>+'Metas Comp. 3'!E23</f>
        <v>4</v>
      </c>
      <c r="I51" s="141">
        <f>+'Metas Comp. 3'!F23</f>
        <v>10</v>
      </c>
      <c r="J51" s="141">
        <f t="shared" si="47"/>
        <v>0</v>
      </c>
      <c r="K51" s="141">
        <f t="shared" si="48"/>
        <v>0</v>
      </c>
      <c r="L51" s="115">
        <f>+'Componente 3'!M27</f>
        <v>0</v>
      </c>
      <c r="M51" s="141">
        <f t="shared" si="49"/>
        <v>0</v>
      </c>
      <c r="N51" s="141">
        <f t="shared" si="26"/>
        <v>0</v>
      </c>
      <c r="O51" s="115">
        <f>+'Componente 3'!N27</f>
        <v>0</v>
      </c>
      <c r="P51" s="141">
        <f t="shared" si="50"/>
        <v>13002306.134328356</v>
      </c>
      <c r="Q51" s="141">
        <f t="shared" si="51"/>
        <v>2854164.7611940294</v>
      </c>
      <c r="R51" s="115">
        <f>+'Componente 3'!O27</f>
        <v>15856470.895522386</v>
      </c>
      <c r="S51" s="141">
        <f t="shared" si="52"/>
        <v>1019788.7164179103</v>
      </c>
      <c r="T51" s="141">
        <f t="shared" si="53"/>
        <v>223856.05970149252</v>
      </c>
      <c r="U51" s="115">
        <f>+'Componente 3'!P27</f>
        <v>1243644.7761194028</v>
      </c>
      <c r="V51" s="141">
        <f t="shared" si="54"/>
        <v>2549471.7910447754</v>
      </c>
      <c r="W51" s="141">
        <f t="shared" si="55"/>
        <v>559640.14925373124</v>
      </c>
      <c r="X51" s="115">
        <f>+'Componente 3'!Q27</f>
        <v>3109111.940298507</v>
      </c>
      <c r="Y51" s="141">
        <f t="shared" si="56"/>
        <v>16571566.641791042</v>
      </c>
      <c r="Z51" s="141">
        <f t="shared" si="57"/>
        <v>3637660.970149253</v>
      </c>
      <c r="AA51" s="115">
        <f t="shared" si="58"/>
        <v>20209227.611940295</v>
      </c>
    </row>
    <row r="52" spans="1:27" ht="27.6">
      <c r="A52" s="99"/>
      <c r="B52" s="99" t="s">
        <v>145</v>
      </c>
      <c r="C52" s="211"/>
      <c r="D52" s="210"/>
      <c r="E52" s="211">
        <f>+'Metas Comp. 3'!B24</f>
        <v>0</v>
      </c>
      <c r="F52" s="211">
        <f>+'Metas Comp. 3'!C24</f>
        <v>0</v>
      </c>
      <c r="G52" s="210">
        <f>+'Metas Comp. 3'!D24</f>
        <v>0</v>
      </c>
      <c r="H52" s="211">
        <f>+'Metas Comp. 3'!E24</f>
        <v>0</v>
      </c>
      <c r="I52" s="211">
        <f>+'Metas Comp. 3'!F24</f>
        <v>0</v>
      </c>
      <c r="J52" s="211">
        <f t="shared" si="47"/>
        <v>0</v>
      </c>
      <c r="K52" s="210">
        <f t="shared" si="48"/>
        <v>0</v>
      </c>
      <c r="L52" s="211">
        <f>+'Componente 3'!M28</f>
        <v>0</v>
      </c>
      <c r="M52" s="211">
        <f t="shared" si="49"/>
        <v>0</v>
      </c>
      <c r="N52" s="210">
        <f t="shared" si="26"/>
        <v>0</v>
      </c>
      <c r="O52" s="211">
        <f>+'Componente 3'!N28</f>
        <v>0</v>
      </c>
      <c r="P52" s="211">
        <f t="shared" si="50"/>
        <v>0</v>
      </c>
      <c r="Q52" s="210">
        <f t="shared" si="51"/>
        <v>0</v>
      </c>
      <c r="R52" s="211">
        <f>+'Componente 3'!O28</f>
        <v>0</v>
      </c>
      <c r="S52" s="211">
        <f t="shared" si="52"/>
        <v>52480</v>
      </c>
      <c r="T52" s="210">
        <f t="shared" si="53"/>
        <v>11520</v>
      </c>
      <c r="U52" s="211">
        <f>+'Componente 3'!P28</f>
        <v>64000</v>
      </c>
      <c r="V52" s="211">
        <f t="shared" si="54"/>
        <v>655180</v>
      </c>
      <c r="W52" s="210">
        <f t="shared" si="55"/>
        <v>143820</v>
      </c>
      <c r="X52" s="211">
        <f>+'Componente 3'!Q28</f>
        <v>799000</v>
      </c>
      <c r="Y52" s="211">
        <f t="shared" si="56"/>
        <v>707660</v>
      </c>
      <c r="Z52" s="210">
        <f t="shared" si="57"/>
        <v>155340</v>
      </c>
      <c r="AA52" s="210">
        <f t="shared" si="58"/>
        <v>863000</v>
      </c>
    </row>
    <row r="53" spans="1:27">
      <c r="A53" s="213">
        <v>26</v>
      </c>
      <c r="B53" s="94" t="s">
        <v>146</v>
      </c>
      <c r="C53" s="141"/>
      <c r="D53" s="141"/>
      <c r="E53" s="115">
        <f>+'Metas Comp. 3'!B25</f>
        <v>0</v>
      </c>
      <c r="F53" s="141">
        <f>+'Metas Comp. 3'!C25</f>
        <v>0</v>
      </c>
      <c r="G53" s="141">
        <f>+'Metas Comp. 3'!D25</f>
        <v>0</v>
      </c>
      <c r="H53" s="115">
        <f>+'Metas Comp. 3'!E25</f>
        <v>0</v>
      </c>
      <c r="I53" s="141">
        <f>+'Metas Comp. 3'!F25</f>
        <v>8</v>
      </c>
      <c r="J53" s="141">
        <f t="shared" si="47"/>
        <v>0</v>
      </c>
      <c r="K53" s="141">
        <f t="shared" si="48"/>
        <v>0</v>
      </c>
      <c r="L53" s="115">
        <f>+'Componente 3'!M29</f>
        <v>0</v>
      </c>
      <c r="M53" s="141">
        <f t="shared" si="49"/>
        <v>0</v>
      </c>
      <c r="N53" s="141">
        <f t="shared" si="26"/>
        <v>0</v>
      </c>
      <c r="O53" s="115">
        <f>+'Componente 3'!N29</f>
        <v>0</v>
      </c>
      <c r="P53" s="141">
        <f t="shared" si="50"/>
        <v>0</v>
      </c>
      <c r="Q53" s="141">
        <f t="shared" si="51"/>
        <v>0</v>
      </c>
      <c r="R53" s="115">
        <f>+'Componente 3'!O29</f>
        <v>0</v>
      </c>
      <c r="S53" s="141">
        <f t="shared" si="52"/>
        <v>0</v>
      </c>
      <c r="T53" s="141">
        <f t="shared" si="53"/>
        <v>0</v>
      </c>
      <c r="U53" s="115">
        <f>+'Componente 3'!P29</f>
        <v>0</v>
      </c>
      <c r="V53" s="141">
        <f t="shared" si="54"/>
        <v>98400</v>
      </c>
      <c r="W53" s="141">
        <f t="shared" si="55"/>
        <v>21600</v>
      </c>
      <c r="X53" s="115">
        <f>+'Componente 3'!Q29</f>
        <v>120000</v>
      </c>
      <c r="Y53" s="141">
        <f t="shared" si="56"/>
        <v>98400</v>
      </c>
      <c r="Z53" s="141">
        <f t="shared" si="57"/>
        <v>21600</v>
      </c>
      <c r="AA53" s="115">
        <f t="shared" si="58"/>
        <v>120000</v>
      </c>
    </row>
    <row r="54" spans="1:27">
      <c r="A54" s="213">
        <v>26</v>
      </c>
      <c r="B54" s="94" t="s">
        <v>147</v>
      </c>
      <c r="C54" s="141"/>
      <c r="D54" s="141"/>
      <c r="E54" s="115">
        <f>+'Metas Comp. 3'!B26</f>
        <v>0</v>
      </c>
      <c r="F54" s="141">
        <f>+'Metas Comp. 3'!C26</f>
        <v>0</v>
      </c>
      <c r="G54" s="141">
        <f>+'Metas Comp. 3'!D26</f>
        <v>0</v>
      </c>
      <c r="H54" s="115">
        <f>+'Metas Comp. 3'!E26</f>
        <v>0</v>
      </c>
      <c r="I54" s="141">
        <f>+'Metas Comp. 3'!F26</f>
        <v>8</v>
      </c>
      <c r="J54" s="141">
        <f t="shared" si="47"/>
        <v>0</v>
      </c>
      <c r="K54" s="141">
        <f t="shared" si="48"/>
        <v>0</v>
      </c>
      <c r="L54" s="115">
        <f>+'Componente 3'!M30</f>
        <v>0</v>
      </c>
      <c r="M54" s="141">
        <f t="shared" si="49"/>
        <v>0</v>
      </c>
      <c r="N54" s="141">
        <f t="shared" si="26"/>
        <v>0</v>
      </c>
      <c r="O54" s="115">
        <f>+'Componente 3'!N30</f>
        <v>0</v>
      </c>
      <c r="P54" s="141">
        <f t="shared" si="50"/>
        <v>0</v>
      </c>
      <c r="Q54" s="141">
        <f t="shared" si="51"/>
        <v>0</v>
      </c>
      <c r="R54" s="115">
        <f>+'Componente 3'!O30</f>
        <v>0</v>
      </c>
      <c r="S54" s="141">
        <f t="shared" si="52"/>
        <v>0</v>
      </c>
      <c r="T54" s="141">
        <f t="shared" si="53"/>
        <v>0</v>
      </c>
      <c r="U54" s="115">
        <f>+'Componente 3'!P30</f>
        <v>0</v>
      </c>
      <c r="V54" s="141">
        <f t="shared" si="54"/>
        <v>98400</v>
      </c>
      <c r="W54" s="141">
        <f t="shared" si="55"/>
        <v>21600</v>
      </c>
      <c r="X54" s="115">
        <f>+'Componente 3'!Q30</f>
        <v>120000</v>
      </c>
      <c r="Y54" s="141">
        <f t="shared" si="56"/>
        <v>98400</v>
      </c>
      <c r="Z54" s="141">
        <f t="shared" si="57"/>
        <v>21600</v>
      </c>
      <c r="AA54" s="115">
        <f t="shared" si="58"/>
        <v>120000</v>
      </c>
    </row>
    <row r="55" spans="1:27">
      <c r="A55" s="213">
        <v>26</v>
      </c>
      <c r="B55" s="94" t="s">
        <v>148</v>
      </c>
      <c r="C55" s="141"/>
      <c r="D55" s="141"/>
      <c r="E55" s="115">
        <f>+'Metas Comp. 3'!B27</f>
        <v>0</v>
      </c>
      <c r="F55" s="141">
        <f>+'Metas Comp. 3'!C27</f>
        <v>0</v>
      </c>
      <c r="G55" s="141">
        <f>+'Metas Comp. 3'!D27</f>
        <v>0</v>
      </c>
      <c r="H55" s="115">
        <f>+'Metas Comp. 3'!E27</f>
        <v>0</v>
      </c>
      <c r="I55" s="141">
        <f>+'Metas Comp. 3'!F27</f>
        <v>8</v>
      </c>
      <c r="J55" s="141">
        <f t="shared" si="47"/>
        <v>0</v>
      </c>
      <c r="K55" s="141">
        <f t="shared" si="48"/>
        <v>0</v>
      </c>
      <c r="L55" s="115">
        <f>+'Componente 3'!M31</f>
        <v>0</v>
      </c>
      <c r="M55" s="141">
        <f t="shared" si="49"/>
        <v>0</v>
      </c>
      <c r="N55" s="141">
        <f t="shared" si="26"/>
        <v>0</v>
      </c>
      <c r="O55" s="115">
        <f>+'Componente 3'!N31</f>
        <v>0</v>
      </c>
      <c r="P55" s="141">
        <f t="shared" si="50"/>
        <v>0</v>
      </c>
      <c r="Q55" s="141">
        <f t="shared" si="51"/>
        <v>0</v>
      </c>
      <c r="R55" s="115">
        <f>+'Componente 3'!O31</f>
        <v>0</v>
      </c>
      <c r="S55" s="141">
        <f t="shared" si="52"/>
        <v>0</v>
      </c>
      <c r="T55" s="141">
        <f t="shared" si="53"/>
        <v>0</v>
      </c>
      <c r="U55" s="115">
        <f>+'Componente 3'!P31</f>
        <v>0</v>
      </c>
      <c r="V55" s="141">
        <f t="shared" si="54"/>
        <v>98400</v>
      </c>
      <c r="W55" s="141">
        <f t="shared" si="55"/>
        <v>21600</v>
      </c>
      <c r="X55" s="115">
        <f>+'Componente 3'!Q31</f>
        <v>120000</v>
      </c>
      <c r="Y55" s="141">
        <f t="shared" si="56"/>
        <v>98400</v>
      </c>
      <c r="Z55" s="141">
        <f t="shared" si="57"/>
        <v>21600</v>
      </c>
      <c r="AA55" s="115">
        <f t="shared" si="58"/>
        <v>120000</v>
      </c>
    </row>
    <row r="56" spans="1:27">
      <c r="A56" s="213">
        <v>26</v>
      </c>
      <c r="B56" s="94" t="s">
        <v>149</v>
      </c>
      <c r="C56" s="141"/>
      <c r="D56" s="141"/>
      <c r="E56" s="115">
        <f>+'Metas Comp. 3'!B28</f>
        <v>0</v>
      </c>
      <c r="F56" s="141">
        <f>+'Metas Comp. 3'!C28</f>
        <v>0</v>
      </c>
      <c r="G56" s="141">
        <f>+'Metas Comp. 3'!D28</f>
        <v>0</v>
      </c>
      <c r="H56" s="115">
        <f>+'Metas Comp. 3'!E28</f>
        <v>0</v>
      </c>
      <c r="I56" s="141">
        <f>+'Metas Comp. 3'!F28</f>
        <v>15</v>
      </c>
      <c r="J56" s="141">
        <f t="shared" si="47"/>
        <v>0</v>
      </c>
      <c r="K56" s="141">
        <f t="shared" si="48"/>
        <v>0</v>
      </c>
      <c r="L56" s="115">
        <f>+'Componente 3'!M32</f>
        <v>0</v>
      </c>
      <c r="M56" s="141">
        <f t="shared" si="49"/>
        <v>0</v>
      </c>
      <c r="N56" s="141">
        <f t="shared" si="26"/>
        <v>0</v>
      </c>
      <c r="O56" s="115">
        <f>+'Componente 3'!N32</f>
        <v>0</v>
      </c>
      <c r="P56" s="141">
        <f t="shared" si="50"/>
        <v>0</v>
      </c>
      <c r="Q56" s="141">
        <f t="shared" si="51"/>
        <v>0</v>
      </c>
      <c r="R56" s="115">
        <f>+'Componente 3'!O32</f>
        <v>0</v>
      </c>
      <c r="S56" s="141">
        <f t="shared" si="52"/>
        <v>0</v>
      </c>
      <c r="T56" s="141">
        <f t="shared" si="53"/>
        <v>0</v>
      </c>
      <c r="U56" s="115">
        <f>+'Componente 3'!P32</f>
        <v>0</v>
      </c>
      <c r="V56" s="141">
        <f t="shared" si="54"/>
        <v>184500</v>
      </c>
      <c r="W56" s="141">
        <f t="shared" si="55"/>
        <v>40500</v>
      </c>
      <c r="X56" s="115">
        <f>+'Componente 3'!Q32</f>
        <v>225000</v>
      </c>
      <c r="Y56" s="141">
        <f t="shared" si="56"/>
        <v>184500</v>
      </c>
      <c r="Z56" s="141">
        <f t="shared" si="57"/>
        <v>40500</v>
      </c>
      <c r="AA56" s="115">
        <f t="shared" si="58"/>
        <v>225000</v>
      </c>
    </row>
    <row r="57" spans="1:27">
      <c r="A57" s="213">
        <v>26</v>
      </c>
      <c r="B57" s="94" t="s">
        <v>150</v>
      </c>
      <c r="C57" s="141"/>
      <c r="D57" s="141"/>
      <c r="E57" s="115">
        <f>+'Metas Comp. 3'!B29</f>
        <v>0</v>
      </c>
      <c r="F57" s="141">
        <f>+'Metas Comp. 3'!C29</f>
        <v>0</v>
      </c>
      <c r="G57" s="141">
        <f>+'Metas Comp. 3'!D29</f>
        <v>0</v>
      </c>
      <c r="H57" s="115">
        <f>+'Metas Comp. 3'!E29</f>
        <v>8</v>
      </c>
      <c r="I57" s="141">
        <f>+'Metas Comp. 3'!F29</f>
        <v>8</v>
      </c>
      <c r="J57" s="141">
        <f t="shared" si="47"/>
        <v>0</v>
      </c>
      <c r="K57" s="141">
        <f t="shared" si="48"/>
        <v>0</v>
      </c>
      <c r="L57" s="115">
        <f>+'Componente 3'!M33</f>
        <v>0</v>
      </c>
      <c r="M57" s="141">
        <f t="shared" si="49"/>
        <v>0</v>
      </c>
      <c r="N57" s="141">
        <f t="shared" si="26"/>
        <v>0</v>
      </c>
      <c r="O57" s="115">
        <f>+'Componente 3'!N33</f>
        <v>0</v>
      </c>
      <c r="P57" s="141">
        <f t="shared" si="50"/>
        <v>0</v>
      </c>
      <c r="Q57" s="141">
        <f t="shared" si="51"/>
        <v>0</v>
      </c>
      <c r="R57" s="115">
        <f>+'Componente 3'!O33</f>
        <v>0</v>
      </c>
      <c r="S57" s="141">
        <f t="shared" si="52"/>
        <v>52480</v>
      </c>
      <c r="T57" s="141">
        <f t="shared" si="53"/>
        <v>11520</v>
      </c>
      <c r="U57" s="115">
        <f>+'Componente 3'!P33</f>
        <v>64000</v>
      </c>
      <c r="V57" s="141">
        <f t="shared" si="54"/>
        <v>52480</v>
      </c>
      <c r="W57" s="141">
        <f t="shared" si="55"/>
        <v>11520</v>
      </c>
      <c r="X57" s="115">
        <f>+'Componente 3'!Q33</f>
        <v>64000</v>
      </c>
      <c r="Y57" s="141">
        <f t="shared" si="56"/>
        <v>104960</v>
      </c>
      <c r="Z57" s="141">
        <f t="shared" si="57"/>
        <v>23040</v>
      </c>
      <c r="AA57" s="115">
        <f t="shared" si="58"/>
        <v>128000</v>
      </c>
    </row>
    <row r="58" spans="1:27" ht="27.6">
      <c r="A58" s="213">
        <v>26</v>
      </c>
      <c r="B58" s="94" t="s">
        <v>151</v>
      </c>
      <c r="C58" s="141"/>
      <c r="D58" s="141"/>
      <c r="E58" s="115">
        <f>+'Metas Comp. 3'!B30</f>
        <v>0</v>
      </c>
      <c r="F58" s="141">
        <f>+'Metas Comp. 3'!C30</f>
        <v>0</v>
      </c>
      <c r="G58" s="141">
        <f>+'Metas Comp. 3'!D30</f>
        <v>0</v>
      </c>
      <c r="H58" s="115">
        <f>+'Metas Comp. 3'!E30</f>
        <v>0</v>
      </c>
      <c r="I58" s="141">
        <f>+'Metas Comp. 3'!F30</f>
        <v>5</v>
      </c>
      <c r="J58" s="141">
        <f t="shared" si="47"/>
        <v>0</v>
      </c>
      <c r="K58" s="141">
        <f t="shared" si="48"/>
        <v>0</v>
      </c>
      <c r="L58" s="115">
        <f>+'Componente 3'!M34</f>
        <v>0</v>
      </c>
      <c r="M58" s="141">
        <f t="shared" si="49"/>
        <v>0</v>
      </c>
      <c r="N58" s="141">
        <f t="shared" si="26"/>
        <v>0</v>
      </c>
      <c r="O58" s="115">
        <f>+'Componente 3'!N34</f>
        <v>0</v>
      </c>
      <c r="P58" s="141">
        <f t="shared" si="50"/>
        <v>0</v>
      </c>
      <c r="Q58" s="141">
        <f t="shared" si="51"/>
        <v>0</v>
      </c>
      <c r="R58" s="115">
        <f>+'Componente 3'!O34</f>
        <v>0</v>
      </c>
      <c r="S58" s="141">
        <f t="shared" si="52"/>
        <v>0</v>
      </c>
      <c r="T58" s="141">
        <f t="shared" si="53"/>
        <v>0</v>
      </c>
      <c r="U58" s="115">
        <f>+'Componente 3'!P34</f>
        <v>0</v>
      </c>
      <c r="V58" s="141">
        <f t="shared" si="54"/>
        <v>61499.999999999993</v>
      </c>
      <c r="W58" s="141">
        <f t="shared" si="55"/>
        <v>13500</v>
      </c>
      <c r="X58" s="115">
        <f>+'Componente 3'!Q34</f>
        <v>75000</v>
      </c>
      <c r="Y58" s="141">
        <f t="shared" si="56"/>
        <v>61499.999999999993</v>
      </c>
      <c r="Z58" s="141">
        <f t="shared" si="57"/>
        <v>13500</v>
      </c>
      <c r="AA58" s="115">
        <f t="shared" si="58"/>
        <v>75000</v>
      </c>
    </row>
    <row r="59" spans="1:27" ht="27.6">
      <c r="A59" s="213">
        <v>26</v>
      </c>
      <c r="B59" s="94" t="s">
        <v>152</v>
      </c>
      <c r="C59" s="141"/>
      <c r="D59" s="141"/>
      <c r="E59" s="115">
        <f>+'Metas Comp. 3'!B31</f>
        <v>0</v>
      </c>
      <c r="F59" s="141">
        <f>+'Metas Comp. 3'!C31</f>
        <v>0</v>
      </c>
      <c r="G59" s="141">
        <f>+'Metas Comp. 3'!D31</f>
        <v>0</v>
      </c>
      <c r="H59" s="115">
        <f>+'Metas Comp. 3'!E31</f>
        <v>0</v>
      </c>
      <c r="I59" s="141">
        <f>+'Metas Comp. 3'!F31</f>
        <v>5</v>
      </c>
      <c r="J59" s="141">
        <f t="shared" si="47"/>
        <v>0</v>
      </c>
      <c r="K59" s="141">
        <f t="shared" si="48"/>
        <v>0</v>
      </c>
      <c r="L59" s="115">
        <f>+'Componente 3'!M35</f>
        <v>0</v>
      </c>
      <c r="M59" s="141">
        <f t="shared" si="49"/>
        <v>0</v>
      </c>
      <c r="N59" s="141">
        <f t="shared" si="26"/>
        <v>0</v>
      </c>
      <c r="O59" s="115">
        <f>+'Componente 3'!N35</f>
        <v>0</v>
      </c>
      <c r="P59" s="141">
        <f t="shared" si="50"/>
        <v>0</v>
      </c>
      <c r="Q59" s="141">
        <f t="shared" si="51"/>
        <v>0</v>
      </c>
      <c r="R59" s="115">
        <f>+'Componente 3'!O35</f>
        <v>0</v>
      </c>
      <c r="S59" s="141">
        <f t="shared" si="52"/>
        <v>0</v>
      </c>
      <c r="T59" s="141">
        <f t="shared" si="53"/>
        <v>0</v>
      </c>
      <c r="U59" s="115">
        <f>+'Componente 3'!P35</f>
        <v>0</v>
      </c>
      <c r="V59" s="141">
        <f t="shared" si="54"/>
        <v>61499.999999999993</v>
      </c>
      <c r="W59" s="141">
        <f t="shared" si="55"/>
        <v>13500</v>
      </c>
      <c r="X59" s="115">
        <f>+'Componente 3'!Q35</f>
        <v>75000</v>
      </c>
      <c r="Y59" s="141">
        <f t="shared" si="56"/>
        <v>61499.999999999993</v>
      </c>
      <c r="Z59" s="141">
        <f t="shared" si="57"/>
        <v>13500</v>
      </c>
      <c r="AA59" s="115">
        <f t="shared" si="58"/>
        <v>75000</v>
      </c>
    </row>
    <row r="60" spans="1:27" ht="27.6">
      <c r="A60" s="99"/>
      <c r="B60" s="99" t="s">
        <v>153</v>
      </c>
      <c r="C60" s="211"/>
      <c r="D60" s="210"/>
      <c r="E60" s="211">
        <f>+'Metas Comp. 3'!B32</f>
        <v>0</v>
      </c>
      <c r="F60" s="211">
        <f>+'Metas Comp. 3'!C32</f>
        <v>0</v>
      </c>
      <c r="G60" s="210">
        <f>+'Metas Comp. 3'!D32</f>
        <v>0</v>
      </c>
      <c r="H60" s="211">
        <f>+'Metas Comp. 3'!E32</f>
        <v>0</v>
      </c>
      <c r="I60" s="211">
        <f>+'Metas Comp. 3'!F32</f>
        <v>0</v>
      </c>
      <c r="J60" s="211">
        <f t="shared" si="47"/>
        <v>0</v>
      </c>
      <c r="K60" s="210">
        <f t="shared" si="48"/>
        <v>0</v>
      </c>
      <c r="L60" s="211">
        <f>+'Componente 3'!M36</f>
        <v>0</v>
      </c>
      <c r="M60" s="211">
        <f t="shared" si="49"/>
        <v>0</v>
      </c>
      <c r="N60" s="210">
        <f t="shared" si="26"/>
        <v>0</v>
      </c>
      <c r="O60" s="211">
        <f>+'Componente 3'!N36</f>
        <v>0</v>
      </c>
      <c r="P60" s="211">
        <f t="shared" si="50"/>
        <v>0</v>
      </c>
      <c r="Q60" s="210">
        <f t="shared" si="51"/>
        <v>0</v>
      </c>
      <c r="R60" s="211">
        <f>+'Componente 3'!O36</f>
        <v>0</v>
      </c>
      <c r="S60" s="211">
        <f t="shared" si="52"/>
        <v>61499.999999999993</v>
      </c>
      <c r="T60" s="210">
        <f t="shared" si="53"/>
        <v>13500</v>
      </c>
      <c r="U60" s="211">
        <f>+'Componente 3'!P36</f>
        <v>75000</v>
      </c>
      <c r="V60" s="211">
        <f t="shared" si="54"/>
        <v>0</v>
      </c>
      <c r="W60" s="210">
        <f t="shared" si="55"/>
        <v>0</v>
      </c>
      <c r="X60" s="211">
        <f>+'Componente 3'!Q36</f>
        <v>0</v>
      </c>
      <c r="Y60" s="211">
        <f t="shared" si="56"/>
        <v>61499.999999999993</v>
      </c>
      <c r="Z60" s="210">
        <f t="shared" si="57"/>
        <v>13500</v>
      </c>
      <c r="AA60" s="210">
        <f t="shared" si="58"/>
        <v>75000</v>
      </c>
    </row>
    <row r="61" spans="1:27" ht="27.6">
      <c r="A61" s="213">
        <v>25</v>
      </c>
      <c r="B61" s="94" t="s">
        <v>154</v>
      </c>
      <c r="C61" s="141"/>
      <c r="D61" s="141"/>
      <c r="E61" s="115">
        <f>+'Metas Comp. 3'!B33</f>
        <v>0</v>
      </c>
      <c r="F61" s="141">
        <f>+'Metas Comp. 3'!C33</f>
        <v>0</v>
      </c>
      <c r="G61" s="141">
        <f>+'Metas Comp. 3'!D33</f>
        <v>0</v>
      </c>
      <c r="H61" s="115">
        <f>+'Metas Comp. 3'!E33</f>
        <v>1</v>
      </c>
      <c r="I61" s="141">
        <f>+'Metas Comp. 3'!F33</f>
        <v>0</v>
      </c>
      <c r="J61" s="141">
        <f t="shared" si="47"/>
        <v>0</v>
      </c>
      <c r="K61" s="141">
        <f t="shared" si="48"/>
        <v>0</v>
      </c>
      <c r="L61" s="115">
        <f>+'Componente 3'!M37</f>
        <v>0</v>
      </c>
      <c r="M61" s="141">
        <f t="shared" si="49"/>
        <v>0</v>
      </c>
      <c r="N61" s="141">
        <f t="shared" si="26"/>
        <v>0</v>
      </c>
      <c r="O61" s="115">
        <f>+'Componente 3'!N37</f>
        <v>0</v>
      </c>
      <c r="P61" s="141">
        <f t="shared" si="50"/>
        <v>0</v>
      </c>
      <c r="Q61" s="141">
        <f t="shared" si="51"/>
        <v>0</v>
      </c>
      <c r="R61" s="115">
        <f>+'Componente 3'!O37</f>
        <v>0</v>
      </c>
      <c r="S61" s="141">
        <f t="shared" si="52"/>
        <v>61499.999999999993</v>
      </c>
      <c r="T61" s="141">
        <f t="shared" si="53"/>
        <v>13500</v>
      </c>
      <c r="U61" s="115">
        <f>+'Componente 3'!P37</f>
        <v>75000</v>
      </c>
      <c r="V61" s="141">
        <f t="shared" si="54"/>
        <v>0</v>
      </c>
      <c r="W61" s="141">
        <f t="shared" si="55"/>
        <v>0</v>
      </c>
      <c r="X61" s="115">
        <f>+'Componente 3'!Q37</f>
        <v>0</v>
      </c>
      <c r="Y61" s="141">
        <f t="shared" si="56"/>
        <v>61499.999999999993</v>
      </c>
      <c r="Z61" s="141">
        <f t="shared" si="57"/>
        <v>13500</v>
      </c>
      <c r="AA61" s="115">
        <f t="shared" si="58"/>
        <v>75000</v>
      </c>
    </row>
    <row r="62" spans="1:27" ht="27.6">
      <c r="A62" s="99"/>
      <c r="B62" s="99" t="s">
        <v>155</v>
      </c>
      <c r="C62" s="211"/>
      <c r="D62" s="210"/>
      <c r="E62" s="211">
        <f>+'Metas Comp. 3'!B34</f>
        <v>0</v>
      </c>
      <c r="F62" s="211">
        <f>+'Metas Comp. 3'!C34</f>
        <v>0</v>
      </c>
      <c r="G62" s="210">
        <f>+'Metas Comp. 3'!D34</f>
        <v>0</v>
      </c>
      <c r="H62" s="211">
        <f>+'Metas Comp. 3'!E34</f>
        <v>0</v>
      </c>
      <c r="I62" s="211">
        <f>+'Metas Comp. 3'!F34</f>
        <v>0</v>
      </c>
      <c r="J62" s="211">
        <f t="shared" si="47"/>
        <v>0</v>
      </c>
      <c r="K62" s="210">
        <f t="shared" si="48"/>
        <v>0</v>
      </c>
      <c r="L62" s="211">
        <f>+'Componente 3'!M38</f>
        <v>0</v>
      </c>
      <c r="M62" s="211">
        <f t="shared" si="49"/>
        <v>0</v>
      </c>
      <c r="N62" s="210">
        <f t="shared" si="26"/>
        <v>0</v>
      </c>
      <c r="O62" s="211">
        <f>+'Componente 3'!N38</f>
        <v>0</v>
      </c>
      <c r="P62" s="211">
        <f t="shared" si="50"/>
        <v>0</v>
      </c>
      <c r="Q62" s="210">
        <f t="shared" si="51"/>
        <v>0</v>
      </c>
      <c r="R62" s="211">
        <f>+'Componente 3'!O38</f>
        <v>0</v>
      </c>
      <c r="S62" s="211">
        <f t="shared" si="52"/>
        <v>26240</v>
      </c>
      <c r="T62" s="210">
        <f t="shared" si="53"/>
        <v>5760</v>
      </c>
      <c r="U62" s="211">
        <f>+'Componente 3'!P38</f>
        <v>32000</v>
      </c>
      <c r="V62" s="211">
        <f t="shared" si="54"/>
        <v>0</v>
      </c>
      <c r="W62" s="210">
        <f t="shared" si="55"/>
        <v>0</v>
      </c>
      <c r="X62" s="211">
        <f>+'Componente 3'!Q38</f>
        <v>0</v>
      </c>
      <c r="Y62" s="211">
        <f t="shared" si="56"/>
        <v>26240</v>
      </c>
      <c r="Z62" s="210">
        <f t="shared" si="57"/>
        <v>5760</v>
      </c>
      <c r="AA62" s="210">
        <f t="shared" si="58"/>
        <v>32000</v>
      </c>
    </row>
    <row r="63" spans="1:27">
      <c r="A63" s="213">
        <v>25</v>
      </c>
      <c r="B63" s="94" t="s">
        <v>156</v>
      </c>
      <c r="C63" s="141"/>
      <c r="D63" s="141"/>
      <c r="E63" s="115">
        <f>+'Metas Comp. 3'!B35</f>
        <v>0</v>
      </c>
      <c r="F63" s="141">
        <f>+'Metas Comp. 3'!C35</f>
        <v>0</v>
      </c>
      <c r="G63" s="141">
        <f>+'Metas Comp. 3'!D35</f>
        <v>0</v>
      </c>
      <c r="H63" s="115">
        <f>+'Metas Comp. 3'!E35</f>
        <v>32</v>
      </c>
      <c r="I63" s="141">
        <f>+'Metas Comp. 3'!F35</f>
        <v>0</v>
      </c>
      <c r="J63" s="141">
        <f t="shared" si="47"/>
        <v>0</v>
      </c>
      <c r="K63" s="141">
        <f t="shared" si="48"/>
        <v>0</v>
      </c>
      <c r="L63" s="115">
        <f>+'Componente 3'!M39</f>
        <v>0</v>
      </c>
      <c r="M63" s="141">
        <f t="shared" si="49"/>
        <v>0</v>
      </c>
      <c r="N63" s="141">
        <f t="shared" si="26"/>
        <v>0</v>
      </c>
      <c r="O63" s="115">
        <f>+'Componente 3'!N39</f>
        <v>0</v>
      </c>
      <c r="P63" s="141">
        <f t="shared" si="50"/>
        <v>0</v>
      </c>
      <c r="Q63" s="141">
        <f t="shared" si="51"/>
        <v>0</v>
      </c>
      <c r="R63" s="115">
        <f>+'Componente 3'!O39</f>
        <v>0</v>
      </c>
      <c r="S63" s="141">
        <f t="shared" si="52"/>
        <v>26240</v>
      </c>
      <c r="T63" s="141">
        <f t="shared" si="53"/>
        <v>5760</v>
      </c>
      <c r="U63" s="115">
        <f>+'Componente 3'!P39</f>
        <v>32000</v>
      </c>
      <c r="V63" s="141">
        <f t="shared" si="54"/>
        <v>0</v>
      </c>
      <c r="W63" s="141">
        <f t="shared" si="55"/>
        <v>0</v>
      </c>
      <c r="X63" s="115">
        <f>+'Componente 3'!Q39</f>
        <v>0</v>
      </c>
      <c r="Y63" s="141">
        <f t="shared" si="56"/>
        <v>26240</v>
      </c>
      <c r="Z63" s="141">
        <f t="shared" si="57"/>
        <v>5760</v>
      </c>
      <c r="AA63" s="115">
        <f t="shared" si="58"/>
        <v>32000</v>
      </c>
    </row>
    <row r="64" spans="1:27" ht="27.6">
      <c r="A64" s="99"/>
      <c r="B64" s="99" t="s">
        <v>157</v>
      </c>
      <c r="C64" s="211"/>
      <c r="D64" s="210"/>
      <c r="E64" s="211">
        <f>+'Metas Comp. 3'!B36</f>
        <v>0</v>
      </c>
      <c r="F64" s="211">
        <f>+'Metas Comp. 3'!C36</f>
        <v>0</v>
      </c>
      <c r="G64" s="210">
        <f>+'Metas Comp. 3'!D36</f>
        <v>0</v>
      </c>
      <c r="H64" s="211">
        <f>+'Metas Comp. 3'!E36</f>
        <v>0</v>
      </c>
      <c r="I64" s="211">
        <f>+'Metas Comp. 3'!F36</f>
        <v>0</v>
      </c>
      <c r="J64" s="211">
        <f t="shared" si="47"/>
        <v>0</v>
      </c>
      <c r="K64" s="210">
        <f t="shared" si="48"/>
        <v>0</v>
      </c>
      <c r="L64" s="211">
        <f>+'Componente 3'!M40</f>
        <v>0</v>
      </c>
      <c r="M64" s="211">
        <f t="shared" si="49"/>
        <v>0</v>
      </c>
      <c r="N64" s="210">
        <f t="shared" si="26"/>
        <v>0</v>
      </c>
      <c r="O64" s="211">
        <f>+'Componente 3'!N40</f>
        <v>0</v>
      </c>
      <c r="P64" s="211">
        <f t="shared" si="50"/>
        <v>0</v>
      </c>
      <c r="Q64" s="210">
        <f t="shared" si="51"/>
        <v>0</v>
      </c>
      <c r="R64" s="211">
        <f>+'Componente 3'!O40</f>
        <v>0</v>
      </c>
      <c r="S64" s="211">
        <f t="shared" si="52"/>
        <v>41000</v>
      </c>
      <c r="T64" s="210">
        <f t="shared" si="53"/>
        <v>9000</v>
      </c>
      <c r="U64" s="211">
        <f>+'Componente 3'!P40</f>
        <v>50000</v>
      </c>
      <c r="V64" s="211">
        <f t="shared" si="54"/>
        <v>0</v>
      </c>
      <c r="W64" s="210">
        <f t="shared" si="55"/>
        <v>0</v>
      </c>
      <c r="X64" s="211">
        <f>+'Componente 3'!Q40</f>
        <v>0</v>
      </c>
      <c r="Y64" s="211">
        <f t="shared" si="56"/>
        <v>41000</v>
      </c>
      <c r="Z64" s="210">
        <f t="shared" si="57"/>
        <v>9000</v>
      </c>
      <c r="AA64" s="210">
        <f t="shared" si="58"/>
        <v>50000</v>
      </c>
    </row>
    <row r="65" spans="1:27" ht="27.6">
      <c r="A65" s="213">
        <v>27</v>
      </c>
      <c r="B65" s="94" t="s">
        <v>158</v>
      </c>
      <c r="C65" s="141"/>
      <c r="D65" s="141"/>
      <c r="E65" s="115">
        <f>+'Metas Comp. 3'!B37</f>
        <v>0</v>
      </c>
      <c r="F65" s="141">
        <f>+'Metas Comp. 3'!C37</f>
        <v>0</v>
      </c>
      <c r="G65" s="141">
        <f>+'Metas Comp. 3'!D37</f>
        <v>0</v>
      </c>
      <c r="H65" s="115">
        <f>+'Metas Comp. 3'!E37</f>
        <v>1</v>
      </c>
      <c r="I65" s="141">
        <f>+'Metas Comp. 3'!F37</f>
        <v>0</v>
      </c>
      <c r="J65" s="141">
        <f t="shared" si="47"/>
        <v>0</v>
      </c>
      <c r="K65" s="141">
        <f t="shared" si="48"/>
        <v>0</v>
      </c>
      <c r="L65" s="115">
        <f>+'Componente 3'!M41</f>
        <v>0</v>
      </c>
      <c r="M65" s="141">
        <f t="shared" si="49"/>
        <v>0</v>
      </c>
      <c r="N65" s="141">
        <f t="shared" si="26"/>
        <v>0</v>
      </c>
      <c r="O65" s="115">
        <f>+'Componente 3'!N41</f>
        <v>0</v>
      </c>
      <c r="P65" s="141">
        <f t="shared" si="50"/>
        <v>0</v>
      </c>
      <c r="Q65" s="141">
        <f t="shared" si="51"/>
        <v>0</v>
      </c>
      <c r="R65" s="115">
        <f>+'Componente 3'!O41</f>
        <v>0</v>
      </c>
      <c r="S65" s="141">
        <f t="shared" si="52"/>
        <v>41000</v>
      </c>
      <c r="T65" s="141">
        <f t="shared" si="53"/>
        <v>9000</v>
      </c>
      <c r="U65" s="115">
        <f>+'Componente 3'!P41</f>
        <v>50000</v>
      </c>
      <c r="V65" s="141">
        <f t="shared" si="54"/>
        <v>0</v>
      </c>
      <c r="W65" s="141">
        <f t="shared" si="55"/>
        <v>0</v>
      </c>
      <c r="X65" s="115">
        <f>+'Componente 3'!Q41</f>
        <v>0</v>
      </c>
      <c r="Y65" s="141">
        <f t="shared" si="56"/>
        <v>41000</v>
      </c>
      <c r="Z65" s="141">
        <f t="shared" si="57"/>
        <v>9000</v>
      </c>
      <c r="AA65" s="115">
        <f t="shared" si="58"/>
        <v>50000</v>
      </c>
    </row>
    <row r="66" spans="1:27" ht="27.6">
      <c r="A66" s="99"/>
      <c r="B66" s="99" t="s">
        <v>159</v>
      </c>
      <c r="C66" s="211"/>
      <c r="D66" s="210"/>
      <c r="E66" s="211">
        <f>+'Metas Comp. 3'!B38</f>
        <v>0</v>
      </c>
      <c r="F66" s="211">
        <f>+'Metas Comp. 3'!C38</f>
        <v>0</v>
      </c>
      <c r="G66" s="210">
        <f>+'Metas Comp. 3'!D38</f>
        <v>0</v>
      </c>
      <c r="H66" s="211">
        <f>+'Metas Comp. 3'!E38</f>
        <v>0</v>
      </c>
      <c r="I66" s="211">
        <f>+'Metas Comp. 3'!F38</f>
        <v>0</v>
      </c>
      <c r="J66" s="211">
        <f t="shared" si="47"/>
        <v>0</v>
      </c>
      <c r="K66" s="210">
        <f t="shared" si="48"/>
        <v>0</v>
      </c>
      <c r="L66" s="211">
        <f>+'Componente 3'!M42</f>
        <v>0</v>
      </c>
      <c r="M66" s="211">
        <f t="shared" si="49"/>
        <v>0</v>
      </c>
      <c r="N66" s="210">
        <f t="shared" si="26"/>
        <v>0</v>
      </c>
      <c r="O66" s="211">
        <f>+'Componente 3'!N42</f>
        <v>0</v>
      </c>
      <c r="P66" s="211">
        <f t="shared" si="50"/>
        <v>82000</v>
      </c>
      <c r="Q66" s="210">
        <f t="shared" si="51"/>
        <v>18000</v>
      </c>
      <c r="R66" s="211">
        <f>+'Componente 3'!O42</f>
        <v>100000</v>
      </c>
      <c r="S66" s="211">
        <f t="shared" si="52"/>
        <v>82000</v>
      </c>
      <c r="T66" s="210">
        <f t="shared" si="53"/>
        <v>18000</v>
      </c>
      <c r="U66" s="211">
        <f>+'Componente 3'!P42</f>
        <v>100000</v>
      </c>
      <c r="V66" s="211">
        <f t="shared" si="54"/>
        <v>0</v>
      </c>
      <c r="W66" s="210">
        <f t="shared" si="55"/>
        <v>0</v>
      </c>
      <c r="X66" s="211">
        <f>+'Componente 3'!Q42</f>
        <v>0</v>
      </c>
      <c r="Y66" s="211">
        <f t="shared" si="56"/>
        <v>164000</v>
      </c>
      <c r="Z66" s="210">
        <f t="shared" si="57"/>
        <v>36000</v>
      </c>
      <c r="AA66" s="210">
        <f t="shared" si="58"/>
        <v>200000</v>
      </c>
    </row>
    <row r="67" spans="1:27">
      <c r="A67" s="213">
        <v>27</v>
      </c>
      <c r="B67" s="94" t="s">
        <v>160</v>
      </c>
      <c r="C67" s="141"/>
      <c r="D67" s="141"/>
      <c r="E67" s="115">
        <f>+'Metas Comp. 3'!B39</f>
        <v>0</v>
      </c>
      <c r="F67" s="141">
        <f>+'Metas Comp. 3'!C39</f>
        <v>0</v>
      </c>
      <c r="G67" s="141">
        <f>+'Metas Comp. 3'!D39</f>
        <v>1</v>
      </c>
      <c r="H67" s="115">
        <f>+'Metas Comp. 3'!E39</f>
        <v>0</v>
      </c>
      <c r="I67" s="141">
        <f>+'Metas Comp. 3'!F39</f>
        <v>0</v>
      </c>
      <c r="J67" s="141">
        <f t="shared" si="47"/>
        <v>0</v>
      </c>
      <c r="K67" s="141">
        <f t="shared" si="48"/>
        <v>0</v>
      </c>
      <c r="L67" s="115">
        <f>+'Componente 3'!M43</f>
        <v>0</v>
      </c>
      <c r="M67" s="141">
        <f t="shared" si="49"/>
        <v>0</v>
      </c>
      <c r="N67" s="141">
        <f t="shared" si="26"/>
        <v>0</v>
      </c>
      <c r="O67" s="115">
        <f>+'Componente 3'!N43</f>
        <v>0</v>
      </c>
      <c r="P67" s="141">
        <f t="shared" si="50"/>
        <v>82000</v>
      </c>
      <c r="Q67" s="141">
        <f t="shared" si="51"/>
        <v>18000</v>
      </c>
      <c r="R67" s="115">
        <f>+'Componente 3'!O43</f>
        <v>100000</v>
      </c>
      <c r="S67" s="141">
        <f t="shared" si="52"/>
        <v>0</v>
      </c>
      <c r="T67" s="141">
        <f t="shared" si="53"/>
        <v>0</v>
      </c>
      <c r="U67" s="115">
        <f>+'Componente 3'!P43</f>
        <v>0</v>
      </c>
      <c r="V67" s="141">
        <f t="shared" si="54"/>
        <v>0</v>
      </c>
      <c r="W67" s="141">
        <f t="shared" si="55"/>
        <v>0</v>
      </c>
      <c r="X67" s="115">
        <f>+'Componente 3'!Q43</f>
        <v>0</v>
      </c>
      <c r="Y67" s="141">
        <f t="shared" si="56"/>
        <v>82000</v>
      </c>
      <c r="Z67" s="141">
        <f t="shared" si="57"/>
        <v>18000</v>
      </c>
      <c r="AA67" s="115">
        <f t="shared" si="58"/>
        <v>100000</v>
      </c>
    </row>
    <row r="68" spans="1:27" ht="27.6">
      <c r="A68" s="213">
        <v>27</v>
      </c>
      <c r="B68" s="94" t="s">
        <v>161</v>
      </c>
      <c r="C68" s="141"/>
      <c r="D68" s="141"/>
      <c r="E68" s="115">
        <f>+'Metas Comp. 3'!B40</f>
        <v>0</v>
      </c>
      <c r="F68" s="141">
        <f>+'Metas Comp. 3'!C40</f>
        <v>0</v>
      </c>
      <c r="G68" s="141">
        <f>+'Metas Comp. 3'!D40</f>
        <v>0</v>
      </c>
      <c r="H68" s="115">
        <f>+'Metas Comp. 3'!E40</f>
        <v>1</v>
      </c>
      <c r="I68" s="141">
        <f>+'Metas Comp. 3'!F40</f>
        <v>0</v>
      </c>
      <c r="J68" s="141">
        <f t="shared" si="47"/>
        <v>0</v>
      </c>
      <c r="K68" s="141">
        <f t="shared" si="48"/>
        <v>0</v>
      </c>
      <c r="L68" s="115">
        <f>+'Componente 3'!M44</f>
        <v>0</v>
      </c>
      <c r="M68" s="141">
        <f t="shared" si="49"/>
        <v>0</v>
      </c>
      <c r="N68" s="141">
        <f t="shared" si="26"/>
        <v>0</v>
      </c>
      <c r="O68" s="115">
        <f>+'Componente 3'!N44</f>
        <v>0</v>
      </c>
      <c r="P68" s="141">
        <f t="shared" si="50"/>
        <v>0</v>
      </c>
      <c r="Q68" s="141">
        <f t="shared" si="51"/>
        <v>0</v>
      </c>
      <c r="R68" s="115">
        <f>+'Componente 3'!O44</f>
        <v>0</v>
      </c>
      <c r="S68" s="141">
        <f t="shared" si="52"/>
        <v>41000</v>
      </c>
      <c r="T68" s="141">
        <f t="shared" si="53"/>
        <v>9000</v>
      </c>
      <c r="U68" s="115">
        <f>+'Componente 3'!P44</f>
        <v>50000</v>
      </c>
      <c r="V68" s="141">
        <f t="shared" si="54"/>
        <v>0</v>
      </c>
      <c r="W68" s="141">
        <f t="shared" si="55"/>
        <v>0</v>
      </c>
      <c r="X68" s="115">
        <f>+'Componente 3'!Q44</f>
        <v>0</v>
      </c>
      <c r="Y68" s="141">
        <f t="shared" si="56"/>
        <v>41000</v>
      </c>
      <c r="Z68" s="141">
        <f t="shared" si="57"/>
        <v>9000</v>
      </c>
      <c r="AA68" s="115">
        <f t="shared" si="58"/>
        <v>50000</v>
      </c>
    </row>
    <row r="69" spans="1:27" ht="27.6">
      <c r="A69" s="213">
        <v>27</v>
      </c>
      <c r="B69" s="94" t="s">
        <v>162</v>
      </c>
      <c r="C69" s="141"/>
      <c r="D69" s="141"/>
      <c r="E69" s="115">
        <f>+'Metas Comp. 3'!B41</f>
        <v>0</v>
      </c>
      <c r="F69" s="141">
        <f>+'Metas Comp. 3'!C41</f>
        <v>0</v>
      </c>
      <c r="G69" s="141">
        <f>+'Metas Comp. 3'!D41</f>
        <v>0</v>
      </c>
      <c r="H69" s="115">
        <f>+'Metas Comp. 3'!E41</f>
        <v>1</v>
      </c>
      <c r="I69" s="141">
        <f>+'Metas Comp. 3'!F41</f>
        <v>0</v>
      </c>
      <c r="J69" s="141">
        <f t="shared" si="47"/>
        <v>0</v>
      </c>
      <c r="K69" s="141">
        <f t="shared" si="48"/>
        <v>0</v>
      </c>
      <c r="L69" s="115">
        <f>+'Componente 3'!M45</f>
        <v>0</v>
      </c>
      <c r="M69" s="141">
        <f t="shared" si="49"/>
        <v>0</v>
      </c>
      <c r="N69" s="141">
        <f t="shared" si="26"/>
        <v>0</v>
      </c>
      <c r="O69" s="115">
        <f>+'Componente 3'!N45</f>
        <v>0</v>
      </c>
      <c r="P69" s="141">
        <f t="shared" si="50"/>
        <v>0</v>
      </c>
      <c r="Q69" s="141">
        <f t="shared" si="51"/>
        <v>0</v>
      </c>
      <c r="R69" s="115">
        <f>+'Componente 3'!O45</f>
        <v>0</v>
      </c>
      <c r="S69" s="141">
        <f t="shared" si="52"/>
        <v>41000</v>
      </c>
      <c r="T69" s="141">
        <f t="shared" si="53"/>
        <v>9000</v>
      </c>
      <c r="U69" s="115">
        <f>+'Componente 3'!P45</f>
        <v>50000</v>
      </c>
      <c r="V69" s="141">
        <f t="shared" si="54"/>
        <v>0</v>
      </c>
      <c r="W69" s="141">
        <f t="shared" si="55"/>
        <v>0</v>
      </c>
      <c r="X69" s="115">
        <f>+'Componente 3'!Q45</f>
        <v>0</v>
      </c>
      <c r="Y69" s="141">
        <f t="shared" si="56"/>
        <v>41000</v>
      </c>
      <c r="Z69" s="141">
        <f t="shared" si="57"/>
        <v>9000</v>
      </c>
      <c r="AA69" s="115">
        <f t="shared" si="58"/>
        <v>50000</v>
      </c>
    </row>
    <row r="70" spans="1:27" ht="27.6">
      <c r="A70" s="99"/>
      <c r="B70" s="99" t="s">
        <v>163</v>
      </c>
      <c r="C70" s="211"/>
      <c r="D70" s="210"/>
      <c r="E70" s="211">
        <f>+'Metas Comp. 3'!B42</f>
        <v>0</v>
      </c>
      <c r="F70" s="211">
        <f>+'Metas Comp. 3'!C42</f>
        <v>0</v>
      </c>
      <c r="G70" s="210">
        <f>+'Metas Comp. 3'!D42</f>
        <v>0</v>
      </c>
      <c r="H70" s="211">
        <f>+'Metas Comp. 3'!E42</f>
        <v>0</v>
      </c>
      <c r="I70" s="211">
        <f>+'Metas Comp. 3'!F42</f>
        <v>0</v>
      </c>
      <c r="J70" s="211">
        <f t="shared" si="47"/>
        <v>0</v>
      </c>
      <c r="K70" s="210">
        <f t="shared" si="48"/>
        <v>0</v>
      </c>
      <c r="L70" s="211">
        <f>+'Componente 3'!M46</f>
        <v>0</v>
      </c>
      <c r="M70" s="211">
        <f t="shared" si="49"/>
        <v>0</v>
      </c>
      <c r="N70" s="210">
        <f t="shared" si="26"/>
        <v>0</v>
      </c>
      <c r="O70" s="211">
        <f>+'Componente 3'!N46</f>
        <v>0</v>
      </c>
      <c r="P70" s="211">
        <f t="shared" si="50"/>
        <v>0</v>
      </c>
      <c r="Q70" s="210">
        <f t="shared" si="51"/>
        <v>0</v>
      </c>
      <c r="R70" s="211">
        <f>+'Componente 3'!O46</f>
        <v>0</v>
      </c>
      <c r="S70" s="211">
        <f t="shared" si="52"/>
        <v>122999.99999999999</v>
      </c>
      <c r="T70" s="210">
        <f t="shared" si="53"/>
        <v>27000</v>
      </c>
      <c r="U70" s="211">
        <f>+'Componente 3'!P46</f>
        <v>150000</v>
      </c>
      <c r="V70" s="211">
        <f t="shared" si="54"/>
        <v>245999.99999999997</v>
      </c>
      <c r="W70" s="210">
        <f t="shared" si="55"/>
        <v>54000</v>
      </c>
      <c r="X70" s="211">
        <f>+'Componente 3'!Q46</f>
        <v>300000</v>
      </c>
      <c r="Y70" s="211">
        <f t="shared" si="56"/>
        <v>368999.99999999994</v>
      </c>
      <c r="Z70" s="210">
        <f t="shared" si="57"/>
        <v>81000</v>
      </c>
      <c r="AA70" s="210">
        <f t="shared" si="58"/>
        <v>450000</v>
      </c>
    </row>
    <row r="71" spans="1:27" ht="27.6">
      <c r="A71" s="213">
        <v>27</v>
      </c>
      <c r="B71" s="94" t="s">
        <v>164</v>
      </c>
      <c r="C71" s="141"/>
      <c r="D71" s="141"/>
      <c r="E71" s="115">
        <f>+'Metas Comp. 3'!B43</f>
        <v>0</v>
      </c>
      <c r="F71" s="141">
        <f>+'Metas Comp. 3'!C43</f>
        <v>0</v>
      </c>
      <c r="G71" s="141">
        <f>+'Metas Comp. 3'!D43</f>
        <v>0</v>
      </c>
      <c r="H71" s="115">
        <f>+'Metas Comp. 3'!E43</f>
        <v>1</v>
      </c>
      <c r="I71" s="141">
        <f>+'Metas Comp. 3'!F43</f>
        <v>0</v>
      </c>
      <c r="J71" s="141">
        <f t="shared" si="47"/>
        <v>0</v>
      </c>
      <c r="K71" s="141">
        <f t="shared" si="48"/>
        <v>0</v>
      </c>
      <c r="L71" s="115">
        <f>+'Componente 3'!M47</f>
        <v>0</v>
      </c>
      <c r="M71" s="141">
        <f t="shared" si="49"/>
        <v>0</v>
      </c>
      <c r="N71" s="141">
        <f t="shared" si="26"/>
        <v>0</v>
      </c>
      <c r="O71" s="115">
        <f>+'Componente 3'!N47</f>
        <v>0</v>
      </c>
      <c r="P71" s="141">
        <f t="shared" si="50"/>
        <v>0</v>
      </c>
      <c r="Q71" s="141">
        <f t="shared" si="51"/>
        <v>0</v>
      </c>
      <c r="R71" s="115">
        <f>+'Componente 3'!O47</f>
        <v>0</v>
      </c>
      <c r="S71" s="141">
        <f t="shared" si="52"/>
        <v>122999.99999999999</v>
      </c>
      <c r="T71" s="141">
        <f t="shared" si="53"/>
        <v>27000</v>
      </c>
      <c r="U71" s="115">
        <f>+'Componente 3'!P47</f>
        <v>150000</v>
      </c>
      <c r="V71" s="141">
        <f t="shared" si="54"/>
        <v>0</v>
      </c>
      <c r="W71" s="141">
        <f t="shared" si="55"/>
        <v>0</v>
      </c>
      <c r="X71" s="115">
        <f>+'Componente 3'!Q47</f>
        <v>0</v>
      </c>
      <c r="Y71" s="141">
        <f t="shared" si="56"/>
        <v>122999.99999999999</v>
      </c>
      <c r="Z71" s="141">
        <f t="shared" si="57"/>
        <v>27000</v>
      </c>
      <c r="AA71" s="115">
        <f t="shared" si="58"/>
        <v>150000</v>
      </c>
    </row>
    <row r="72" spans="1:27" ht="27.6">
      <c r="A72" s="213">
        <v>27</v>
      </c>
      <c r="B72" s="94" t="s">
        <v>165</v>
      </c>
      <c r="C72" s="141"/>
      <c r="D72" s="141"/>
      <c r="E72" s="115">
        <f>+'Metas Comp. 3'!B44</f>
        <v>0</v>
      </c>
      <c r="F72" s="141">
        <f>+'Metas Comp. 3'!C44</f>
        <v>0</v>
      </c>
      <c r="G72" s="141">
        <f>+'Metas Comp. 3'!D44</f>
        <v>0</v>
      </c>
      <c r="H72" s="115">
        <f>+'Metas Comp. 3'!E44</f>
        <v>0</v>
      </c>
      <c r="I72" s="141">
        <f>+'Metas Comp. 3'!F44</f>
        <v>1</v>
      </c>
      <c r="J72" s="141">
        <f t="shared" si="47"/>
        <v>0</v>
      </c>
      <c r="K72" s="141">
        <f t="shared" si="48"/>
        <v>0</v>
      </c>
      <c r="L72" s="115">
        <f>+'Componente 3'!M48</f>
        <v>0</v>
      </c>
      <c r="M72" s="141">
        <f t="shared" si="49"/>
        <v>0</v>
      </c>
      <c r="N72" s="141">
        <f t="shared" si="26"/>
        <v>0</v>
      </c>
      <c r="O72" s="115">
        <f>+'Componente 3'!N48</f>
        <v>0</v>
      </c>
      <c r="P72" s="141">
        <f t="shared" si="50"/>
        <v>0</v>
      </c>
      <c r="Q72" s="141">
        <f t="shared" si="51"/>
        <v>0</v>
      </c>
      <c r="R72" s="115">
        <f>+'Componente 3'!O48</f>
        <v>0</v>
      </c>
      <c r="S72" s="141">
        <f t="shared" si="52"/>
        <v>0</v>
      </c>
      <c r="T72" s="141">
        <f t="shared" si="53"/>
        <v>0</v>
      </c>
      <c r="U72" s="115">
        <f>+'Componente 3'!P48</f>
        <v>0</v>
      </c>
      <c r="V72" s="141">
        <f t="shared" si="54"/>
        <v>245999.99999999997</v>
      </c>
      <c r="W72" s="141">
        <f t="shared" si="55"/>
        <v>54000</v>
      </c>
      <c r="X72" s="115">
        <f>+'Componente 3'!Q48</f>
        <v>300000</v>
      </c>
      <c r="Y72" s="141">
        <f t="shared" si="56"/>
        <v>245999.99999999997</v>
      </c>
      <c r="Z72" s="141">
        <f t="shared" si="57"/>
        <v>54000</v>
      </c>
      <c r="AA72" s="115">
        <f t="shared" si="58"/>
        <v>300000</v>
      </c>
    </row>
    <row r="73" spans="1:27">
      <c r="A73" s="99"/>
      <c r="B73" s="99" t="s">
        <v>166</v>
      </c>
      <c r="C73" s="211"/>
      <c r="D73" s="210"/>
      <c r="E73" s="211">
        <f>+'Metas Comp. 3'!B45</f>
        <v>0</v>
      </c>
      <c r="F73" s="211">
        <f>+'Metas Comp. 3'!C45</f>
        <v>0</v>
      </c>
      <c r="G73" s="210">
        <f>+'Metas Comp. 3'!D45</f>
        <v>0</v>
      </c>
      <c r="H73" s="211">
        <f>+'Metas Comp. 3'!E45</f>
        <v>0</v>
      </c>
      <c r="I73" s="211">
        <f>+'Metas Comp. 3'!F45</f>
        <v>0</v>
      </c>
      <c r="J73" s="211">
        <f t="shared" si="47"/>
        <v>0</v>
      </c>
      <c r="K73" s="210">
        <f t="shared" si="48"/>
        <v>0</v>
      </c>
      <c r="L73" s="211">
        <f>+'Componente 3'!M49</f>
        <v>0</v>
      </c>
      <c r="M73" s="211">
        <f t="shared" si="49"/>
        <v>0</v>
      </c>
      <c r="N73" s="210">
        <f t="shared" si="26"/>
        <v>0</v>
      </c>
      <c r="O73" s="211">
        <f>+'Componente 3'!N49</f>
        <v>0</v>
      </c>
      <c r="P73" s="211">
        <f t="shared" si="50"/>
        <v>0</v>
      </c>
      <c r="Q73" s="210">
        <f t="shared" si="51"/>
        <v>0</v>
      </c>
      <c r="R73" s="211">
        <f>+'Componente 3'!O49</f>
        <v>0</v>
      </c>
      <c r="S73" s="211">
        <f t="shared" si="52"/>
        <v>1435000</v>
      </c>
      <c r="T73" s="210">
        <f t="shared" si="53"/>
        <v>315000</v>
      </c>
      <c r="U73" s="211">
        <f>+'Componente 3'!P49</f>
        <v>1750000</v>
      </c>
      <c r="V73" s="211">
        <f t="shared" si="54"/>
        <v>1024999.9999999999</v>
      </c>
      <c r="W73" s="210">
        <f t="shared" si="55"/>
        <v>225000</v>
      </c>
      <c r="X73" s="211">
        <f>+'Componente 3'!Q49</f>
        <v>1250000</v>
      </c>
      <c r="Y73" s="211">
        <f t="shared" si="56"/>
        <v>2460000</v>
      </c>
      <c r="Z73" s="210">
        <f t="shared" si="57"/>
        <v>540000</v>
      </c>
      <c r="AA73" s="210">
        <f t="shared" si="58"/>
        <v>3000000</v>
      </c>
    </row>
    <row r="74" spans="1:27" ht="27.6">
      <c r="A74" s="213">
        <v>27</v>
      </c>
      <c r="B74" s="94" t="s">
        <v>167</v>
      </c>
      <c r="C74" s="141"/>
      <c r="D74" s="141"/>
      <c r="E74" s="115">
        <f>+'Metas Comp. 3'!B46</f>
        <v>0</v>
      </c>
      <c r="F74" s="141">
        <f>+'Metas Comp. 3'!C46</f>
        <v>0</v>
      </c>
      <c r="G74" s="141">
        <f>+'Metas Comp. 3'!D46</f>
        <v>0</v>
      </c>
      <c r="H74" s="115">
        <f>+'Metas Comp. 3'!E46</f>
        <v>1</v>
      </c>
      <c r="I74" s="141">
        <f>+'Metas Comp. 3'!F46</f>
        <v>0</v>
      </c>
      <c r="J74" s="141">
        <f t="shared" si="47"/>
        <v>0</v>
      </c>
      <c r="K74" s="141">
        <f t="shared" si="48"/>
        <v>0</v>
      </c>
      <c r="L74" s="115">
        <f>+'Componente 3'!M50</f>
        <v>0</v>
      </c>
      <c r="M74" s="141">
        <f t="shared" si="49"/>
        <v>0</v>
      </c>
      <c r="N74" s="141">
        <f t="shared" si="26"/>
        <v>0</v>
      </c>
      <c r="O74" s="115">
        <f>+'Componente 3'!N50</f>
        <v>0</v>
      </c>
      <c r="P74" s="141">
        <f t="shared" si="50"/>
        <v>0</v>
      </c>
      <c r="Q74" s="141">
        <f t="shared" si="51"/>
        <v>0</v>
      </c>
      <c r="R74" s="115">
        <f>+'Componente 3'!O50</f>
        <v>0</v>
      </c>
      <c r="S74" s="141">
        <f t="shared" si="52"/>
        <v>410000</v>
      </c>
      <c r="T74" s="141">
        <f t="shared" si="53"/>
        <v>90000</v>
      </c>
      <c r="U74" s="115">
        <f>+'Componente 3'!P50</f>
        <v>500000</v>
      </c>
      <c r="V74" s="141">
        <f t="shared" si="54"/>
        <v>0</v>
      </c>
      <c r="W74" s="141">
        <f t="shared" si="55"/>
        <v>0</v>
      </c>
      <c r="X74" s="115">
        <f>+'Componente 3'!Q50</f>
        <v>0</v>
      </c>
      <c r="Y74" s="141">
        <f t="shared" si="56"/>
        <v>410000</v>
      </c>
      <c r="Z74" s="141">
        <f t="shared" si="57"/>
        <v>90000</v>
      </c>
      <c r="AA74" s="115">
        <f t="shared" si="58"/>
        <v>500000</v>
      </c>
    </row>
    <row r="75" spans="1:27" ht="28.15" thickBot="1">
      <c r="A75" s="213">
        <v>27</v>
      </c>
      <c r="B75" s="94" t="s">
        <v>168</v>
      </c>
      <c r="C75" s="141"/>
      <c r="D75" s="141"/>
      <c r="E75" s="115">
        <f>+'Metas Comp. 3'!B47</f>
        <v>0</v>
      </c>
      <c r="F75" s="141">
        <f>+'Metas Comp. 3'!C47</f>
        <v>0</v>
      </c>
      <c r="G75" s="141">
        <f>+'Metas Comp. 3'!D47</f>
        <v>0</v>
      </c>
      <c r="H75" s="115">
        <f>+'Metas Comp. 3'!E47</f>
        <v>10</v>
      </c>
      <c r="I75" s="141">
        <f>+'Metas Comp. 3'!F47</f>
        <v>10</v>
      </c>
      <c r="J75" s="141">
        <f t="shared" si="47"/>
        <v>0</v>
      </c>
      <c r="K75" s="141">
        <f t="shared" si="48"/>
        <v>0</v>
      </c>
      <c r="L75" s="115">
        <f>+'Componente 3'!M51</f>
        <v>0</v>
      </c>
      <c r="M75" s="141">
        <f t="shared" si="49"/>
        <v>0</v>
      </c>
      <c r="N75" s="141">
        <f t="shared" si="26"/>
        <v>0</v>
      </c>
      <c r="O75" s="115">
        <f>+'Componente 3'!N51</f>
        <v>0</v>
      </c>
      <c r="P75" s="141">
        <f t="shared" si="50"/>
        <v>0</v>
      </c>
      <c r="Q75" s="141">
        <f t="shared" si="51"/>
        <v>0</v>
      </c>
      <c r="R75" s="115">
        <f>+'Componente 3'!O51</f>
        <v>0</v>
      </c>
      <c r="S75" s="141">
        <f t="shared" si="52"/>
        <v>1024999.9999999999</v>
      </c>
      <c r="T75" s="141">
        <f t="shared" si="53"/>
        <v>225000</v>
      </c>
      <c r="U75" s="115">
        <f>+'Componente 3'!P51</f>
        <v>1250000</v>
      </c>
      <c r="V75" s="141">
        <f t="shared" si="54"/>
        <v>1024999.9999999999</v>
      </c>
      <c r="W75" s="141">
        <f t="shared" si="55"/>
        <v>225000</v>
      </c>
      <c r="X75" s="115">
        <f>+'Componente 3'!Q51</f>
        <v>1250000</v>
      </c>
      <c r="Y75" s="141">
        <f t="shared" si="56"/>
        <v>2049999.9999999998</v>
      </c>
      <c r="Z75" s="141">
        <f t="shared" si="57"/>
        <v>450000</v>
      </c>
      <c r="AA75" s="115">
        <f t="shared" si="58"/>
        <v>2500000</v>
      </c>
    </row>
    <row r="76" spans="1:27" ht="16.149999999999999" thickBot="1">
      <c r="A76" s="119"/>
      <c r="B76" s="119" t="s">
        <v>53</v>
      </c>
      <c r="C76" s="81"/>
      <c r="D76" s="120"/>
      <c r="E76" s="120"/>
      <c r="F76" s="120"/>
      <c r="G76" s="120"/>
      <c r="H76" s="120"/>
      <c r="I76" s="120"/>
      <c r="J76" s="146">
        <f>+J77+J100+J111</f>
        <v>0</v>
      </c>
      <c r="K76" s="146">
        <f t="shared" ref="K76:AA76" si="59">+K77+K100+K111</f>
        <v>1562298.5074626864</v>
      </c>
      <c r="L76" s="146">
        <f t="shared" si="59"/>
        <v>1562298.5074626864</v>
      </c>
      <c r="M76" s="146">
        <f t="shared" si="59"/>
        <v>0</v>
      </c>
      <c r="N76" s="146">
        <f t="shared" si="59"/>
        <v>1397014.9253731342</v>
      </c>
      <c r="O76" s="146">
        <f t="shared" si="59"/>
        <v>1397014.9253731342</v>
      </c>
      <c r="P76" s="146">
        <f t="shared" si="59"/>
        <v>0</v>
      </c>
      <c r="Q76" s="146">
        <f t="shared" si="59"/>
        <v>1397014.9253731342</v>
      </c>
      <c r="R76" s="146">
        <f t="shared" si="59"/>
        <v>1397014.9253731342</v>
      </c>
      <c r="S76" s="146">
        <f t="shared" si="59"/>
        <v>0</v>
      </c>
      <c r="T76" s="146">
        <f t="shared" si="59"/>
        <v>1397014.9253731342</v>
      </c>
      <c r="U76" s="146">
        <f t="shared" si="59"/>
        <v>1397014.9253731342</v>
      </c>
      <c r="V76" s="146">
        <f t="shared" si="59"/>
        <v>0</v>
      </c>
      <c r="W76" s="146">
        <f t="shared" si="59"/>
        <v>1397014.9253731342</v>
      </c>
      <c r="X76" s="146">
        <f t="shared" si="59"/>
        <v>1397014.9253731342</v>
      </c>
      <c r="Y76" s="146">
        <f>+Y77+Y100+Y111</f>
        <v>0</v>
      </c>
      <c r="Z76" s="147">
        <f t="shared" si="59"/>
        <v>7150358.2089552246</v>
      </c>
      <c r="AA76" s="148">
        <f t="shared" si="59"/>
        <v>7150358.2089552246</v>
      </c>
    </row>
    <row r="77" spans="1:27">
      <c r="A77" s="126"/>
      <c r="B77" s="126" t="s">
        <v>54</v>
      </c>
      <c r="C77" s="122"/>
      <c r="D77" s="122"/>
      <c r="E77" s="122"/>
      <c r="F77" s="122"/>
      <c r="G77" s="122"/>
      <c r="H77" s="122"/>
      <c r="I77" s="122"/>
      <c r="J77" s="122">
        <f>+J78+J83+J91</f>
        <v>0</v>
      </c>
      <c r="K77" s="122">
        <f t="shared" ref="K77:AA77" si="60">+K78+K83+K91</f>
        <v>1228656.7164179103</v>
      </c>
      <c r="L77" s="122">
        <f t="shared" si="60"/>
        <v>1228656.7164179103</v>
      </c>
      <c r="M77" s="122">
        <f t="shared" si="60"/>
        <v>0</v>
      </c>
      <c r="N77" s="122">
        <f t="shared" si="60"/>
        <v>1228656.7164179103</v>
      </c>
      <c r="O77" s="122">
        <f t="shared" si="60"/>
        <v>1228656.7164179103</v>
      </c>
      <c r="P77" s="122">
        <f t="shared" si="60"/>
        <v>0</v>
      </c>
      <c r="Q77" s="122">
        <f t="shared" si="60"/>
        <v>1228656.7164179103</v>
      </c>
      <c r="R77" s="122">
        <f t="shared" si="60"/>
        <v>1228656.7164179103</v>
      </c>
      <c r="S77" s="122">
        <f t="shared" si="60"/>
        <v>0</v>
      </c>
      <c r="T77" s="122">
        <f t="shared" si="60"/>
        <v>1228656.7164179103</v>
      </c>
      <c r="U77" s="122">
        <f t="shared" si="60"/>
        <v>1228656.7164179103</v>
      </c>
      <c r="V77" s="122">
        <f t="shared" si="60"/>
        <v>0</v>
      </c>
      <c r="W77" s="122">
        <f t="shared" si="60"/>
        <v>1228656.7164179103</v>
      </c>
      <c r="X77" s="122">
        <f t="shared" si="60"/>
        <v>1228656.7164179103</v>
      </c>
      <c r="Y77" s="122">
        <f t="shared" si="60"/>
        <v>0</v>
      </c>
      <c r="Z77" s="122">
        <f t="shared" si="60"/>
        <v>6143283.5820895527</v>
      </c>
      <c r="AA77" s="145">
        <f t="shared" si="60"/>
        <v>6143283.5820895527</v>
      </c>
    </row>
    <row r="78" spans="1:27">
      <c r="A78" s="76"/>
      <c r="B78" s="76" t="s">
        <v>55</v>
      </c>
      <c r="C78" s="138"/>
      <c r="D78" s="139"/>
      <c r="E78" s="138"/>
      <c r="F78" s="138"/>
      <c r="G78" s="138"/>
      <c r="H78" s="138"/>
      <c r="I78" s="138"/>
      <c r="J78" s="139">
        <f>+SUM(J79:J82)</f>
        <v>0</v>
      </c>
      <c r="K78" s="139">
        <f t="shared" ref="K78:AA78" si="61">+SUM(K79:K82)</f>
        <v>168358.20895522388</v>
      </c>
      <c r="L78" s="139">
        <f t="shared" si="61"/>
        <v>168358.20895522388</v>
      </c>
      <c r="M78" s="139">
        <f t="shared" si="61"/>
        <v>0</v>
      </c>
      <c r="N78" s="139">
        <f t="shared" si="61"/>
        <v>168358.20895522388</v>
      </c>
      <c r="O78" s="139">
        <f t="shared" si="61"/>
        <v>168358.20895522388</v>
      </c>
      <c r="P78" s="139">
        <f t="shared" si="61"/>
        <v>0</v>
      </c>
      <c r="Q78" s="139">
        <f t="shared" si="61"/>
        <v>168358.20895522388</v>
      </c>
      <c r="R78" s="139">
        <f t="shared" si="61"/>
        <v>168358.20895522388</v>
      </c>
      <c r="S78" s="139">
        <f t="shared" si="61"/>
        <v>0</v>
      </c>
      <c r="T78" s="139">
        <f t="shared" si="61"/>
        <v>168358.20895522388</v>
      </c>
      <c r="U78" s="139">
        <f t="shared" si="61"/>
        <v>168358.20895522388</v>
      </c>
      <c r="V78" s="139">
        <f t="shared" si="61"/>
        <v>0</v>
      </c>
      <c r="W78" s="139">
        <f t="shared" si="61"/>
        <v>168358.20895522388</v>
      </c>
      <c r="X78" s="139">
        <f t="shared" si="61"/>
        <v>168358.20895522388</v>
      </c>
      <c r="Y78" s="139">
        <f t="shared" si="61"/>
        <v>0</v>
      </c>
      <c r="Z78" s="139">
        <f t="shared" si="61"/>
        <v>841791.04477611941</v>
      </c>
      <c r="AA78" s="139">
        <f t="shared" si="61"/>
        <v>841791.04477611941</v>
      </c>
    </row>
    <row r="79" spans="1:27">
      <c r="A79" s="77"/>
      <c r="B79" s="77" t="s">
        <v>56</v>
      </c>
      <c r="C79" s="117">
        <f>+Administración!B9</f>
        <v>1</v>
      </c>
      <c r="D79" s="69">
        <f>+Administración!C9</f>
        <v>22000</v>
      </c>
      <c r="E79" s="117"/>
      <c r="F79" s="117"/>
      <c r="G79" s="117"/>
      <c r="H79" s="117"/>
      <c r="I79" s="117"/>
      <c r="J79" s="137">
        <f t="shared" ref="J79:J99" si="62">0%*L79</f>
        <v>0</v>
      </c>
      <c r="K79" s="137">
        <f t="shared" ref="K79:K99" si="63">100%*L79</f>
        <v>39402.985074626864</v>
      </c>
      <c r="L79" s="69">
        <f>+Administración!K9</f>
        <v>39402.985074626864</v>
      </c>
      <c r="M79" s="137">
        <f t="shared" ref="M79:M99" si="64">0%*O79</f>
        <v>0</v>
      </c>
      <c r="N79" s="137">
        <f t="shared" ref="N79:N99" si="65">100%*O79</f>
        <v>39402.985074626864</v>
      </c>
      <c r="O79" s="69">
        <f>+Administración!L9</f>
        <v>39402.985074626864</v>
      </c>
      <c r="P79" s="137">
        <f t="shared" ref="P79:P99" si="66">0%*R79</f>
        <v>0</v>
      </c>
      <c r="Q79" s="137">
        <f t="shared" ref="Q79:Q99" si="67">100%*R79</f>
        <v>39402.985074626864</v>
      </c>
      <c r="R79" s="69">
        <f>+Administración!M9</f>
        <v>39402.985074626864</v>
      </c>
      <c r="S79" s="137">
        <f t="shared" ref="S79:S99" si="68">0%*U79</f>
        <v>0</v>
      </c>
      <c r="T79" s="137">
        <f t="shared" ref="T79:T99" si="69">100%*U79</f>
        <v>39402.985074626864</v>
      </c>
      <c r="U79" s="69">
        <f>+Administración!N9</f>
        <v>39402.985074626864</v>
      </c>
      <c r="V79" s="137">
        <f t="shared" ref="V79:V99" si="70">0%*X79</f>
        <v>0</v>
      </c>
      <c r="W79" s="137">
        <f t="shared" ref="W79:W99" si="71">100%*X79</f>
        <v>39402.985074626864</v>
      </c>
      <c r="X79" s="69">
        <f>+Administración!O9</f>
        <v>39402.985074626864</v>
      </c>
      <c r="Y79" s="137">
        <f t="shared" ref="Y79:Y99" si="72">0%*AA79</f>
        <v>0</v>
      </c>
      <c r="Z79" s="137">
        <f t="shared" ref="Z79:Z99" si="73">100%*AA79</f>
        <v>197014.92537313432</v>
      </c>
      <c r="AA79" s="69">
        <f>+Administración!P9</f>
        <v>197014.92537313432</v>
      </c>
    </row>
    <row r="80" spans="1:27">
      <c r="A80" s="78"/>
      <c r="B80" s="78" t="s">
        <v>57</v>
      </c>
      <c r="C80" s="67">
        <f>+Administración!B10</f>
        <v>1</v>
      </c>
      <c r="D80" s="69">
        <f>+Administración!C10</f>
        <v>18000</v>
      </c>
      <c r="E80" s="117"/>
      <c r="F80" s="117"/>
      <c r="G80" s="117"/>
      <c r="H80" s="117"/>
      <c r="I80" s="117"/>
      <c r="J80" s="137">
        <f t="shared" si="62"/>
        <v>0</v>
      </c>
      <c r="K80" s="137">
        <f t="shared" si="63"/>
        <v>64477.611940298506</v>
      </c>
      <c r="L80" s="69">
        <f>+Administración!K10</f>
        <v>64477.611940298506</v>
      </c>
      <c r="M80" s="137">
        <f t="shared" si="64"/>
        <v>0</v>
      </c>
      <c r="N80" s="137">
        <f t="shared" si="65"/>
        <v>64477.611940298506</v>
      </c>
      <c r="O80" s="69">
        <f>+Administración!L10</f>
        <v>64477.611940298506</v>
      </c>
      <c r="P80" s="137">
        <f t="shared" si="66"/>
        <v>0</v>
      </c>
      <c r="Q80" s="137">
        <f t="shared" si="67"/>
        <v>64477.611940298506</v>
      </c>
      <c r="R80" s="69">
        <f>+Administración!M10</f>
        <v>64477.611940298506</v>
      </c>
      <c r="S80" s="137">
        <f t="shared" si="68"/>
        <v>0</v>
      </c>
      <c r="T80" s="137">
        <f t="shared" si="69"/>
        <v>64477.611940298506</v>
      </c>
      <c r="U80" s="69">
        <f>+Administración!N10</f>
        <v>64477.611940298506</v>
      </c>
      <c r="V80" s="137">
        <f t="shared" si="70"/>
        <v>0</v>
      </c>
      <c r="W80" s="137">
        <f t="shared" si="71"/>
        <v>64477.611940298506</v>
      </c>
      <c r="X80" s="69">
        <f>+Administración!O10</f>
        <v>64477.611940298506</v>
      </c>
      <c r="Y80" s="137">
        <f t="shared" si="72"/>
        <v>0</v>
      </c>
      <c r="Z80" s="137">
        <f t="shared" si="73"/>
        <v>322388.05970149254</v>
      </c>
      <c r="AA80" s="69">
        <f>+Administración!P10</f>
        <v>322388.05970149254</v>
      </c>
    </row>
    <row r="81" spans="1:27">
      <c r="A81" s="78"/>
      <c r="B81" s="78" t="s">
        <v>58</v>
      </c>
      <c r="C81" s="67">
        <f>+Administración!B11</f>
        <v>1</v>
      </c>
      <c r="D81" s="69">
        <f>+Administración!C11</f>
        <v>14000</v>
      </c>
      <c r="E81" s="117"/>
      <c r="F81" s="117"/>
      <c r="G81" s="117"/>
      <c r="H81" s="117"/>
      <c r="I81" s="117"/>
      <c r="J81" s="137">
        <f t="shared" si="62"/>
        <v>0</v>
      </c>
      <c r="K81" s="137">
        <f t="shared" si="63"/>
        <v>50149.253731343284</v>
      </c>
      <c r="L81" s="69">
        <f>+Administración!K11</f>
        <v>50149.253731343284</v>
      </c>
      <c r="M81" s="137">
        <f t="shared" si="64"/>
        <v>0</v>
      </c>
      <c r="N81" s="137">
        <f t="shared" si="65"/>
        <v>50149.253731343284</v>
      </c>
      <c r="O81" s="69">
        <f>+Administración!L11</f>
        <v>50149.253731343284</v>
      </c>
      <c r="P81" s="137">
        <f t="shared" si="66"/>
        <v>0</v>
      </c>
      <c r="Q81" s="137">
        <f t="shared" si="67"/>
        <v>50149.253731343284</v>
      </c>
      <c r="R81" s="69">
        <f>+Administración!M11</f>
        <v>50149.253731343284</v>
      </c>
      <c r="S81" s="137">
        <f t="shared" si="68"/>
        <v>0</v>
      </c>
      <c r="T81" s="137">
        <f t="shared" si="69"/>
        <v>50149.253731343284</v>
      </c>
      <c r="U81" s="69">
        <f>+Administración!N11</f>
        <v>50149.253731343284</v>
      </c>
      <c r="V81" s="137">
        <f t="shared" si="70"/>
        <v>0</v>
      </c>
      <c r="W81" s="137">
        <f t="shared" si="71"/>
        <v>50149.253731343284</v>
      </c>
      <c r="X81" s="69">
        <f>+Administración!O11</f>
        <v>50149.253731343284</v>
      </c>
      <c r="Y81" s="137">
        <f t="shared" si="72"/>
        <v>0</v>
      </c>
      <c r="Z81" s="137">
        <f>100%*AA81</f>
        <v>250746.26865671642</v>
      </c>
      <c r="AA81" s="69">
        <f>+Administración!P11</f>
        <v>250746.26865671642</v>
      </c>
    </row>
    <row r="82" spans="1:27">
      <c r="A82" s="78"/>
      <c r="B82" s="78" t="s">
        <v>59</v>
      </c>
      <c r="C82" s="67">
        <f>+Administración!B12</f>
        <v>1</v>
      </c>
      <c r="D82" s="69">
        <f>+Administración!C12</f>
        <v>4000</v>
      </c>
      <c r="E82" s="117"/>
      <c r="F82" s="117"/>
      <c r="G82" s="117"/>
      <c r="H82" s="117"/>
      <c r="I82" s="117"/>
      <c r="J82" s="137">
        <f t="shared" si="62"/>
        <v>0</v>
      </c>
      <c r="K82" s="137">
        <f t="shared" si="63"/>
        <v>14328.358208955224</v>
      </c>
      <c r="L82" s="69">
        <f>+Administración!K12</f>
        <v>14328.358208955224</v>
      </c>
      <c r="M82" s="137">
        <f t="shared" si="64"/>
        <v>0</v>
      </c>
      <c r="N82" s="137">
        <f t="shared" si="65"/>
        <v>14328.358208955224</v>
      </c>
      <c r="O82" s="69">
        <f>+Administración!L12</f>
        <v>14328.358208955224</v>
      </c>
      <c r="P82" s="137">
        <f t="shared" si="66"/>
        <v>0</v>
      </c>
      <c r="Q82" s="137">
        <f t="shared" si="67"/>
        <v>14328.358208955224</v>
      </c>
      <c r="R82" s="69">
        <f>+Administración!M12</f>
        <v>14328.358208955224</v>
      </c>
      <c r="S82" s="137">
        <f t="shared" si="68"/>
        <v>0</v>
      </c>
      <c r="T82" s="137">
        <f t="shared" si="69"/>
        <v>14328.358208955224</v>
      </c>
      <c r="U82" s="69">
        <f>+Administración!N12</f>
        <v>14328.358208955224</v>
      </c>
      <c r="V82" s="137">
        <f t="shared" si="70"/>
        <v>0</v>
      </c>
      <c r="W82" s="137">
        <f t="shared" si="71"/>
        <v>14328.358208955224</v>
      </c>
      <c r="X82" s="69">
        <f>+Administración!O12</f>
        <v>14328.358208955224</v>
      </c>
      <c r="Y82" s="137">
        <f t="shared" si="72"/>
        <v>0</v>
      </c>
      <c r="Z82" s="137">
        <f t="shared" si="73"/>
        <v>71641.791044776124</v>
      </c>
      <c r="AA82" s="69">
        <f>+Administración!P12</f>
        <v>71641.791044776124</v>
      </c>
    </row>
    <row r="83" spans="1:27">
      <c r="A83" s="76"/>
      <c r="B83" s="76" t="s">
        <v>60</v>
      </c>
      <c r="C83" s="140">
        <f>+Administración!B13</f>
        <v>0</v>
      </c>
      <c r="D83" s="139">
        <f>+Administración!C13</f>
        <v>0</v>
      </c>
      <c r="E83" s="138"/>
      <c r="F83" s="138"/>
      <c r="G83" s="138"/>
      <c r="H83" s="138"/>
      <c r="I83" s="138"/>
      <c r="J83" s="139">
        <f>+SUM(J84:J90)</f>
        <v>0</v>
      </c>
      <c r="K83" s="139">
        <f t="shared" ref="K83:AA83" si="74">+SUM(K84:K90)</f>
        <v>286567.16417910444</v>
      </c>
      <c r="L83" s="139">
        <f t="shared" si="74"/>
        <v>286567.16417910444</v>
      </c>
      <c r="M83" s="139">
        <f t="shared" si="74"/>
        <v>0</v>
      </c>
      <c r="N83" s="139">
        <f t="shared" si="74"/>
        <v>286567.16417910444</v>
      </c>
      <c r="O83" s="139">
        <f t="shared" si="74"/>
        <v>286567.16417910444</v>
      </c>
      <c r="P83" s="139">
        <f t="shared" si="74"/>
        <v>0</v>
      </c>
      <c r="Q83" s="139">
        <f t="shared" si="74"/>
        <v>286567.16417910444</v>
      </c>
      <c r="R83" s="139">
        <f t="shared" si="74"/>
        <v>286567.16417910444</v>
      </c>
      <c r="S83" s="139">
        <f t="shared" si="74"/>
        <v>0</v>
      </c>
      <c r="T83" s="139">
        <f t="shared" si="74"/>
        <v>286567.16417910444</v>
      </c>
      <c r="U83" s="139">
        <f t="shared" si="74"/>
        <v>286567.16417910444</v>
      </c>
      <c r="V83" s="139">
        <f t="shared" si="74"/>
        <v>0</v>
      </c>
      <c r="W83" s="139">
        <f t="shared" si="74"/>
        <v>286567.16417910444</v>
      </c>
      <c r="X83" s="139">
        <f t="shared" si="74"/>
        <v>286567.16417910444</v>
      </c>
      <c r="Y83" s="139">
        <f t="shared" si="74"/>
        <v>0</v>
      </c>
      <c r="Z83" s="139">
        <f t="shared" si="74"/>
        <v>1432835.8208955226</v>
      </c>
      <c r="AA83" s="139">
        <f t="shared" si="74"/>
        <v>1432835.8208955226</v>
      </c>
    </row>
    <row r="84" spans="1:27">
      <c r="A84" s="78"/>
      <c r="B84" s="78" t="s">
        <v>61</v>
      </c>
      <c r="C84" s="67">
        <f>+Administración!B14</f>
        <v>2</v>
      </c>
      <c r="D84" s="69">
        <f>+Administración!C14</f>
        <v>10000</v>
      </c>
      <c r="E84" s="117"/>
      <c r="F84" s="117"/>
      <c r="G84" s="117"/>
      <c r="H84" s="117"/>
      <c r="I84" s="117"/>
      <c r="J84" s="137">
        <f t="shared" si="62"/>
        <v>0</v>
      </c>
      <c r="K84" s="137">
        <f t="shared" si="63"/>
        <v>71641.791044776124</v>
      </c>
      <c r="L84" s="69">
        <f>+Administración!K14</f>
        <v>71641.791044776124</v>
      </c>
      <c r="M84" s="137">
        <f t="shared" si="64"/>
        <v>0</v>
      </c>
      <c r="N84" s="137">
        <f t="shared" si="65"/>
        <v>71641.791044776124</v>
      </c>
      <c r="O84" s="69">
        <f>+Administración!L14</f>
        <v>71641.791044776124</v>
      </c>
      <c r="P84" s="137">
        <f t="shared" si="66"/>
        <v>0</v>
      </c>
      <c r="Q84" s="137">
        <f t="shared" si="67"/>
        <v>71641.791044776124</v>
      </c>
      <c r="R84" s="69">
        <f>+Administración!M14</f>
        <v>71641.791044776124</v>
      </c>
      <c r="S84" s="137">
        <f t="shared" si="68"/>
        <v>0</v>
      </c>
      <c r="T84" s="137">
        <f t="shared" si="69"/>
        <v>71641.791044776124</v>
      </c>
      <c r="U84" s="69">
        <f>+Administración!N14</f>
        <v>71641.791044776124</v>
      </c>
      <c r="V84" s="137">
        <f t="shared" si="70"/>
        <v>0</v>
      </c>
      <c r="W84" s="137">
        <f t="shared" si="71"/>
        <v>71641.791044776124</v>
      </c>
      <c r="X84" s="69">
        <f>+Administración!O14</f>
        <v>71641.791044776124</v>
      </c>
      <c r="Y84" s="137">
        <f t="shared" si="72"/>
        <v>0</v>
      </c>
      <c r="Z84" s="137">
        <f t="shared" si="73"/>
        <v>358208.95522388059</v>
      </c>
      <c r="AA84" s="69">
        <f>+Administración!P14</f>
        <v>358208.95522388059</v>
      </c>
    </row>
    <row r="85" spans="1:27">
      <c r="A85" s="78"/>
      <c r="B85" s="78" t="s">
        <v>62</v>
      </c>
      <c r="C85" s="67">
        <f>+Administración!B15</f>
        <v>2</v>
      </c>
      <c r="D85" s="69">
        <f>+Administración!C15</f>
        <v>10000</v>
      </c>
      <c r="E85" s="117"/>
      <c r="F85" s="117"/>
      <c r="G85" s="117"/>
      <c r="H85" s="117"/>
      <c r="I85" s="117"/>
      <c r="J85" s="137">
        <f t="shared" si="62"/>
        <v>0</v>
      </c>
      <c r="K85" s="137">
        <f t="shared" si="63"/>
        <v>71641.791044776124</v>
      </c>
      <c r="L85" s="69">
        <f>+Administración!K15</f>
        <v>71641.791044776124</v>
      </c>
      <c r="M85" s="137">
        <f t="shared" si="64"/>
        <v>0</v>
      </c>
      <c r="N85" s="137">
        <f t="shared" si="65"/>
        <v>71641.791044776124</v>
      </c>
      <c r="O85" s="69">
        <f>+Administración!L15</f>
        <v>71641.791044776124</v>
      </c>
      <c r="P85" s="137">
        <f t="shared" si="66"/>
        <v>0</v>
      </c>
      <c r="Q85" s="137">
        <f t="shared" si="67"/>
        <v>71641.791044776124</v>
      </c>
      <c r="R85" s="69">
        <f>+Administración!M15</f>
        <v>71641.791044776124</v>
      </c>
      <c r="S85" s="137">
        <f t="shared" si="68"/>
        <v>0</v>
      </c>
      <c r="T85" s="137">
        <f t="shared" si="69"/>
        <v>71641.791044776124</v>
      </c>
      <c r="U85" s="69">
        <f>+Administración!N15</f>
        <v>71641.791044776124</v>
      </c>
      <c r="V85" s="137">
        <f t="shared" si="70"/>
        <v>0</v>
      </c>
      <c r="W85" s="137">
        <f t="shared" si="71"/>
        <v>71641.791044776124</v>
      </c>
      <c r="X85" s="69">
        <f>+Administración!O15</f>
        <v>71641.791044776124</v>
      </c>
      <c r="Y85" s="137">
        <f t="shared" si="72"/>
        <v>0</v>
      </c>
      <c r="Z85" s="137">
        <f t="shared" si="73"/>
        <v>358208.95522388059</v>
      </c>
      <c r="AA85" s="69">
        <f>+Administración!P15</f>
        <v>358208.95522388059</v>
      </c>
    </row>
    <row r="86" spans="1:27">
      <c r="A86" s="78"/>
      <c r="B86" s="78" t="s">
        <v>63</v>
      </c>
      <c r="C86" s="67">
        <f>+Administración!B16</f>
        <v>1</v>
      </c>
      <c r="D86" s="69">
        <f>+Administración!C16</f>
        <v>10000</v>
      </c>
      <c r="E86" s="117"/>
      <c r="F86" s="117"/>
      <c r="G86" s="117"/>
      <c r="H86" s="117"/>
      <c r="I86" s="117"/>
      <c r="J86" s="137">
        <f t="shared" si="62"/>
        <v>0</v>
      </c>
      <c r="K86" s="137">
        <f t="shared" si="63"/>
        <v>35820.895522388062</v>
      </c>
      <c r="L86" s="69">
        <f>+Administración!K16</f>
        <v>35820.895522388062</v>
      </c>
      <c r="M86" s="137">
        <f t="shared" si="64"/>
        <v>0</v>
      </c>
      <c r="N86" s="137">
        <f t="shared" si="65"/>
        <v>35820.895522388062</v>
      </c>
      <c r="O86" s="69">
        <f>+Administración!L16</f>
        <v>35820.895522388062</v>
      </c>
      <c r="P86" s="137">
        <f t="shared" si="66"/>
        <v>0</v>
      </c>
      <c r="Q86" s="137">
        <f t="shared" si="67"/>
        <v>35820.895522388062</v>
      </c>
      <c r="R86" s="69">
        <f>+Administración!M16</f>
        <v>35820.895522388062</v>
      </c>
      <c r="S86" s="137">
        <f t="shared" si="68"/>
        <v>0</v>
      </c>
      <c r="T86" s="137">
        <f t="shared" si="69"/>
        <v>35820.895522388062</v>
      </c>
      <c r="U86" s="69">
        <f>+Administración!N16</f>
        <v>35820.895522388062</v>
      </c>
      <c r="V86" s="137">
        <f t="shared" si="70"/>
        <v>0</v>
      </c>
      <c r="W86" s="137">
        <f t="shared" si="71"/>
        <v>35820.895522388062</v>
      </c>
      <c r="X86" s="69">
        <f>+Administración!O16</f>
        <v>35820.895522388062</v>
      </c>
      <c r="Y86" s="137">
        <f t="shared" si="72"/>
        <v>0</v>
      </c>
      <c r="Z86" s="137">
        <f t="shared" si="73"/>
        <v>179104.4776119403</v>
      </c>
      <c r="AA86" s="69">
        <f>+Administración!P16</f>
        <v>179104.4776119403</v>
      </c>
    </row>
    <row r="87" spans="1:27">
      <c r="A87" s="78"/>
      <c r="B87" s="78" t="s">
        <v>64</v>
      </c>
      <c r="C87" s="67">
        <f>+Administración!B17</f>
        <v>1</v>
      </c>
      <c r="D87" s="69">
        <f>+Administración!C17</f>
        <v>10000</v>
      </c>
      <c r="E87" s="117"/>
      <c r="F87" s="117"/>
      <c r="G87" s="117"/>
      <c r="H87" s="117"/>
      <c r="I87" s="117"/>
      <c r="J87" s="137">
        <f t="shared" si="62"/>
        <v>0</v>
      </c>
      <c r="K87" s="137">
        <f t="shared" si="63"/>
        <v>35820.895522388062</v>
      </c>
      <c r="L87" s="69">
        <f>+Administración!K17</f>
        <v>35820.895522388062</v>
      </c>
      <c r="M87" s="137">
        <f t="shared" si="64"/>
        <v>0</v>
      </c>
      <c r="N87" s="137">
        <f t="shared" si="65"/>
        <v>35820.895522388062</v>
      </c>
      <c r="O87" s="69">
        <f>+Administración!L17</f>
        <v>35820.895522388062</v>
      </c>
      <c r="P87" s="137">
        <f t="shared" si="66"/>
        <v>0</v>
      </c>
      <c r="Q87" s="137">
        <f t="shared" si="67"/>
        <v>35820.895522388062</v>
      </c>
      <c r="R87" s="69">
        <f>+Administración!M17</f>
        <v>35820.895522388062</v>
      </c>
      <c r="S87" s="137">
        <f t="shared" si="68"/>
        <v>0</v>
      </c>
      <c r="T87" s="137">
        <f t="shared" si="69"/>
        <v>35820.895522388062</v>
      </c>
      <c r="U87" s="69">
        <f>+Administración!N17</f>
        <v>35820.895522388062</v>
      </c>
      <c r="V87" s="137">
        <f t="shared" si="70"/>
        <v>0</v>
      </c>
      <c r="W87" s="137">
        <f t="shared" si="71"/>
        <v>35820.895522388062</v>
      </c>
      <c r="X87" s="69">
        <f>+Administración!O17</f>
        <v>35820.895522388062</v>
      </c>
      <c r="Y87" s="137">
        <f t="shared" si="72"/>
        <v>0</v>
      </c>
      <c r="Z87" s="137">
        <f t="shared" si="73"/>
        <v>179104.4776119403</v>
      </c>
      <c r="AA87" s="69">
        <f>+Administración!P17</f>
        <v>179104.4776119403</v>
      </c>
    </row>
    <row r="88" spans="1:27">
      <c r="A88" s="78"/>
      <c r="B88" s="78" t="s">
        <v>65</v>
      </c>
      <c r="C88" s="67">
        <f>+Administración!B18</f>
        <v>1</v>
      </c>
      <c r="D88" s="69">
        <f>+Administración!C18</f>
        <v>10000</v>
      </c>
      <c r="E88" s="117"/>
      <c r="F88" s="117"/>
      <c r="G88" s="117"/>
      <c r="H88" s="117"/>
      <c r="I88" s="117"/>
      <c r="J88" s="137">
        <f t="shared" si="62"/>
        <v>0</v>
      </c>
      <c r="K88" s="137">
        <f t="shared" si="63"/>
        <v>35820.895522388062</v>
      </c>
      <c r="L88" s="69">
        <f>+Administración!K18</f>
        <v>35820.895522388062</v>
      </c>
      <c r="M88" s="137">
        <f t="shared" si="64"/>
        <v>0</v>
      </c>
      <c r="N88" s="137">
        <f t="shared" si="65"/>
        <v>35820.895522388062</v>
      </c>
      <c r="O88" s="69">
        <f>+Administración!L18</f>
        <v>35820.895522388062</v>
      </c>
      <c r="P88" s="137">
        <f t="shared" si="66"/>
        <v>0</v>
      </c>
      <c r="Q88" s="137">
        <f t="shared" si="67"/>
        <v>35820.895522388062</v>
      </c>
      <c r="R88" s="69">
        <f>+Administración!M18</f>
        <v>35820.895522388062</v>
      </c>
      <c r="S88" s="137">
        <f t="shared" si="68"/>
        <v>0</v>
      </c>
      <c r="T88" s="137">
        <f t="shared" si="69"/>
        <v>35820.895522388062</v>
      </c>
      <c r="U88" s="69">
        <f>+Administración!N18</f>
        <v>35820.895522388062</v>
      </c>
      <c r="V88" s="137">
        <f t="shared" si="70"/>
        <v>0</v>
      </c>
      <c r="W88" s="137">
        <f t="shared" si="71"/>
        <v>35820.895522388062</v>
      </c>
      <c r="X88" s="69">
        <f>+Administración!O18</f>
        <v>35820.895522388062</v>
      </c>
      <c r="Y88" s="137">
        <f t="shared" si="72"/>
        <v>0</v>
      </c>
      <c r="Z88" s="137">
        <f t="shared" si="73"/>
        <v>179104.4776119403</v>
      </c>
      <c r="AA88" s="69">
        <f>+Administración!P18</f>
        <v>179104.4776119403</v>
      </c>
    </row>
    <row r="89" spans="1:27">
      <c r="A89" s="78"/>
      <c r="B89" s="78" t="s">
        <v>66</v>
      </c>
      <c r="C89" s="67">
        <f>+Administración!B19</f>
        <v>1</v>
      </c>
      <c r="D89" s="69">
        <f>+Administración!C19</f>
        <v>6000</v>
      </c>
      <c r="E89" s="117"/>
      <c r="F89" s="117"/>
      <c r="G89" s="117"/>
      <c r="H89" s="117"/>
      <c r="I89" s="117"/>
      <c r="J89" s="137">
        <f t="shared" si="62"/>
        <v>0</v>
      </c>
      <c r="K89" s="137">
        <f t="shared" si="63"/>
        <v>21492.537313432837</v>
      </c>
      <c r="L89" s="69">
        <f>+Administración!K19</f>
        <v>21492.537313432837</v>
      </c>
      <c r="M89" s="137">
        <f t="shared" si="64"/>
        <v>0</v>
      </c>
      <c r="N89" s="137">
        <f t="shared" si="65"/>
        <v>21492.537313432837</v>
      </c>
      <c r="O89" s="69">
        <f>+Administración!L19</f>
        <v>21492.537313432837</v>
      </c>
      <c r="P89" s="137">
        <f t="shared" si="66"/>
        <v>0</v>
      </c>
      <c r="Q89" s="137">
        <f t="shared" si="67"/>
        <v>21492.537313432837</v>
      </c>
      <c r="R89" s="69">
        <f>+Administración!M19</f>
        <v>21492.537313432837</v>
      </c>
      <c r="S89" s="137">
        <f t="shared" si="68"/>
        <v>0</v>
      </c>
      <c r="T89" s="137">
        <f t="shared" si="69"/>
        <v>21492.537313432837</v>
      </c>
      <c r="U89" s="69">
        <f>+Administración!N19</f>
        <v>21492.537313432837</v>
      </c>
      <c r="V89" s="137">
        <f t="shared" si="70"/>
        <v>0</v>
      </c>
      <c r="W89" s="137">
        <f t="shared" si="71"/>
        <v>21492.537313432837</v>
      </c>
      <c r="X89" s="69">
        <f>+Administración!O19</f>
        <v>21492.537313432837</v>
      </c>
      <c r="Y89" s="137">
        <f t="shared" si="72"/>
        <v>0</v>
      </c>
      <c r="Z89" s="137">
        <f t="shared" si="73"/>
        <v>107462.68656716419</v>
      </c>
      <c r="AA89" s="69">
        <f>+Administración!P19</f>
        <v>107462.68656716419</v>
      </c>
    </row>
    <row r="90" spans="1:27">
      <c r="A90" s="78"/>
      <c r="B90" s="78" t="s">
        <v>59</v>
      </c>
      <c r="C90" s="67">
        <f>+Administración!B20</f>
        <v>1</v>
      </c>
      <c r="D90" s="69">
        <f>+Administración!C20</f>
        <v>4000</v>
      </c>
      <c r="E90" s="117"/>
      <c r="F90" s="117"/>
      <c r="G90" s="117"/>
      <c r="H90" s="117"/>
      <c r="I90" s="117"/>
      <c r="J90" s="137">
        <f t="shared" si="62"/>
        <v>0</v>
      </c>
      <c r="K90" s="137">
        <f t="shared" si="63"/>
        <v>14328.358208955224</v>
      </c>
      <c r="L90" s="69">
        <f>+Administración!K20</f>
        <v>14328.358208955224</v>
      </c>
      <c r="M90" s="137">
        <f t="shared" si="64"/>
        <v>0</v>
      </c>
      <c r="N90" s="137">
        <f t="shared" si="65"/>
        <v>14328.358208955224</v>
      </c>
      <c r="O90" s="69">
        <f>+Administración!L20</f>
        <v>14328.358208955224</v>
      </c>
      <c r="P90" s="137">
        <f t="shared" si="66"/>
        <v>0</v>
      </c>
      <c r="Q90" s="137">
        <f t="shared" si="67"/>
        <v>14328.358208955224</v>
      </c>
      <c r="R90" s="69">
        <f>+Administración!M20</f>
        <v>14328.358208955224</v>
      </c>
      <c r="S90" s="137">
        <f t="shared" si="68"/>
        <v>0</v>
      </c>
      <c r="T90" s="137">
        <f t="shared" si="69"/>
        <v>14328.358208955224</v>
      </c>
      <c r="U90" s="69">
        <f>+Administración!N20</f>
        <v>14328.358208955224</v>
      </c>
      <c r="V90" s="137">
        <f t="shared" si="70"/>
        <v>0</v>
      </c>
      <c r="W90" s="137">
        <f t="shared" si="71"/>
        <v>14328.358208955224</v>
      </c>
      <c r="X90" s="69">
        <f>+Administración!O20</f>
        <v>14328.358208955224</v>
      </c>
      <c r="Y90" s="137">
        <f t="shared" si="72"/>
        <v>0</v>
      </c>
      <c r="Z90" s="137">
        <f t="shared" si="73"/>
        <v>71641.791044776124</v>
      </c>
      <c r="AA90" s="69">
        <f>+Administración!P20</f>
        <v>71641.791044776124</v>
      </c>
    </row>
    <row r="91" spans="1:27">
      <c r="A91" s="76"/>
      <c r="B91" s="76" t="s">
        <v>67</v>
      </c>
      <c r="C91" s="140">
        <f>+Administración!B21</f>
        <v>0</v>
      </c>
      <c r="D91" s="139">
        <f>+Administración!C21</f>
        <v>0</v>
      </c>
      <c r="E91" s="138"/>
      <c r="F91" s="138"/>
      <c r="G91" s="138"/>
      <c r="H91" s="138"/>
      <c r="I91" s="138"/>
      <c r="J91" s="139">
        <f>+SUM(J92:J99)</f>
        <v>0</v>
      </c>
      <c r="K91" s="139">
        <f t="shared" ref="K91:AA91" si="75">+SUM(K92:K99)</f>
        <v>773731.34328358201</v>
      </c>
      <c r="L91" s="139">
        <f t="shared" si="75"/>
        <v>773731.34328358201</v>
      </c>
      <c r="M91" s="139">
        <f t="shared" si="75"/>
        <v>0</v>
      </c>
      <c r="N91" s="139">
        <f t="shared" si="75"/>
        <v>773731.34328358201</v>
      </c>
      <c r="O91" s="139">
        <f t="shared" si="75"/>
        <v>773731.34328358201</v>
      </c>
      <c r="P91" s="139">
        <f t="shared" si="75"/>
        <v>0</v>
      </c>
      <c r="Q91" s="139">
        <f t="shared" si="75"/>
        <v>773731.34328358201</v>
      </c>
      <c r="R91" s="139">
        <f t="shared" si="75"/>
        <v>773731.34328358201</v>
      </c>
      <c r="S91" s="139">
        <f t="shared" si="75"/>
        <v>0</v>
      </c>
      <c r="T91" s="139">
        <f t="shared" si="75"/>
        <v>773731.34328358201</v>
      </c>
      <c r="U91" s="139">
        <f t="shared" si="75"/>
        <v>773731.34328358201</v>
      </c>
      <c r="V91" s="139">
        <f t="shared" si="75"/>
        <v>0</v>
      </c>
      <c r="W91" s="139">
        <f t="shared" si="75"/>
        <v>773731.34328358201</v>
      </c>
      <c r="X91" s="139">
        <f t="shared" si="75"/>
        <v>773731.34328358201</v>
      </c>
      <c r="Y91" s="139">
        <f t="shared" si="75"/>
        <v>0</v>
      </c>
      <c r="Z91" s="139">
        <f t="shared" si="75"/>
        <v>3868656.7164179105</v>
      </c>
      <c r="AA91" s="139">
        <f t="shared" si="75"/>
        <v>3868656.7164179105</v>
      </c>
    </row>
    <row r="92" spans="1:27">
      <c r="A92" s="78"/>
      <c r="B92" s="78" t="s">
        <v>68</v>
      </c>
      <c r="C92" s="67">
        <f>+Administración!B22</f>
        <v>1</v>
      </c>
      <c r="D92" s="69">
        <f>+Administración!C22</f>
        <v>9000</v>
      </c>
      <c r="E92" s="117"/>
      <c r="F92" s="117"/>
      <c r="G92" s="117"/>
      <c r="H92" s="117"/>
      <c r="I92" s="117"/>
      <c r="J92" s="137">
        <f t="shared" si="62"/>
        <v>0</v>
      </c>
      <c r="K92" s="137">
        <f t="shared" si="63"/>
        <v>32238.805970149253</v>
      </c>
      <c r="L92" s="69">
        <f>+Administración!K22</f>
        <v>32238.805970149253</v>
      </c>
      <c r="M92" s="137">
        <f t="shared" si="64"/>
        <v>0</v>
      </c>
      <c r="N92" s="137">
        <f t="shared" si="65"/>
        <v>32238.805970149253</v>
      </c>
      <c r="O92" s="69">
        <f>+Administración!L22</f>
        <v>32238.805970149253</v>
      </c>
      <c r="P92" s="137">
        <f t="shared" si="66"/>
        <v>0</v>
      </c>
      <c r="Q92" s="137">
        <f t="shared" si="67"/>
        <v>32238.805970149253</v>
      </c>
      <c r="R92" s="69">
        <f>+Administración!M22</f>
        <v>32238.805970149253</v>
      </c>
      <c r="S92" s="137">
        <f t="shared" si="68"/>
        <v>0</v>
      </c>
      <c r="T92" s="137">
        <f t="shared" si="69"/>
        <v>32238.805970149253</v>
      </c>
      <c r="U92" s="69">
        <f>+Administración!N22</f>
        <v>32238.805970149253</v>
      </c>
      <c r="V92" s="137">
        <f t="shared" si="70"/>
        <v>0</v>
      </c>
      <c r="W92" s="137">
        <f t="shared" si="71"/>
        <v>32238.805970149253</v>
      </c>
      <c r="X92" s="69">
        <f>+Administración!O22</f>
        <v>32238.805970149253</v>
      </c>
      <c r="Y92" s="137">
        <f t="shared" si="72"/>
        <v>0</v>
      </c>
      <c r="Z92" s="137">
        <f t="shared" si="73"/>
        <v>161194.02985074627</v>
      </c>
      <c r="AA92" s="69">
        <f>+Administración!P22</f>
        <v>161194.02985074627</v>
      </c>
    </row>
    <row r="93" spans="1:27">
      <c r="A93" s="78"/>
      <c r="B93" s="78" t="s">
        <v>69</v>
      </c>
      <c r="C93" s="67">
        <f>+Administración!B23</f>
        <v>1</v>
      </c>
      <c r="D93" s="69">
        <f>+Administración!C23</f>
        <v>9000</v>
      </c>
      <c r="E93" s="117"/>
      <c r="F93" s="117"/>
      <c r="G93" s="117"/>
      <c r="H93" s="117"/>
      <c r="I93" s="117"/>
      <c r="J93" s="137">
        <f t="shared" si="62"/>
        <v>0</v>
      </c>
      <c r="K93" s="137">
        <f t="shared" si="63"/>
        <v>32238.805970149253</v>
      </c>
      <c r="L93" s="69">
        <f>+Administración!K23</f>
        <v>32238.805970149253</v>
      </c>
      <c r="M93" s="137">
        <f t="shared" si="64"/>
        <v>0</v>
      </c>
      <c r="N93" s="137">
        <f t="shared" si="65"/>
        <v>32238.805970149253</v>
      </c>
      <c r="O93" s="69">
        <f>+Administración!L23</f>
        <v>32238.805970149253</v>
      </c>
      <c r="P93" s="137">
        <f t="shared" si="66"/>
        <v>0</v>
      </c>
      <c r="Q93" s="137">
        <f t="shared" si="67"/>
        <v>32238.805970149253</v>
      </c>
      <c r="R93" s="69">
        <f>+Administración!M23</f>
        <v>32238.805970149253</v>
      </c>
      <c r="S93" s="137">
        <f t="shared" si="68"/>
        <v>0</v>
      </c>
      <c r="T93" s="137">
        <f t="shared" si="69"/>
        <v>32238.805970149253</v>
      </c>
      <c r="U93" s="69">
        <f>+Administración!N23</f>
        <v>32238.805970149253</v>
      </c>
      <c r="V93" s="137">
        <f t="shared" si="70"/>
        <v>0</v>
      </c>
      <c r="W93" s="137">
        <f t="shared" si="71"/>
        <v>32238.805970149253</v>
      </c>
      <c r="X93" s="69">
        <f>+Administración!O23</f>
        <v>32238.805970149253</v>
      </c>
      <c r="Y93" s="137">
        <f t="shared" si="72"/>
        <v>0</v>
      </c>
      <c r="Z93" s="137">
        <f t="shared" si="73"/>
        <v>161194.02985074627</v>
      </c>
      <c r="AA93" s="69">
        <f>+Administración!P23</f>
        <v>161194.02985074627</v>
      </c>
    </row>
    <row r="94" spans="1:27">
      <c r="A94" s="78"/>
      <c r="B94" s="78" t="s">
        <v>70</v>
      </c>
      <c r="C94" s="67">
        <f>+Administración!B24</f>
        <v>1</v>
      </c>
      <c r="D94" s="69">
        <f>+Administración!C24</f>
        <v>9000</v>
      </c>
      <c r="E94" s="117"/>
      <c r="F94" s="117"/>
      <c r="G94" s="117"/>
      <c r="H94" s="117"/>
      <c r="I94" s="117"/>
      <c r="J94" s="137">
        <f t="shared" si="62"/>
        <v>0</v>
      </c>
      <c r="K94" s="137">
        <f t="shared" si="63"/>
        <v>32238.805970149253</v>
      </c>
      <c r="L94" s="69">
        <f>+Administración!K24</f>
        <v>32238.805970149253</v>
      </c>
      <c r="M94" s="137">
        <f t="shared" si="64"/>
        <v>0</v>
      </c>
      <c r="N94" s="137">
        <f t="shared" si="65"/>
        <v>32238.805970149253</v>
      </c>
      <c r="O94" s="69">
        <f>+Administración!L24</f>
        <v>32238.805970149253</v>
      </c>
      <c r="P94" s="137">
        <f t="shared" si="66"/>
        <v>0</v>
      </c>
      <c r="Q94" s="137">
        <f t="shared" si="67"/>
        <v>32238.805970149253</v>
      </c>
      <c r="R94" s="69">
        <f>+Administración!M24</f>
        <v>32238.805970149253</v>
      </c>
      <c r="S94" s="137">
        <f t="shared" si="68"/>
        <v>0</v>
      </c>
      <c r="T94" s="137">
        <f t="shared" si="69"/>
        <v>32238.805970149253</v>
      </c>
      <c r="U94" s="69">
        <f>+Administración!N24</f>
        <v>32238.805970149253</v>
      </c>
      <c r="V94" s="137">
        <f t="shared" si="70"/>
        <v>0</v>
      </c>
      <c r="W94" s="137">
        <f t="shared" si="71"/>
        <v>32238.805970149253</v>
      </c>
      <c r="X94" s="69">
        <f>+Administración!O24</f>
        <v>32238.805970149253</v>
      </c>
      <c r="Y94" s="137">
        <f t="shared" si="72"/>
        <v>0</v>
      </c>
      <c r="Z94" s="137">
        <f t="shared" si="73"/>
        <v>161194.02985074627</v>
      </c>
      <c r="AA94" s="69">
        <f>+Administración!P24</f>
        <v>161194.02985074627</v>
      </c>
    </row>
    <row r="95" spans="1:27">
      <c r="A95" s="78"/>
      <c r="B95" s="78" t="s">
        <v>71</v>
      </c>
      <c r="C95" s="67">
        <f>+Administración!B25</f>
        <v>1</v>
      </c>
      <c r="D95" s="69">
        <f>+Administración!C25</f>
        <v>9000</v>
      </c>
      <c r="E95" s="117"/>
      <c r="F95" s="117"/>
      <c r="G95" s="117"/>
      <c r="H95" s="117"/>
      <c r="I95" s="117"/>
      <c r="J95" s="137">
        <f t="shared" si="62"/>
        <v>0</v>
      </c>
      <c r="K95" s="137">
        <f t="shared" si="63"/>
        <v>32238.805970149253</v>
      </c>
      <c r="L95" s="69">
        <f>+Administración!K25</f>
        <v>32238.805970149253</v>
      </c>
      <c r="M95" s="137">
        <f t="shared" si="64"/>
        <v>0</v>
      </c>
      <c r="N95" s="137">
        <f t="shared" si="65"/>
        <v>32238.805970149253</v>
      </c>
      <c r="O95" s="69">
        <f>+Administración!L25</f>
        <v>32238.805970149253</v>
      </c>
      <c r="P95" s="137">
        <f t="shared" si="66"/>
        <v>0</v>
      </c>
      <c r="Q95" s="137">
        <f t="shared" si="67"/>
        <v>32238.805970149253</v>
      </c>
      <c r="R95" s="69">
        <f>+Administración!M25</f>
        <v>32238.805970149253</v>
      </c>
      <c r="S95" s="137">
        <f t="shared" si="68"/>
        <v>0</v>
      </c>
      <c r="T95" s="137">
        <f t="shared" si="69"/>
        <v>32238.805970149253</v>
      </c>
      <c r="U95" s="69">
        <f>+Administración!N25</f>
        <v>32238.805970149253</v>
      </c>
      <c r="V95" s="137">
        <f t="shared" si="70"/>
        <v>0</v>
      </c>
      <c r="W95" s="137">
        <f t="shared" si="71"/>
        <v>32238.805970149253</v>
      </c>
      <c r="X95" s="69">
        <f>+Administración!O25</f>
        <v>32238.805970149253</v>
      </c>
      <c r="Y95" s="137">
        <f t="shared" si="72"/>
        <v>0</v>
      </c>
      <c r="Z95" s="137">
        <f t="shared" si="73"/>
        <v>161194.02985074627</v>
      </c>
      <c r="AA95" s="69">
        <f>+Administración!P25</f>
        <v>161194.02985074627</v>
      </c>
    </row>
    <row r="96" spans="1:27">
      <c r="A96" s="78"/>
      <c r="B96" s="78" t="s">
        <v>72</v>
      </c>
      <c r="C96" s="67">
        <f>+Administración!B26</f>
        <v>4</v>
      </c>
      <c r="D96" s="69">
        <f>+Administración!C26</f>
        <v>10000</v>
      </c>
      <c r="E96" s="117"/>
      <c r="F96" s="117"/>
      <c r="G96" s="117"/>
      <c r="H96" s="117"/>
      <c r="I96" s="117"/>
      <c r="J96" s="137">
        <f t="shared" si="62"/>
        <v>0</v>
      </c>
      <c r="K96" s="137">
        <f t="shared" si="63"/>
        <v>143283.58208955225</v>
      </c>
      <c r="L96" s="69">
        <f>+Administración!K26</f>
        <v>143283.58208955225</v>
      </c>
      <c r="M96" s="137">
        <f t="shared" si="64"/>
        <v>0</v>
      </c>
      <c r="N96" s="137">
        <f t="shared" si="65"/>
        <v>143283.58208955225</v>
      </c>
      <c r="O96" s="69">
        <f>+Administración!L26</f>
        <v>143283.58208955225</v>
      </c>
      <c r="P96" s="137">
        <f t="shared" si="66"/>
        <v>0</v>
      </c>
      <c r="Q96" s="137">
        <f t="shared" si="67"/>
        <v>143283.58208955225</v>
      </c>
      <c r="R96" s="69">
        <f>+Administración!M26</f>
        <v>143283.58208955225</v>
      </c>
      <c r="S96" s="137">
        <f t="shared" si="68"/>
        <v>0</v>
      </c>
      <c r="T96" s="137">
        <f t="shared" si="69"/>
        <v>143283.58208955225</v>
      </c>
      <c r="U96" s="69">
        <f>+Administración!N26</f>
        <v>143283.58208955225</v>
      </c>
      <c r="V96" s="137">
        <f t="shared" si="70"/>
        <v>0</v>
      </c>
      <c r="W96" s="137">
        <f t="shared" si="71"/>
        <v>143283.58208955225</v>
      </c>
      <c r="X96" s="69">
        <f>+Administración!O26</f>
        <v>143283.58208955225</v>
      </c>
      <c r="Y96" s="137">
        <f t="shared" si="72"/>
        <v>0</v>
      </c>
      <c r="Z96" s="137">
        <f t="shared" si="73"/>
        <v>716417.91044776118</v>
      </c>
      <c r="AA96" s="69">
        <f>+Administración!P26</f>
        <v>716417.91044776118</v>
      </c>
    </row>
    <row r="97" spans="1:27">
      <c r="A97" s="78"/>
      <c r="B97" s="78" t="s">
        <v>73</v>
      </c>
      <c r="C97" s="67">
        <f>+Administración!B27</f>
        <v>4</v>
      </c>
      <c r="D97" s="69">
        <f>+Administración!C27</f>
        <v>10000</v>
      </c>
      <c r="E97" s="117"/>
      <c r="F97" s="117"/>
      <c r="G97" s="117"/>
      <c r="H97" s="117"/>
      <c r="I97" s="117"/>
      <c r="J97" s="137">
        <f t="shared" si="62"/>
        <v>0</v>
      </c>
      <c r="K97" s="137">
        <f t="shared" si="63"/>
        <v>143283.58208955225</v>
      </c>
      <c r="L97" s="69">
        <f>+Administración!K27</f>
        <v>143283.58208955225</v>
      </c>
      <c r="M97" s="137">
        <f t="shared" si="64"/>
        <v>0</v>
      </c>
      <c r="N97" s="137">
        <f t="shared" si="65"/>
        <v>143283.58208955225</v>
      </c>
      <c r="O97" s="69">
        <f>+Administración!L27</f>
        <v>143283.58208955225</v>
      </c>
      <c r="P97" s="137">
        <f t="shared" si="66"/>
        <v>0</v>
      </c>
      <c r="Q97" s="137">
        <f t="shared" si="67"/>
        <v>143283.58208955225</v>
      </c>
      <c r="R97" s="69">
        <f>+Administración!M27</f>
        <v>143283.58208955225</v>
      </c>
      <c r="S97" s="137">
        <f t="shared" si="68"/>
        <v>0</v>
      </c>
      <c r="T97" s="137">
        <f t="shared" si="69"/>
        <v>143283.58208955225</v>
      </c>
      <c r="U97" s="69">
        <f>+Administración!N27</f>
        <v>143283.58208955225</v>
      </c>
      <c r="V97" s="137">
        <f t="shared" si="70"/>
        <v>0</v>
      </c>
      <c r="W97" s="137">
        <f t="shared" si="71"/>
        <v>143283.58208955225</v>
      </c>
      <c r="X97" s="69">
        <f>+Administración!O27</f>
        <v>143283.58208955225</v>
      </c>
      <c r="Y97" s="137">
        <f t="shared" si="72"/>
        <v>0</v>
      </c>
      <c r="Z97" s="137">
        <f t="shared" si="73"/>
        <v>716417.91044776118</v>
      </c>
      <c r="AA97" s="69">
        <f>+Administración!P27</f>
        <v>716417.91044776118</v>
      </c>
    </row>
    <row r="98" spans="1:27">
      <c r="A98" s="78"/>
      <c r="B98" s="78" t="s">
        <v>74</v>
      </c>
      <c r="C98" s="67">
        <f>+Administración!B28</f>
        <v>5</v>
      </c>
      <c r="D98" s="69">
        <f>+Administración!C28</f>
        <v>10000</v>
      </c>
      <c r="E98" s="117"/>
      <c r="F98" s="117"/>
      <c r="G98" s="117"/>
      <c r="H98" s="117"/>
      <c r="I98" s="117"/>
      <c r="J98" s="137">
        <f t="shared" si="62"/>
        <v>0</v>
      </c>
      <c r="K98" s="137">
        <f t="shared" si="63"/>
        <v>179104.4776119403</v>
      </c>
      <c r="L98" s="69">
        <f>+Administración!K28</f>
        <v>179104.4776119403</v>
      </c>
      <c r="M98" s="137">
        <f t="shared" si="64"/>
        <v>0</v>
      </c>
      <c r="N98" s="137">
        <f t="shared" si="65"/>
        <v>179104.4776119403</v>
      </c>
      <c r="O98" s="69">
        <f>+Administración!L28</f>
        <v>179104.4776119403</v>
      </c>
      <c r="P98" s="137">
        <f t="shared" si="66"/>
        <v>0</v>
      </c>
      <c r="Q98" s="137">
        <f t="shared" si="67"/>
        <v>179104.4776119403</v>
      </c>
      <c r="R98" s="69">
        <f>+Administración!M28</f>
        <v>179104.4776119403</v>
      </c>
      <c r="S98" s="137">
        <f t="shared" si="68"/>
        <v>0</v>
      </c>
      <c r="T98" s="137">
        <f t="shared" si="69"/>
        <v>179104.4776119403</v>
      </c>
      <c r="U98" s="69">
        <f>+Administración!N28</f>
        <v>179104.4776119403</v>
      </c>
      <c r="V98" s="137">
        <f t="shared" si="70"/>
        <v>0</v>
      </c>
      <c r="W98" s="137">
        <f t="shared" si="71"/>
        <v>179104.4776119403</v>
      </c>
      <c r="X98" s="69">
        <f>+Administración!O28</f>
        <v>179104.4776119403</v>
      </c>
      <c r="Y98" s="137">
        <f t="shared" si="72"/>
        <v>0</v>
      </c>
      <c r="Z98" s="137">
        <f t="shared" si="73"/>
        <v>895522.38805970154</v>
      </c>
      <c r="AA98" s="69">
        <f>+Administración!P28</f>
        <v>895522.38805970154</v>
      </c>
    </row>
    <row r="99" spans="1:27">
      <c r="A99" s="78"/>
      <c r="B99" s="78" t="s">
        <v>75</v>
      </c>
      <c r="C99" s="67">
        <f>+Administración!B29</f>
        <v>5</v>
      </c>
      <c r="D99" s="69">
        <f>+Administración!C29</f>
        <v>10000</v>
      </c>
      <c r="E99" s="117"/>
      <c r="F99" s="117"/>
      <c r="G99" s="117"/>
      <c r="H99" s="117"/>
      <c r="I99" s="117"/>
      <c r="J99" s="137">
        <f t="shared" si="62"/>
        <v>0</v>
      </c>
      <c r="K99" s="137">
        <f t="shared" si="63"/>
        <v>179104.4776119403</v>
      </c>
      <c r="L99" s="69">
        <f>+Administración!K29</f>
        <v>179104.4776119403</v>
      </c>
      <c r="M99" s="137">
        <f t="shared" si="64"/>
        <v>0</v>
      </c>
      <c r="N99" s="137">
        <f t="shared" si="65"/>
        <v>179104.4776119403</v>
      </c>
      <c r="O99" s="69">
        <f>+Administración!L29</f>
        <v>179104.4776119403</v>
      </c>
      <c r="P99" s="137">
        <f t="shared" si="66"/>
        <v>0</v>
      </c>
      <c r="Q99" s="137">
        <f t="shared" si="67"/>
        <v>179104.4776119403</v>
      </c>
      <c r="R99" s="69">
        <f>+Administración!M29</f>
        <v>179104.4776119403</v>
      </c>
      <c r="S99" s="137">
        <f t="shared" si="68"/>
        <v>0</v>
      </c>
      <c r="T99" s="137">
        <f t="shared" si="69"/>
        <v>179104.4776119403</v>
      </c>
      <c r="U99" s="69">
        <f>+Administración!N29</f>
        <v>179104.4776119403</v>
      </c>
      <c r="V99" s="137">
        <f t="shared" si="70"/>
        <v>0</v>
      </c>
      <c r="W99" s="137">
        <f t="shared" si="71"/>
        <v>179104.4776119403</v>
      </c>
      <c r="X99" s="69">
        <f>+Administración!O29</f>
        <v>179104.4776119403</v>
      </c>
      <c r="Y99" s="137">
        <f t="shared" si="72"/>
        <v>0</v>
      </c>
      <c r="Z99" s="137">
        <f t="shared" si="73"/>
        <v>895522.38805970154</v>
      </c>
      <c r="AA99" s="69">
        <f>+Administración!P29</f>
        <v>895522.38805970154</v>
      </c>
    </row>
    <row r="100" spans="1:27">
      <c r="A100" s="126"/>
      <c r="B100" s="126" t="s">
        <v>76</v>
      </c>
      <c r="C100" s="122">
        <f>+Administración!B30</f>
        <v>0</v>
      </c>
      <c r="D100" s="122">
        <f>+Administración!C30</f>
        <v>0</v>
      </c>
      <c r="E100" s="122"/>
      <c r="F100" s="122"/>
      <c r="G100" s="122"/>
      <c r="H100" s="122"/>
      <c r="I100" s="122"/>
      <c r="J100" s="122">
        <f t="shared" ref="J100:K100" si="76">+SUM(J101:J110)</f>
        <v>0</v>
      </c>
      <c r="K100" s="122">
        <f t="shared" si="76"/>
        <v>168358.2089552239</v>
      </c>
      <c r="L100" s="122">
        <f>+SUM(L101:L110)</f>
        <v>168358.2089552239</v>
      </c>
      <c r="M100" s="122">
        <f t="shared" ref="M100:AA100" si="77">+SUM(M101:M110)</f>
        <v>0</v>
      </c>
      <c r="N100" s="122">
        <f t="shared" si="77"/>
        <v>168358.2089552239</v>
      </c>
      <c r="O100" s="122">
        <f t="shared" si="77"/>
        <v>168358.2089552239</v>
      </c>
      <c r="P100" s="122">
        <f t="shared" si="77"/>
        <v>0</v>
      </c>
      <c r="Q100" s="122">
        <f t="shared" si="77"/>
        <v>168358.2089552239</v>
      </c>
      <c r="R100" s="122">
        <f t="shared" si="77"/>
        <v>168358.2089552239</v>
      </c>
      <c r="S100" s="122">
        <f t="shared" si="77"/>
        <v>0</v>
      </c>
      <c r="T100" s="122">
        <f t="shared" si="77"/>
        <v>168358.2089552239</v>
      </c>
      <c r="U100" s="122">
        <f t="shared" si="77"/>
        <v>168358.2089552239</v>
      </c>
      <c r="V100" s="122">
        <f t="shared" si="77"/>
        <v>0</v>
      </c>
      <c r="W100" s="122">
        <f t="shared" si="77"/>
        <v>168358.2089552239</v>
      </c>
      <c r="X100" s="122">
        <f t="shared" si="77"/>
        <v>168358.2089552239</v>
      </c>
      <c r="Y100" s="122">
        <f t="shared" si="77"/>
        <v>0</v>
      </c>
      <c r="Z100" s="122">
        <f t="shared" si="77"/>
        <v>841791.04477611929</v>
      </c>
      <c r="AA100" s="122">
        <f t="shared" si="77"/>
        <v>841791.04477611929</v>
      </c>
    </row>
    <row r="101" spans="1:27">
      <c r="A101" s="73"/>
      <c r="B101" s="73" t="s">
        <v>77</v>
      </c>
      <c r="C101" s="67">
        <f>+Administración!B31</f>
        <v>1</v>
      </c>
      <c r="D101" s="69">
        <f>+Administración!C31</f>
        <v>44000</v>
      </c>
      <c r="E101" s="117"/>
      <c r="F101" s="117"/>
      <c r="G101" s="117"/>
      <c r="H101" s="117"/>
      <c r="I101" s="117"/>
      <c r="J101" s="137">
        <f>0%*L101</f>
        <v>0</v>
      </c>
      <c r="K101" s="137">
        <f>100%*L101</f>
        <v>78805.970149253728</v>
      </c>
      <c r="L101" s="69">
        <f>+Administración!K31</f>
        <v>78805.970149253728</v>
      </c>
      <c r="M101" s="137">
        <f>0%*O101</f>
        <v>0</v>
      </c>
      <c r="N101" s="137">
        <f>100%*O101</f>
        <v>78805.970149253728</v>
      </c>
      <c r="O101" s="69">
        <f>+Administración!L31</f>
        <v>78805.970149253728</v>
      </c>
      <c r="P101" s="137">
        <f>0%*R101</f>
        <v>0</v>
      </c>
      <c r="Q101" s="137">
        <f>100%*R101</f>
        <v>78805.970149253728</v>
      </c>
      <c r="R101" s="69">
        <f>+Administración!M31</f>
        <v>78805.970149253728</v>
      </c>
      <c r="S101" s="137">
        <f>0%*U101</f>
        <v>0</v>
      </c>
      <c r="T101" s="137">
        <f>100%*U101</f>
        <v>78805.970149253728</v>
      </c>
      <c r="U101" s="69">
        <f>+Administración!N31</f>
        <v>78805.970149253728</v>
      </c>
      <c r="V101" s="137">
        <f>0%*X101</f>
        <v>0</v>
      </c>
      <c r="W101" s="137">
        <f>100%*X101</f>
        <v>78805.970149253728</v>
      </c>
      <c r="X101" s="69">
        <f>+Administración!O31</f>
        <v>78805.970149253728</v>
      </c>
      <c r="Y101" s="137">
        <f>0%*AA101</f>
        <v>0</v>
      </c>
      <c r="Z101" s="137">
        <f>100%*AA101</f>
        <v>394029.85074626864</v>
      </c>
      <c r="AA101" s="69">
        <f>+Administración!P31</f>
        <v>394029.85074626864</v>
      </c>
    </row>
    <row r="102" spans="1:27">
      <c r="A102" s="73"/>
      <c r="B102" s="73" t="s">
        <v>78</v>
      </c>
      <c r="C102" s="67">
        <f>+Administración!B32</f>
        <v>1</v>
      </c>
      <c r="D102" s="69">
        <f>+Administración!C32</f>
        <v>800</v>
      </c>
      <c r="E102" s="117"/>
      <c r="F102" s="117"/>
      <c r="G102" s="117"/>
      <c r="H102" s="117"/>
      <c r="I102" s="117"/>
      <c r="J102" s="137">
        <f t="shared" ref="J102:J110" si="78">0%*L102</f>
        <v>0</v>
      </c>
      <c r="K102" s="137">
        <f t="shared" ref="K102:K110" si="79">100%*L102</f>
        <v>1432.8358208955224</v>
      </c>
      <c r="L102" s="69">
        <f>+Administración!K32</f>
        <v>1432.8358208955224</v>
      </c>
      <c r="M102" s="137">
        <f t="shared" ref="M102:M110" si="80">0%*O102</f>
        <v>0</v>
      </c>
      <c r="N102" s="137">
        <f t="shared" ref="N102:N110" si="81">100%*O102</f>
        <v>1432.8358208955224</v>
      </c>
      <c r="O102" s="69">
        <f>+Administración!L32</f>
        <v>1432.8358208955224</v>
      </c>
      <c r="P102" s="137">
        <f t="shared" ref="P102:P110" si="82">0%*R102</f>
        <v>0</v>
      </c>
      <c r="Q102" s="137">
        <f t="shared" ref="Q102:Q110" si="83">100%*R102</f>
        <v>1432.8358208955224</v>
      </c>
      <c r="R102" s="69">
        <f>+Administración!M32</f>
        <v>1432.8358208955224</v>
      </c>
      <c r="S102" s="137">
        <f t="shared" ref="S102:S110" si="84">0%*U102</f>
        <v>0</v>
      </c>
      <c r="T102" s="137">
        <f t="shared" ref="T102:T110" si="85">100%*U102</f>
        <v>1432.8358208955224</v>
      </c>
      <c r="U102" s="69">
        <f>+Administración!N32</f>
        <v>1432.8358208955224</v>
      </c>
      <c r="V102" s="137">
        <f t="shared" ref="V102:V110" si="86">0%*X102</f>
        <v>0</v>
      </c>
      <c r="W102" s="137">
        <f t="shared" ref="W102:W110" si="87">100%*X102</f>
        <v>1432.8358208955224</v>
      </c>
      <c r="X102" s="69">
        <f>+Administración!O32</f>
        <v>1432.8358208955224</v>
      </c>
      <c r="Y102" s="137">
        <f t="shared" ref="Y102:Y110" si="88">0%*AA102</f>
        <v>0</v>
      </c>
      <c r="Z102" s="137">
        <f t="shared" ref="Z102:Z110" si="89">100%*AA102</f>
        <v>7164.1791044776119</v>
      </c>
      <c r="AA102" s="69">
        <f>+Administración!P32</f>
        <v>7164.1791044776119</v>
      </c>
    </row>
    <row r="103" spans="1:27">
      <c r="A103" s="73"/>
      <c r="B103" s="73" t="s">
        <v>79</v>
      </c>
      <c r="C103" s="67">
        <f>+Administración!B33</f>
        <v>1</v>
      </c>
      <c r="D103" s="69">
        <f>+Administración!C33</f>
        <v>200</v>
      </c>
      <c r="E103" s="117"/>
      <c r="F103" s="117"/>
      <c r="G103" s="117"/>
      <c r="H103" s="117"/>
      <c r="I103" s="117"/>
      <c r="J103" s="137">
        <f t="shared" si="78"/>
        <v>0</v>
      </c>
      <c r="K103" s="137">
        <f t="shared" si="79"/>
        <v>358.20895522388059</v>
      </c>
      <c r="L103" s="69">
        <f>+Administración!K33</f>
        <v>358.20895522388059</v>
      </c>
      <c r="M103" s="137">
        <f t="shared" si="80"/>
        <v>0</v>
      </c>
      <c r="N103" s="137">
        <f t="shared" si="81"/>
        <v>358.20895522388059</v>
      </c>
      <c r="O103" s="69">
        <f>+Administración!L33</f>
        <v>358.20895522388059</v>
      </c>
      <c r="P103" s="137">
        <f t="shared" si="82"/>
        <v>0</v>
      </c>
      <c r="Q103" s="137">
        <f t="shared" si="83"/>
        <v>358.20895522388059</v>
      </c>
      <c r="R103" s="69">
        <f>+Administración!M33</f>
        <v>358.20895522388059</v>
      </c>
      <c r="S103" s="137">
        <f t="shared" si="84"/>
        <v>0</v>
      </c>
      <c r="T103" s="137">
        <f t="shared" si="85"/>
        <v>358.20895522388059</v>
      </c>
      <c r="U103" s="69">
        <f>+Administración!N33</f>
        <v>358.20895522388059</v>
      </c>
      <c r="V103" s="137">
        <f t="shared" si="86"/>
        <v>0</v>
      </c>
      <c r="W103" s="137">
        <f t="shared" si="87"/>
        <v>358.20895522388059</v>
      </c>
      <c r="X103" s="69">
        <f>+Administración!O33</f>
        <v>358.20895522388059</v>
      </c>
      <c r="Y103" s="137">
        <f t="shared" si="88"/>
        <v>0</v>
      </c>
      <c r="Z103" s="137">
        <f t="shared" si="89"/>
        <v>1791.044776119403</v>
      </c>
      <c r="AA103" s="69">
        <f>+Administración!P33</f>
        <v>1791.044776119403</v>
      </c>
    </row>
    <row r="104" spans="1:27">
      <c r="A104" s="73"/>
      <c r="B104" s="73" t="s">
        <v>80</v>
      </c>
      <c r="C104" s="67">
        <f>+Administración!B34</f>
        <v>1</v>
      </c>
      <c r="D104" s="69">
        <f>+Administración!C34</f>
        <v>10000</v>
      </c>
      <c r="E104" s="117"/>
      <c r="F104" s="117"/>
      <c r="G104" s="117"/>
      <c r="H104" s="117"/>
      <c r="I104" s="117"/>
      <c r="J104" s="137">
        <f t="shared" si="78"/>
        <v>0</v>
      </c>
      <c r="K104" s="137">
        <f t="shared" si="79"/>
        <v>17910.447761194031</v>
      </c>
      <c r="L104" s="69">
        <f>+Administración!K34</f>
        <v>17910.447761194031</v>
      </c>
      <c r="M104" s="137">
        <f t="shared" si="80"/>
        <v>0</v>
      </c>
      <c r="N104" s="137">
        <f t="shared" si="81"/>
        <v>17910.447761194031</v>
      </c>
      <c r="O104" s="69">
        <f>+Administración!L34</f>
        <v>17910.447761194031</v>
      </c>
      <c r="P104" s="137">
        <f t="shared" si="82"/>
        <v>0</v>
      </c>
      <c r="Q104" s="137">
        <f t="shared" si="83"/>
        <v>17910.447761194031</v>
      </c>
      <c r="R104" s="69">
        <f>+Administración!M34</f>
        <v>17910.447761194031</v>
      </c>
      <c r="S104" s="137">
        <f t="shared" si="84"/>
        <v>0</v>
      </c>
      <c r="T104" s="137">
        <f t="shared" si="85"/>
        <v>17910.447761194031</v>
      </c>
      <c r="U104" s="69">
        <f>+Administración!N34</f>
        <v>17910.447761194031</v>
      </c>
      <c r="V104" s="137">
        <f t="shared" si="86"/>
        <v>0</v>
      </c>
      <c r="W104" s="137">
        <f t="shared" si="87"/>
        <v>17910.447761194031</v>
      </c>
      <c r="X104" s="69">
        <f>+Administración!O34</f>
        <v>17910.447761194031</v>
      </c>
      <c r="Y104" s="137">
        <f t="shared" si="88"/>
        <v>0</v>
      </c>
      <c r="Z104" s="137">
        <f t="shared" si="89"/>
        <v>89552.238805970148</v>
      </c>
      <c r="AA104" s="69">
        <f>+Administración!P34</f>
        <v>89552.238805970148</v>
      </c>
    </row>
    <row r="105" spans="1:27">
      <c r="A105" s="73"/>
      <c r="B105" s="73" t="s">
        <v>81</v>
      </c>
      <c r="C105" s="67">
        <f>+Administración!B35</f>
        <v>2</v>
      </c>
      <c r="D105" s="69">
        <f>+Administración!C35</f>
        <v>2000</v>
      </c>
      <c r="E105" s="117"/>
      <c r="F105" s="117"/>
      <c r="G105" s="117"/>
      <c r="H105" s="117"/>
      <c r="I105" s="117"/>
      <c r="J105" s="137">
        <f t="shared" si="78"/>
        <v>0</v>
      </c>
      <c r="K105" s="137">
        <f t="shared" si="79"/>
        <v>7164.1791044776119</v>
      </c>
      <c r="L105" s="69">
        <f>+Administración!K35</f>
        <v>7164.1791044776119</v>
      </c>
      <c r="M105" s="137">
        <f t="shared" si="80"/>
        <v>0</v>
      </c>
      <c r="N105" s="137">
        <f t="shared" si="81"/>
        <v>7164.1791044776119</v>
      </c>
      <c r="O105" s="69">
        <f>+Administración!L35</f>
        <v>7164.1791044776119</v>
      </c>
      <c r="P105" s="137">
        <f t="shared" si="82"/>
        <v>0</v>
      </c>
      <c r="Q105" s="137">
        <f t="shared" si="83"/>
        <v>7164.1791044776119</v>
      </c>
      <c r="R105" s="69">
        <f>+Administración!M35</f>
        <v>7164.1791044776119</v>
      </c>
      <c r="S105" s="137">
        <f t="shared" si="84"/>
        <v>0</v>
      </c>
      <c r="T105" s="137">
        <f t="shared" si="85"/>
        <v>7164.1791044776119</v>
      </c>
      <c r="U105" s="69">
        <f>+Administración!N35</f>
        <v>7164.1791044776119</v>
      </c>
      <c r="V105" s="137">
        <f t="shared" si="86"/>
        <v>0</v>
      </c>
      <c r="W105" s="137">
        <f t="shared" si="87"/>
        <v>7164.1791044776119</v>
      </c>
      <c r="X105" s="69">
        <f>+Administración!O35</f>
        <v>7164.1791044776119</v>
      </c>
      <c r="Y105" s="137">
        <f t="shared" si="88"/>
        <v>0</v>
      </c>
      <c r="Z105" s="137">
        <f t="shared" si="89"/>
        <v>35820.895522388062</v>
      </c>
      <c r="AA105" s="69">
        <f>+Administración!P35</f>
        <v>35820.895522388062</v>
      </c>
    </row>
    <row r="106" spans="1:27">
      <c r="A106" s="73"/>
      <c r="B106" s="73" t="s">
        <v>82</v>
      </c>
      <c r="C106" s="67">
        <f>+Administración!B36</f>
        <v>3</v>
      </c>
      <c r="D106" s="69">
        <f>+Administración!C36</f>
        <v>1500</v>
      </c>
      <c r="E106" s="114"/>
      <c r="F106" s="114"/>
      <c r="G106" s="114"/>
      <c r="H106" s="114"/>
      <c r="I106" s="114"/>
      <c r="J106" s="137">
        <f t="shared" si="78"/>
        <v>0</v>
      </c>
      <c r="K106" s="137">
        <f t="shared" si="79"/>
        <v>8059.7014925373132</v>
      </c>
      <c r="L106" s="69">
        <f>+Administración!K36</f>
        <v>8059.7014925373132</v>
      </c>
      <c r="M106" s="137">
        <f t="shared" si="80"/>
        <v>0</v>
      </c>
      <c r="N106" s="137">
        <f t="shared" si="81"/>
        <v>8059.7014925373132</v>
      </c>
      <c r="O106" s="69">
        <f>+Administración!L36</f>
        <v>8059.7014925373132</v>
      </c>
      <c r="P106" s="137">
        <f t="shared" si="82"/>
        <v>0</v>
      </c>
      <c r="Q106" s="137">
        <f t="shared" si="83"/>
        <v>8059.7014925373132</v>
      </c>
      <c r="R106" s="69">
        <f>+Administración!M36</f>
        <v>8059.7014925373132</v>
      </c>
      <c r="S106" s="137">
        <f t="shared" si="84"/>
        <v>0</v>
      </c>
      <c r="T106" s="137">
        <f t="shared" si="85"/>
        <v>8059.7014925373132</v>
      </c>
      <c r="U106" s="69">
        <f>+Administración!N36</f>
        <v>8059.7014925373132</v>
      </c>
      <c r="V106" s="137">
        <f t="shared" si="86"/>
        <v>0</v>
      </c>
      <c r="W106" s="137">
        <f t="shared" si="87"/>
        <v>8059.7014925373132</v>
      </c>
      <c r="X106" s="69">
        <f>+Administración!O36</f>
        <v>8059.7014925373132</v>
      </c>
      <c r="Y106" s="137">
        <f t="shared" si="88"/>
        <v>0</v>
      </c>
      <c r="Z106" s="137">
        <f t="shared" si="89"/>
        <v>40298.507462686568</v>
      </c>
      <c r="AA106" s="69">
        <f>+Administración!P36</f>
        <v>40298.507462686568</v>
      </c>
    </row>
    <row r="107" spans="1:27">
      <c r="A107" s="73"/>
      <c r="B107" s="73" t="s">
        <v>83</v>
      </c>
      <c r="C107" s="67">
        <f>+Administración!B37</f>
        <v>1</v>
      </c>
      <c r="D107" s="69">
        <f>+Administración!C37</f>
        <v>3000</v>
      </c>
      <c r="E107" s="114"/>
      <c r="F107" s="114"/>
      <c r="G107" s="114"/>
      <c r="H107" s="114"/>
      <c r="I107" s="114"/>
      <c r="J107" s="137">
        <f t="shared" si="78"/>
        <v>0</v>
      </c>
      <c r="K107" s="137">
        <f t="shared" si="79"/>
        <v>5373.1343283582091</v>
      </c>
      <c r="L107" s="69">
        <f>+Administración!K37</f>
        <v>5373.1343283582091</v>
      </c>
      <c r="M107" s="137">
        <f t="shared" si="80"/>
        <v>0</v>
      </c>
      <c r="N107" s="137">
        <f t="shared" si="81"/>
        <v>5373.1343283582091</v>
      </c>
      <c r="O107" s="69">
        <f>+Administración!L37</f>
        <v>5373.1343283582091</v>
      </c>
      <c r="P107" s="137">
        <f t="shared" si="82"/>
        <v>0</v>
      </c>
      <c r="Q107" s="137">
        <f t="shared" si="83"/>
        <v>5373.1343283582091</v>
      </c>
      <c r="R107" s="69">
        <f>+Administración!M37</f>
        <v>5373.1343283582091</v>
      </c>
      <c r="S107" s="137">
        <f t="shared" si="84"/>
        <v>0</v>
      </c>
      <c r="T107" s="137">
        <f t="shared" si="85"/>
        <v>5373.1343283582091</v>
      </c>
      <c r="U107" s="69">
        <f>+Administración!N37</f>
        <v>5373.1343283582091</v>
      </c>
      <c r="V107" s="137">
        <f t="shared" si="86"/>
        <v>0</v>
      </c>
      <c r="W107" s="137">
        <f t="shared" si="87"/>
        <v>5373.1343283582091</v>
      </c>
      <c r="X107" s="69">
        <f>+Administración!O37</f>
        <v>5373.1343283582091</v>
      </c>
      <c r="Y107" s="137">
        <f t="shared" si="88"/>
        <v>0</v>
      </c>
      <c r="Z107" s="137">
        <f t="shared" si="89"/>
        <v>26865.671641791047</v>
      </c>
      <c r="AA107" s="69">
        <f>+Administración!P37</f>
        <v>26865.671641791047</v>
      </c>
    </row>
    <row r="108" spans="1:27">
      <c r="A108" s="73"/>
      <c r="B108" s="73" t="s">
        <v>84</v>
      </c>
      <c r="C108" s="67">
        <f>+Administración!B38</f>
        <v>1</v>
      </c>
      <c r="D108" s="69">
        <f>+Administración!C38</f>
        <v>7000</v>
      </c>
      <c r="E108" s="114"/>
      <c r="F108" s="114"/>
      <c r="G108" s="114"/>
      <c r="H108" s="114"/>
      <c r="I108" s="114"/>
      <c r="J108" s="137">
        <f t="shared" si="78"/>
        <v>0</v>
      </c>
      <c r="K108" s="137">
        <f t="shared" si="79"/>
        <v>12537.313432835821</v>
      </c>
      <c r="L108" s="69">
        <f>+Administración!K38</f>
        <v>12537.313432835821</v>
      </c>
      <c r="M108" s="137">
        <f t="shared" si="80"/>
        <v>0</v>
      </c>
      <c r="N108" s="137">
        <f t="shared" si="81"/>
        <v>12537.313432835821</v>
      </c>
      <c r="O108" s="69">
        <f>+Administración!L38</f>
        <v>12537.313432835821</v>
      </c>
      <c r="P108" s="137">
        <f t="shared" si="82"/>
        <v>0</v>
      </c>
      <c r="Q108" s="137">
        <f t="shared" si="83"/>
        <v>12537.313432835821</v>
      </c>
      <c r="R108" s="69">
        <f>+Administración!M38</f>
        <v>12537.313432835821</v>
      </c>
      <c r="S108" s="137">
        <f t="shared" si="84"/>
        <v>0</v>
      </c>
      <c r="T108" s="137">
        <f t="shared" si="85"/>
        <v>12537.313432835821</v>
      </c>
      <c r="U108" s="69">
        <f>+Administración!N38</f>
        <v>12537.313432835821</v>
      </c>
      <c r="V108" s="137">
        <f t="shared" si="86"/>
        <v>0</v>
      </c>
      <c r="W108" s="137">
        <f t="shared" si="87"/>
        <v>12537.313432835821</v>
      </c>
      <c r="X108" s="69">
        <f>+Administración!O38</f>
        <v>12537.313432835821</v>
      </c>
      <c r="Y108" s="137">
        <f t="shared" si="88"/>
        <v>0</v>
      </c>
      <c r="Z108" s="137">
        <f t="shared" si="89"/>
        <v>62686.567164179105</v>
      </c>
      <c r="AA108" s="69">
        <f>+Administración!P38</f>
        <v>62686.567164179105</v>
      </c>
    </row>
    <row r="109" spans="1:27">
      <c r="A109" s="73"/>
      <c r="B109" s="73" t="s">
        <v>85</v>
      </c>
      <c r="C109" s="67">
        <f>+Administración!B39</f>
        <v>1</v>
      </c>
      <c r="D109" s="69">
        <f>+Administración!C39</f>
        <v>20000</v>
      </c>
      <c r="E109" s="114"/>
      <c r="F109" s="114"/>
      <c r="G109" s="114"/>
      <c r="H109" s="114"/>
      <c r="I109" s="114"/>
      <c r="J109" s="137">
        <f t="shared" si="78"/>
        <v>0</v>
      </c>
      <c r="K109" s="137">
        <f t="shared" si="79"/>
        <v>35820.895522388062</v>
      </c>
      <c r="L109" s="69">
        <f>+Administración!K39</f>
        <v>35820.895522388062</v>
      </c>
      <c r="M109" s="137">
        <f t="shared" si="80"/>
        <v>0</v>
      </c>
      <c r="N109" s="137">
        <f t="shared" si="81"/>
        <v>35820.895522388062</v>
      </c>
      <c r="O109" s="69">
        <f>+Administración!L39</f>
        <v>35820.895522388062</v>
      </c>
      <c r="P109" s="137">
        <f t="shared" si="82"/>
        <v>0</v>
      </c>
      <c r="Q109" s="137">
        <f t="shared" si="83"/>
        <v>35820.895522388062</v>
      </c>
      <c r="R109" s="69">
        <f>+Administración!M39</f>
        <v>35820.895522388062</v>
      </c>
      <c r="S109" s="137">
        <f t="shared" si="84"/>
        <v>0</v>
      </c>
      <c r="T109" s="137">
        <f t="shared" si="85"/>
        <v>35820.895522388062</v>
      </c>
      <c r="U109" s="69">
        <f>+Administración!N39</f>
        <v>35820.895522388062</v>
      </c>
      <c r="V109" s="137">
        <f t="shared" si="86"/>
        <v>0</v>
      </c>
      <c r="W109" s="137">
        <f t="shared" si="87"/>
        <v>35820.895522388062</v>
      </c>
      <c r="X109" s="69">
        <f>+Administración!O39</f>
        <v>35820.895522388062</v>
      </c>
      <c r="Y109" s="137">
        <f t="shared" si="88"/>
        <v>0</v>
      </c>
      <c r="Z109" s="137">
        <f t="shared" si="89"/>
        <v>179104.4776119403</v>
      </c>
      <c r="AA109" s="69">
        <f>+Administración!P39</f>
        <v>179104.4776119403</v>
      </c>
    </row>
    <row r="110" spans="1:27">
      <c r="A110" s="73"/>
      <c r="B110" s="73" t="s">
        <v>86</v>
      </c>
      <c r="C110" s="67">
        <f>+Administración!B40</f>
        <v>1</v>
      </c>
      <c r="D110" s="69">
        <f>+Administración!C40</f>
        <v>500</v>
      </c>
      <c r="E110" s="114"/>
      <c r="F110" s="114"/>
      <c r="G110" s="114"/>
      <c r="H110" s="114"/>
      <c r="I110" s="114"/>
      <c r="J110" s="137">
        <f t="shared" si="78"/>
        <v>0</v>
      </c>
      <c r="K110" s="137">
        <f t="shared" si="79"/>
        <v>895.52238805970148</v>
      </c>
      <c r="L110" s="69">
        <f>+Administración!K40</f>
        <v>895.52238805970148</v>
      </c>
      <c r="M110" s="137">
        <f t="shared" si="80"/>
        <v>0</v>
      </c>
      <c r="N110" s="137">
        <f t="shared" si="81"/>
        <v>895.52238805970148</v>
      </c>
      <c r="O110" s="69">
        <f>+Administración!L40</f>
        <v>895.52238805970148</v>
      </c>
      <c r="P110" s="137">
        <f t="shared" si="82"/>
        <v>0</v>
      </c>
      <c r="Q110" s="137">
        <f t="shared" si="83"/>
        <v>895.52238805970148</v>
      </c>
      <c r="R110" s="69">
        <f>+Administración!M40</f>
        <v>895.52238805970148</v>
      </c>
      <c r="S110" s="137">
        <f t="shared" si="84"/>
        <v>0</v>
      </c>
      <c r="T110" s="137">
        <f t="shared" si="85"/>
        <v>895.52238805970148</v>
      </c>
      <c r="U110" s="69">
        <f>+Administración!N40</f>
        <v>895.52238805970148</v>
      </c>
      <c r="V110" s="137">
        <f t="shared" si="86"/>
        <v>0</v>
      </c>
      <c r="W110" s="137">
        <f t="shared" si="87"/>
        <v>895.52238805970148</v>
      </c>
      <c r="X110" s="69">
        <f>+Administración!O40</f>
        <v>895.52238805970148</v>
      </c>
      <c r="Y110" s="137">
        <f t="shared" si="88"/>
        <v>0</v>
      </c>
      <c r="Z110" s="137">
        <f t="shared" si="89"/>
        <v>4477.6119402985078</v>
      </c>
      <c r="AA110" s="69">
        <f>+Administración!P40</f>
        <v>4477.6119402985078</v>
      </c>
    </row>
    <row r="111" spans="1:27" ht="29.25" customHeight="1">
      <c r="A111" s="126"/>
      <c r="B111" s="126" t="s">
        <v>87</v>
      </c>
      <c r="C111" s="122">
        <f>+Administración!B41</f>
        <v>0</v>
      </c>
      <c r="D111" s="122">
        <f>+Administración!C41</f>
        <v>0</v>
      </c>
      <c r="E111" s="122"/>
      <c r="F111" s="122"/>
      <c r="G111" s="122"/>
      <c r="H111" s="122"/>
      <c r="I111" s="122"/>
      <c r="J111" s="122">
        <f>+SUM(J112:J126)</f>
        <v>0</v>
      </c>
      <c r="K111" s="122">
        <f t="shared" ref="K111" si="90">+SUM(K112:K126)</f>
        <v>165283.58208955225</v>
      </c>
      <c r="L111" s="122">
        <f>+SUM(L112:L126)</f>
        <v>165283.58208955225</v>
      </c>
      <c r="M111" s="122">
        <f t="shared" ref="M111:AA111" si="91">+SUM(M112:M126)</f>
        <v>0</v>
      </c>
      <c r="N111" s="122">
        <f t="shared" si="91"/>
        <v>0</v>
      </c>
      <c r="O111" s="122">
        <f t="shared" si="91"/>
        <v>0</v>
      </c>
      <c r="P111" s="122">
        <f t="shared" si="91"/>
        <v>0</v>
      </c>
      <c r="Q111" s="122">
        <f t="shared" si="91"/>
        <v>0</v>
      </c>
      <c r="R111" s="122">
        <f t="shared" si="91"/>
        <v>0</v>
      </c>
      <c r="S111" s="122">
        <f t="shared" si="91"/>
        <v>0</v>
      </c>
      <c r="T111" s="122">
        <f t="shared" si="91"/>
        <v>0</v>
      </c>
      <c r="U111" s="122">
        <f t="shared" si="91"/>
        <v>0</v>
      </c>
      <c r="V111" s="122">
        <f t="shared" si="91"/>
        <v>0</v>
      </c>
      <c r="W111" s="122">
        <f t="shared" si="91"/>
        <v>0</v>
      </c>
      <c r="X111" s="122">
        <f t="shared" si="91"/>
        <v>0</v>
      </c>
      <c r="Y111" s="122">
        <f t="shared" si="91"/>
        <v>0</v>
      </c>
      <c r="Z111" s="122">
        <f t="shared" si="91"/>
        <v>165283.58208955225</v>
      </c>
      <c r="AA111" s="122">
        <f t="shared" si="91"/>
        <v>165283.58208955225</v>
      </c>
    </row>
    <row r="112" spans="1:27">
      <c r="A112" s="73"/>
      <c r="B112" s="73" t="s">
        <v>88</v>
      </c>
      <c r="C112" s="67">
        <f>+Administración!B42</f>
        <v>34.5</v>
      </c>
      <c r="D112" s="69">
        <f>+Administración!C42</f>
        <v>5000</v>
      </c>
      <c r="E112" s="114"/>
      <c r="F112" s="114"/>
      <c r="G112" s="114"/>
      <c r="H112" s="114"/>
      <c r="I112" s="114"/>
      <c r="J112" s="137">
        <f>0%*L112</f>
        <v>0</v>
      </c>
      <c r="K112" s="137">
        <f>100%*L112</f>
        <v>51492.537313432833</v>
      </c>
      <c r="L112" s="69">
        <f>+Administración!K42</f>
        <v>51492.537313432833</v>
      </c>
      <c r="M112" s="137">
        <f>0%*O112</f>
        <v>0</v>
      </c>
      <c r="N112" s="137">
        <f>100%*O112</f>
        <v>0</v>
      </c>
      <c r="O112" s="69">
        <f>+Administración!L42</f>
        <v>0</v>
      </c>
      <c r="P112" s="137">
        <f>0%*R112</f>
        <v>0</v>
      </c>
      <c r="Q112" s="137">
        <f>100%*R112</f>
        <v>0</v>
      </c>
      <c r="R112" s="69">
        <f>+Administración!M42</f>
        <v>0</v>
      </c>
      <c r="S112" s="137">
        <f>0%*U112</f>
        <v>0</v>
      </c>
      <c r="T112" s="137">
        <f>100%*U112</f>
        <v>0</v>
      </c>
      <c r="U112" s="69">
        <f>+Administración!N42</f>
        <v>0</v>
      </c>
      <c r="V112" s="137">
        <f>0%*X112</f>
        <v>0</v>
      </c>
      <c r="W112" s="137">
        <f>100%*X112</f>
        <v>0</v>
      </c>
      <c r="X112" s="69">
        <f>+Administración!O42</f>
        <v>0</v>
      </c>
      <c r="Y112" s="137">
        <f>0%*AA112</f>
        <v>0</v>
      </c>
      <c r="Z112" s="137">
        <f>100%*AA112</f>
        <v>51492.537313432833</v>
      </c>
      <c r="AA112" s="69">
        <f>+Administración!P42</f>
        <v>51492.537313432833</v>
      </c>
    </row>
    <row r="113" spans="1:27">
      <c r="A113" s="73"/>
      <c r="B113" s="73" t="s">
        <v>89</v>
      </c>
      <c r="C113" s="67">
        <f>+Administración!B43</f>
        <v>3</v>
      </c>
      <c r="D113" s="69">
        <f>+Administración!C43</f>
        <v>5000</v>
      </c>
      <c r="E113" s="114"/>
      <c r="F113" s="114"/>
      <c r="G113" s="114"/>
      <c r="H113" s="114"/>
      <c r="I113" s="114"/>
      <c r="J113" s="137">
        <f t="shared" ref="J113:J126" si="92">0%*L113</f>
        <v>0</v>
      </c>
      <c r="K113" s="137">
        <f t="shared" ref="K113:K126" si="93">100%*L113</f>
        <v>4477.6119402985078</v>
      </c>
      <c r="L113" s="69">
        <f>+Administración!K43</f>
        <v>4477.6119402985078</v>
      </c>
      <c r="M113" s="137">
        <f t="shared" ref="M113:M126" si="94">0%*O113</f>
        <v>0</v>
      </c>
      <c r="N113" s="137">
        <f t="shared" ref="N113:N126" si="95">100%*O113</f>
        <v>0</v>
      </c>
      <c r="O113" s="69">
        <f>+Administración!L43</f>
        <v>0</v>
      </c>
      <c r="P113" s="137">
        <f t="shared" ref="P113:P126" si="96">0%*R113</f>
        <v>0</v>
      </c>
      <c r="Q113" s="137">
        <f t="shared" ref="Q113:Q126" si="97">100%*R113</f>
        <v>0</v>
      </c>
      <c r="R113" s="69">
        <f>+Administración!M43</f>
        <v>0</v>
      </c>
      <c r="S113" s="137">
        <f t="shared" ref="S113:S126" si="98">0%*U113</f>
        <v>0</v>
      </c>
      <c r="T113" s="137">
        <f t="shared" ref="T113:T126" si="99">100%*U113</f>
        <v>0</v>
      </c>
      <c r="U113" s="69">
        <f>+Administración!N43</f>
        <v>0</v>
      </c>
      <c r="V113" s="137">
        <f t="shared" ref="V113:V126" si="100">0%*X113</f>
        <v>0</v>
      </c>
      <c r="W113" s="137">
        <f t="shared" ref="W113:W126" si="101">100%*X113</f>
        <v>0</v>
      </c>
      <c r="X113" s="69">
        <f>+Administración!O43</f>
        <v>0</v>
      </c>
      <c r="Y113" s="137">
        <f t="shared" ref="Y113:Y126" si="102">0%*AA113</f>
        <v>0</v>
      </c>
      <c r="Z113" s="137">
        <f t="shared" ref="Z113:Z126" si="103">100%*AA113</f>
        <v>4477.6119402985078</v>
      </c>
      <c r="AA113" s="69">
        <f>+Administración!P43</f>
        <v>4477.6119402985078</v>
      </c>
    </row>
    <row r="114" spans="1:27">
      <c r="A114" s="73"/>
      <c r="B114" s="73" t="s">
        <v>90</v>
      </c>
      <c r="C114" s="67">
        <f>+Administración!B44</f>
        <v>10</v>
      </c>
      <c r="D114" s="69">
        <f>+Administración!C44</f>
        <v>2000</v>
      </c>
      <c r="E114" s="114"/>
      <c r="F114" s="114"/>
      <c r="G114" s="114"/>
      <c r="H114" s="114"/>
      <c r="I114" s="114"/>
      <c r="J114" s="137">
        <f t="shared" si="92"/>
        <v>0</v>
      </c>
      <c r="K114" s="137">
        <f t="shared" si="93"/>
        <v>5970.1492537313434</v>
      </c>
      <c r="L114" s="69">
        <f>+Administración!K44</f>
        <v>5970.1492537313434</v>
      </c>
      <c r="M114" s="137">
        <f t="shared" si="94"/>
        <v>0</v>
      </c>
      <c r="N114" s="137">
        <f t="shared" si="95"/>
        <v>0</v>
      </c>
      <c r="O114" s="69">
        <f>+Administración!L44</f>
        <v>0</v>
      </c>
      <c r="P114" s="137">
        <f t="shared" si="96"/>
        <v>0</v>
      </c>
      <c r="Q114" s="137">
        <f t="shared" si="97"/>
        <v>0</v>
      </c>
      <c r="R114" s="69">
        <f>+Administración!M44</f>
        <v>0</v>
      </c>
      <c r="S114" s="137">
        <f t="shared" si="98"/>
        <v>0</v>
      </c>
      <c r="T114" s="137">
        <f t="shared" si="99"/>
        <v>0</v>
      </c>
      <c r="U114" s="69">
        <f>+Administración!N44</f>
        <v>0</v>
      </c>
      <c r="V114" s="137">
        <f t="shared" si="100"/>
        <v>0</v>
      </c>
      <c r="W114" s="137">
        <f t="shared" si="101"/>
        <v>0</v>
      </c>
      <c r="X114" s="69">
        <f>+Administración!O44</f>
        <v>0</v>
      </c>
      <c r="Y114" s="137">
        <f t="shared" si="102"/>
        <v>0</v>
      </c>
      <c r="Z114" s="137">
        <f t="shared" si="103"/>
        <v>5970.1492537313434</v>
      </c>
      <c r="AA114" s="69">
        <f>+Administración!P44</f>
        <v>5970.1492537313434</v>
      </c>
    </row>
    <row r="115" spans="1:27">
      <c r="A115" s="73"/>
      <c r="B115" s="73" t="s">
        <v>91</v>
      </c>
      <c r="C115" s="67">
        <f>+Administración!B45</f>
        <v>2</v>
      </c>
      <c r="D115" s="69">
        <f>+Administración!C45</f>
        <v>10000</v>
      </c>
      <c r="E115" s="114"/>
      <c r="F115" s="114"/>
      <c r="G115" s="114"/>
      <c r="H115" s="114"/>
      <c r="I115" s="114"/>
      <c r="J115" s="137">
        <f t="shared" si="92"/>
        <v>0</v>
      </c>
      <c r="K115" s="137">
        <f t="shared" si="93"/>
        <v>5970.1492537313434</v>
      </c>
      <c r="L115" s="69">
        <f>+Administración!K45</f>
        <v>5970.1492537313434</v>
      </c>
      <c r="M115" s="137">
        <f t="shared" si="94"/>
        <v>0</v>
      </c>
      <c r="N115" s="137">
        <f t="shared" si="95"/>
        <v>0</v>
      </c>
      <c r="O115" s="69">
        <f>+Administración!L45</f>
        <v>0</v>
      </c>
      <c r="P115" s="137">
        <f t="shared" si="96"/>
        <v>0</v>
      </c>
      <c r="Q115" s="137">
        <f t="shared" si="97"/>
        <v>0</v>
      </c>
      <c r="R115" s="69">
        <f>+Administración!M45</f>
        <v>0</v>
      </c>
      <c r="S115" s="137">
        <f t="shared" si="98"/>
        <v>0</v>
      </c>
      <c r="T115" s="137">
        <f t="shared" si="99"/>
        <v>0</v>
      </c>
      <c r="U115" s="69">
        <f>+Administración!N45</f>
        <v>0</v>
      </c>
      <c r="V115" s="137">
        <f t="shared" si="100"/>
        <v>0</v>
      </c>
      <c r="W115" s="137">
        <f t="shared" si="101"/>
        <v>0</v>
      </c>
      <c r="X115" s="69">
        <f>+Administración!O45</f>
        <v>0</v>
      </c>
      <c r="Y115" s="137">
        <f t="shared" si="102"/>
        <v>0</v>
      </c>
      <c r="Z115" s="137">
        <f t="shared" si="103"/>
        <v>5970.1492537313434</v>
      </c>
      <c r="AA115" s="69">
        <f>+Administración!P45</f>
        <v>5970.1492537313434</v>
      </c>
    </row>
    <row r="116" spans="1:27">
      <c r="A116" s="73"/>
      <c r="B116" s="73" t="s">
        <v>92</v>
      </c>
      <c r="C116" s="67">
        <f>+Administración!B46</f>
        <v>5</v>
      </c>
      <c r="D116" s="69">
        <f>+Administración!C46</f>
        <v>1500</v>
      </c>
      <c r="E116" s="114"/>
      <c r="F116" s="114"/>
      <c r="G116" s="114"/>
      <c r="H116" s="114"/>
      <c r="I116" s="114"/>
      <c r="J116" s="137">
        <f t="shared" si="92"/>
        <v>0</v>
      </c>
      <c r="K116" s="137">
        <f t="shared" si="93"/>
        <v>2238.8059701492539</v>
      </c>
      <c r="L116" s="69">
        <f>+Administración!K46</f>
        <v>2238.8059701492539</v>
      </c>
      <c r="M116" s="137">
        <f t="shared" si="94"/>
        <v>0</v>
      </c>
      <c r="N116" s="137">
        <f t="shared" si="95"/>
        <v>0</v>
      </c>
      <c r="O116" s="69">
        <f>+Administración!L46</f>
        <v>0</v>
      </c>
      <c r="P116" s="137">
        <f t="shared" si="96"/>
        <v>0</v>
      </c>
      <c r="Q116" s="137">
        <f t="shared" si="97"/>
        <v>0</v>
      </c>
      <c r="R116" s="69">
        <f>+Administración!M46</f>
        <v>0</v>
      </c>
      <c r="S116" s="137">
        <f t="shared" si="98"/>
        <v>0</v>
      </c>
      <c r="T116" s="137">
        <f t="shared" si="99"/>
        <v>0</v>
      </c>
      <c r="U116" s="69">
        <f>+Administración!N46</f>
        <v>0</v>
      </c>
      <c r="V116" s="137">
        <f t="shared" si="100"/>
        <v>0</v>
      </c>
      <c r="W116" s="137">
        <f t="shared" si="101"/>
        <v>0</v>
      </c>
      <c r="X116" s="69">
        <f>+Administración!O46</f>
        <v>0</v>
      </c>
      <c r="Y116" s="137">
        <f t="shared" si="102"/>
        <v>0</v>
      </c>
      <c r="Z116" s="137">
        <f t="shared" si="103"/>
        <v>2238.8059701492539</v>
      </c>
      <c r="AA116" s="69">
        <f>+Administración!P46</f>
        <v>2238.8059701492539</v>
      </c>
    </row>
    <row r="117" spans="1:27">
      <c r="A117" s="73"/>
      <c r="B117" s="73" t="s">
        <v>93</v>
      </c>
      <c r="C117" s="67">
        <f>+Administración!B47</f>
        <v>4</v>
      </c>
      <c r="D117" s="69">
        <f>+Administración!C47</f>
        <v>4500</v>
      </c>
      <c r="E117" s="114"/>
      <c r="F117" s="114"/>
      <c r="G117" s="114"/>
      <c r="H117" s="114"/>
      <c r="I117" s="114"/>
      <c r="J117" s="137">
        <f t="shared" si="92"/>
        <v>0</v>
      </c>
      <c r="K117" s="137">
        <f t="shared" si="93"/>
        <v>5373.1343283582091</v>
      </c>
      <c r="L117" s="69">
        <f>+Administración!K47</f>
        <v>5373.1343283582091</v>
      </c>
      <c r="M117" s="137">
        <f t="shared" si="94"/>
        <v>0</v>
      </c>
      <c r="N117" s="137">
        <f t="shared" si="95"/>
        <v>0</v>
      </c>
      <c r="O117" s="69">
        <f>+Administración!L47</f>
        <v>0</v>
      </c>
      <c r="P117" s="137">
        <f t="shared" si="96"/>
        <v>0</v>
      </c>
      <c r="Q117" s="137">
        <f t="shared" si="97"/>
        <v>0</v>
      </c>
      <c r="R117" s="69">
        <f>+Administración!M47</f>
        <v>0</v>
      </c>
      <c r="S117" s="137">
        <f t="shared" si="98"/>
        <v>0</v>
      </c>
      <c r="T117" s="137">
        <f t="shared" si="99"/>
        <v>0</v>
      </c>
      <c r="U117" s="69">
        <f>+Administración!N47</f>
        <v>0</v>
      </c>
      <c r="V117" s="137">
        <f t="shared" si="100"/>
        <v>0</v>
      </c>
      <c r="W117" s="137">
        <f t="shared" si="101"/>
        <v>0</v>
      </c>
      <c r="X117" s="69">
        <f>+Administración!O47</f>
        <v>0</v>
      </c>
      <c r="Y117" s="137">
        <f t="shared" si="102"/>
        <v>0</v>
      </c>
      <c r="Z117" s="137">
        <f t="shared" si="103"/>
        <v>5373.1343283582091</v>
      </c>
      <c r="AA117" s="69">
        <f>+Administración!P47</f>
        <v>5373.1343283582091</v>
      </c>
    </row>
    <row r="118" spans="1:27">
      <c r="A118" s="73"/>
      <c r="B118" s="73" t="s">
        <v>94</v>
      </c>
      <c r="C118" s="67">
        <f>+Administración!B48</f>
        <v>4</v>
      </c>
      <c r="D118" s="69">
        <f>+Administración!C48</f>
        <v>4000</v>
      </c>
      <c r="E118" s="114"/>
      <c r="F118" s="114"/>
      <c r="G118" s="114"/>
      <c r="H118" s="114"/>
      <c r="I118" s="114"/>
      <c r="J118" s="137">
        <f t="shared" si="92"/>
        <v>0</v>
      </c>
      <c r="K118" s="137">
        <f t="shared" si="93"/>
        <v>4776.1194029850749</v>
      </c>
      <c r="L118" s="69">
        <f>+Administración!K48</f>
        <v>4776.1194029850749</v>
      </c>
      <c r="M118" s="137">
        <f t="shared" si="94"/>
        <v>0</v>
      </c>
      <c r="N118" s="137">
        <f t="shared" si="95"/>
        <v>0</v>
      </c>
      <c r="O118" s="69">
        <f>+Administración!L48</f>
        <v>0</v>
      </c>
      <c r="P118" s="137">
        <f t="shared" si="96"/>
        <v>0</v>
      </c>
      <c r="Q118" s="137">
        <f t="shared" si="97"/>
        <v>0</v>
      </c>
      <c r="R118" s="69">
        <f>+Administración!M48</f>
        <v>0</v>
      </c>
      <c r="S118" s="137">
        <f t="shared" si="98"/>
        <v>0</v>
      </c>
      <c r="T118" s="137">
        <f t="shared" si="99"/>
        <v>0</v>
      </c>
      <c r="U118" s="69">
        <f>+Administración!N48</f>
        <v>0</v>
      </c>
      <c r="V118" s="137">
        <f t="shared" si="100"/>
        <v>0</v>
      </c>
      <c r="W118" s="137">
        <f t="shared" si="101"/>
        <v>0</v>
      </c>
      <c r="X118" s="69">
        <f>+Administración!O48</f>
        <v>0</v>
      </c>
      <c r="Y118" s="137">
        <f t="shared" si="102"/>
        <v>0</v>
      </c>
      <c r="Z118" s="137">
        <f t="shared" si="103"/>
        <v>4776.1194029850749</v>
      </c>
      <c r="AA118" s="69">
        <f>+Administración!P48</f>
        <v>4776.1194029850749</v>
      </c>
    </row>
    <row r="119" spans="1:27">
      <c r="A119" s="73"/>
      <c r="B119" s="73" t="s">
        <v>95</v>
      </c>
      <c r="C119" s="67">
        <f>+Administración!B49</f>
        <v>4</v>
      </c>
      <c r="D119" s="69">
        <f>+Administración!C49</f>
        <v>1000</v>
      </c>
      <c r="E119" s="114"/>
      <c r="F119" s="114"/>
      <c r="G119" s="114"/>
      <c r="H119" s="114"/>
      <c r="I119" s="114"/>
      <c r="J119" s="137">
        <f t="shared" si="92"/>
        <v>0</v>
      </c>
      <c r="K119" s="137">
        <f t="shared" si="93"/>
        <v>1194.0298507462687</v>
      </c>
      <c r="L119" s="69">
        <f>+Administración!K49</f>
        <v>1194.0298507462687</v>
      </c>
      <c r="M119" s="137">
        <f t="shared" si="94"/>
        <v>0</v>
      </c>
      <c r="N119" s="137">
        <f t="shared" si="95"/>
        <v>0</v>
      </c>
      <c r="O119" s="69">
        <f>+Administración!L49</f>
        <v>0</v>
      </c>
      <c r="P119" s="137">
        <f t="shared" si="96"/>
        <v>0</v>
      </c>
      <c r="Q119" s="137">
        <f t="shared" si="97"/>
        <v>0</v>
      </c>
      <c r="R119" s="69">
        <f>+Administración!M49</f>
        <v>0</v>
      </c>
      <c r="S119" s="137">
        <f t="shared" si="98"/>
        <v>0</v>
      </c>
      <c r="T119" s="137">
        <f t="shared" si="99"/>
        <v>0</v>
      </c>
      <c r="U119" s="69">
        <f>+Administración!N49</f>
        <v>0</v>
      </c>
      <c r="V119" s="137">
        <f t="shared" si="100"/>
        <v>0</v>
      </c>
      <c r="W119" s="137">
        <f t="shared" si="101"/>
        <v>0</v>
      </c>
      <c r="X119" s="69">
        <f>+Administración!O49</f>
        <v>0</v>
      </c>
      <c r="Y119" s="137">
        <f t="shared" si="102"/>
        <v>0</v>
      </c>
      <c r="Z119" s="137">
        <f t="shared" si="103"/>
        <v>1194.0298507462687</v>
      </c>
      <c r="AA119" s="69">
        <f>+Administración!P49</f>
        <v>1194.0298507462687</v>
      </c>
    </row>
    <row r="120" spans="1:27">
      <c r="A120" s="73"/>
      <c r="B120" s="73" t="s">
        <v>96</v>
      </c>
      <c r="C120" s="67">
        <f>+Administración!B50</f>
        <v>34.5</v>
      </c>
      <c r="D120" s="69">
        <f>+Administración!C50</f>
        <v>3500</v>
      </c>
      <c r="E120" s="114"/>
      <c r="F120" s="114"/>
      <c r="G120" s="114"/>
      <c r="H120" s="114"/>
      <c r="I120" s="114"/>
      <c r="J120" s="137">
        <f t="shared" si="92"/>
        <v>0</v>
      </c>
      <c r="K120" s="137">
        <f t="shared" si="93"/>
        <v>36044.776119402981</v>
      </c>
      <c r="L120" s="69">
        <f>+Administración!K50</f>
        <v>36044.776119402981</v>
      </c>
      <c r="M120" s="137">
        <f t="shared" si="94"/>
        <v>0</v>
      </c>
      <c r="N120" s="137">
        <f t="shared" si="95"/>
        <v>0</v>
      </c>
      <c r="O120" s="69">
        <f>+Administración!L50</f>
        <v>0</v>
      </c>
      <c r="P120" s="137">
        <f t="shared" si="96"/>
        <v>0</v>
      </c>
      <c r="Q120" s="137">
        <f t="shared" si="97"/>
        <v>0</v>
      </c>
      <c r="R120" s="69">
        <f>+Administración!M50</f>
        <v>0</v>
      </c>
      <c r="S120" s="137">
        <f t="shared" si="98"/>
        <v>0</v>
      </c>
      <c r="T120" s="137">
        <f t="shared" si="99"/>
        <v>0</v>
      </c>
      <c r="U120" s="69">
        <f>+Administración!N50</f>
        <v>0</v>
      </c>
      <c r="V120" s="137">
        <f t="shared" si="100"/>
        <v>0</v>
      </c>
      <c r="W120" s="137">
        <f t="shared" si="101"/>
        <v>0</v>
      </c>
      <c r="X120" s="69">
        <f>+Administración!O50</f>
        <v>0</v>
      </c>
      <c r="Y120" s="137">
        <f t="shared" si="102"/>
        <v>0</v>
      </c>
      <c r="Z120" s="137">
        <f t="shared" si="103"/>
        <v>36044.776119402981</v>
      </c>
      <c r="AA120" s="69">
        <f>+Administración!P50</f>
        <v>36044.776119402981</v>
      </c>
    </row>
    <row r="121" spans="1:27">
      <c r="A121" s="73"/>
      <c r="B121" s="73" t="s">
        <v>97</v>
      </c>
      <c r="C121" s="67">
        <f>+Administración!B51</f>
        <v>34.5</v>
      </c>
      <c r="D121" s="69">
        <f>+Administración!C51</f>
        <v>1100</v>
      </c>
      <c r="E121" s="114"/>
      <c r="F121" s="114"/>
      <c r="G121" s="114"/>
      <c r="H121" s="114"/>
      <c r="I121" s="114"/>
      <c r="J121" s="137">
        <f t="shared" si="92"/>
        <v>0</v>
      </c>
      <c r="K121" s="137">
        <f t="shared" si="93"/>
        <v>11328.358208955224</v>
      </c>
      <c r="L121" s="69">
        <f>+Administración!K51</f>
        <v>11328.358208955224</v>
      </c>
      <c r="M121" s="137">
        <f t="shared" si="94"/>
        <v>0</v>
      </c>
      <c r="N121" s="137">
        <f t="shared" si="95"/>
        <v>0</v>
      </c>
      <c r="O121" s="69">
        <f>+Administración!L51</f>
        <v>0</v>
      </c>
      <c r="P121" s="137">
        <f t="shared" si="96"/>
        <v>0</v>
      </c>
      <c r="Q121" s="137">
        <f t="shared" si="97"/>
        <v>0</v>
      </c>
      <c r="R121" s="69">
        <f>+Administración!M51</f>
        <v>0</v>
      </c>
      <c r="S121" s="137">
        <f t="shared" si="98"/>
        <v>0</v>
      </c>
      <c r="T121" s="137">
        <f t="shared" si="99"/>
        <v>0</v>
      </c>
      <c r="U121" s="69">
        <f>+Administración!N51</f>
        <v>0</v>
      </c>
      <c r="V121" s="137">
        <f t="shared" si="100"/>
        <v>0</v>
      </c>
      <c r="W121" s="137">
        <f t="shared" si="101"/>
        <v>0</v>
      </c>
      <c r="X121" s="69">
        <f>+Administración!O51</f>
        <v>0</v>
      </c>
      <c r="Y121" s="137">
        <f t="shared" si="102"/>
        <v>0</v>
      </c>
      <c r="Z121" s="137">
        <f t="shared" si="103"/>
        <v>11328.358208955224</v>
      </c>
      <c r="AA121" s="69">
        <f>+Administración!P51</f>
        <v>11328.358208955224</v>
      </c>
    </row>
    <row r="122" spans="1:27">
      <c r="A122" s="73"/>
      <c r="B122" s="73" t="s">
        <v>98</v>
      </c>
      <c r="C122" s="67">
        <f>+Administración!B52</f>
        <v>2</v>
      </c>
      <c r="D122" s="69">
        <f>+Administración!C52</f>
        <v>2000</v>
      </c>
      <c r="E122" s="114"/>
      <c r="F122" s="114"/>
      <c r="G122" s="114"/>
      <c r="H122" s="114"/>
      <c r="I122" s="114"/>
      <c r="J122" s="137">
        <f t="shared" si="92"/>
        <v>0</v>
      </c>
      <c r="K122" s="137">
        <f t="shared" si="93"/>
        <v>1194.0298507462687</v>
      </c>
      <c r="L122" s="69">
        <f>+Administración!K52</f>
        <v>1194.0298507462687</v>
      </c>
      <c r="M122" s="137">
        <f t="shared" si="94"/>
        <v>0</v>
      </c>
      <c r="N122" s="137">
        <f t="shared" si="95"/>
        <v>0</v>
      </c>
      <c r="O122" s="69">
        <f>+Administración!L52</f>
        <v>0</v>
      </c>
      <c r="P122" s="137">
        <f t="shared" si="96"/>
        <v>0</v>
      </c>
      <c r="Q122" s="137">
        <f t="shared" si="97"/>
        <v>0</v>
      </c>
      <c r="R122" s="69">
        <f>+Administración!M52</f>
        <v>0</v>
      </c>
      <c r="S122" s="137">
        <f t="shared" si="98"/>
        <v>0</v>
      </c>
      <c r="T122" s="137">
        <f t="shared" si="99"/>
        <v>0</v>
      </c>
      <c r="U122" s="69">
        <f>+Administración!N52</f>
        <v>0</v>
      </c>
      <c r="V122" s="137">
        <f t="shared" si="100"/>
        <v>0</v>
      </c>
      <c r="W122" s="137">
        <f t="shared" si="101"/>
        <v>0</v>
      </c>
      <c r="X122" s="69">
        <f>+Administración!O52</f>
        <v>0</v>
      </c>
      <c r="Y122" s="137">
        <f t="shared" si="102"/>
        <v>0</v>
      </c>
      <c r="Z122" s="137">
        <f t="shared" si="103"/>
        <v>1194.0298507462687</v>
      </c>
      <c r="AA122" s="69">
        <f>+Administración!P52</f>
        <v>1194.0298507462687</v>
      </c>
    </row>
    <row r="123" spans="1:27">
      <c r="A123" s="73"/>
      <c r="B123" s="73" t="s">
        <v>99</v>
      </c>
      <c r="C123" s="67">
        <f>+Administración!B53</f>
        <v>40</v>
      </c>
      <c r="D123" s="69">
        <f>+Administración!C53</f>
        <v>700</v>
      </c>
      <c r="E123" s="114"/>
      <c r="F123" s="114"/>
      <c r="G123" s="114"/>
      <c r="H123" s="114"/>
      <c r="I123" s="114"/>
      <c r="J123" s="137">
        <f t="shared" si="92"/>
        <v>0</v>
      </c>
      <c r="K123" s="137">
        <f t="shared" si="93"/>
        <v>8358.2089552238813</v>
      </c>
      <c r="L123" s="69">
        <f>+Administración!K53</f>
        <v>8358.2089552238813</v>
      </c>
      <c r="M123" s="137">
        <f t="shared" si="94"/>
        <v>0</v>
      </c>
      <c r="N123" s="137">
        <f t="shared" si="95"/>
        <v>0</v>
      </c>
      <c r="O123" s="69">
        <f>+Administración!L53</f>
        <v>0</v>
      </c>
      <c r="P123" s="137">
        <f t="shared" si="96"/>
        <v>0</v>
      </c>
      <c r="Q123" s="137">
        <f t="shared" si="97"/>
        <v>0</v>
      </c>
      <c r="R123" s="69">
        <f>+Administración!M53</f>
        <v>0</v>
      </c>
      <c r="S123" s="137">
        <f t="shared" si="98"/>
        <v>0</v>
      </c>
      <c r="T123" s="137">
        <f t="shared" si="99"/>
        <v>0</v>
      </c>
      <c r="U123" s="69">
        <f>+Administración!N53</f>
        <v>0</v>
      </c>
      <c r="V123" s="137">
        <f t="shared" si="100"/>
        <v>0</v>
      </c>
      <c r="W123" s="137">
        <f t="shared" si="101"/>
        <v>0</v>
      </c>
      <c r="X123" s="69">
        <f>+Administración!O53</f>
        <v>0</v>
      </c>
      <c r="Y123" s="137">
        <f t="shared" si="102"/>
        <v>0</v>
      </c>
      <c r="Z123" s="137">
        <f t="shared" si="103"/>
        <v>8358.2089552238813</v>
      </c>
      <c r="AA123" s="69">
        <f>+Administración!P53</f>
        <v>8358.2089552238813</v>
      </c>
    </row>
    <row r="124" spans="1:27">
      <c r="A124" s="73"/>
      <c r="B124" s="73" t="s">
        <v>100</v>
      </c>
      <c r="C124" s="67">
        <f>+Administración!B54</f>
        <v>10</v>
      </c>
      <c r="D124" s="69">
        <f>+Administración!C54</f>
        <v>1500</v>
      </c>
      <c r="E124" s="114"/>
      <c r="F124" s="114"/>
      <c r="G124" s="114"/>
      <c r="H124" s="114"/>
      <c r="I124" s="114"/>
      <c r="J124" s="137">
        <f t="shared" si="92"/>
        <v>0</v>
      </c>
      <c r="K124" s="137">
        <f t="shared" si="93"/>
        <v>4477.6119402985078</v>
      </c>
      <c r="L124" s="69">
        <f>+Administración!K54</f>
        <v>4477.6119402985078</v>
      </c>
      <c r="M124" s="137">
        <f t="shared" si="94"/>
        <v>0</v>
      </c>
      <c r="N124" s="137">
        <f t="shared" si="95"/>
        <v>0</v>
      </c>
      <c r="O124" s="69">
        <f>+Administración!L54</f>
        <v>0</v>
      </c>
      <c r="P124" s="137">
        <f t="shared" si="96"/>
        <v>0</v>
      </c>
      <c r="Q124" s="137">
        <f t="shared" si="97"/>
        <v>0</v>
      </c>
      <c r="R124" s="69">
        <f>+Administración!M54</f>
        <v>0</v>
      </c>
      <c r="S124" s="137">
        <f t="shared" si="98"/>
        <v>0</v>
      </c>
      <c r="T124" s="137">
        <f t="shared" si="99"/>
        <v>0</v>
      </c>
      <c r="U124" s="69">
        <f>+Administración!N54</f>
        <v>0</v>
      </c>
      <c r="V124" s="137">
        <f t="shared" si="100"/>
        <v>0</v>
      </c>
      <c r="W124" s="137">
        <f t="shared" si="101"/>
        <v>0</v>
      </c>
      <c r="X124" s="69">
        <f>+Administración!O54</f>
        <v>0</v>
      </c>
      <c r="Y124" s="137">
        <f t="shared" si="102"/>
        <v>0</v>
      </c>
      <c r="Z124" s="137">
        <f t="shared" si="103"/>
        <v>4477.6119402985078</v>
      </c>
      <c r="AA124" s="69">
        <f>+Administración!P54</f>
        <v>4477.6119402985078</v>
      </c>
    </row>
    <row r="125" spans="1:27">
      <c r="A125" s="73"/>
      <c r="B125" s="73" t="s">
        <v>101</v>
      </c>
      <c r="C125" s="67">
        <f>+Administración!B55</f>
        <v>2.5</v>
      </c>
      <c r="D125" s="69">
        <f>+Administración!C55</f>
        <v>10000</v>
      </c>
      <c r="E125" s="114"/>
      <c r="F125" s="114"/>
      <c r="G125" s="114"/>
      <c r="H125" s="114"/>
      <c r="I125" s="114"/>
      <c r="J125" s="137">
        <f t="shared" si="92"/>
        <v>0</v>
      </c>
      <c r="K125" s="137">
        <f t="shared" si="93"/>
        <v>7462.686567164179</v>
      </c>
      <c r="L125" s="69">
        <f>+Administración!K55</f>
        <v>7462.686567164179</v>
      </c>
      <c r="M125" s="137">
        <f t="shared" si="94"/>
        <v>0</v>
      </c>
      <c r="N125" s="137">
        <f t="shared" si="95"/>
        <v>0</v>
      </c>
      <c r="O125" s="69">
        <f>+Administración!L55</f>
        <v>0</v>
      </c>
      <c r="P125" s="137">
        <f t="shared" si="96"/>
        <v>0</v>
      </c>
      <c r="Q125" s="137">
        <f t="shared" si="97"/>
        <v>0</v>
      </c>
      <c r="R125" s="69">
        <f>+Administración!M55</f>
        <v>0</v>
      </c>
      <c r="S125" s="137">
        <f t="shared" si="98"/>
        <v>0</v>
      </c>
      <c r="T125" s="137">
        <f t="shared" si="99"/>
        <v>0</v>
      </c>
      <c r="U125" s="69">
        <f>+Administración!N55</f>
        <v>0</v>
      </c>
      <c r="V125" s="137">
        <f t="shared" si="100"/>
        <v>0</v>
      </c>
      <c r="W125" s="137">
        <f t="shared" si="101"/>
        <v>0</v>
      </c>
      <c r="X125" s="69">
        <f>+Administración!O55</f>
        <v>0</v>
      </c>
      <c r="Y125" s="137">
        <f t="shared" si="102"/>
        <v>0</v>
      </c>
      <c r="Z125" s="137">
        <f t="shared" si="103"/>
        <v>7462.686567164179</v>
      </c>
      <c r="AA125" s="69">
        <f>+Administración!P55</f>
        <v>7462.686567164179</v>
      </c>
    </row>
    <row r="126" spans="1:27">
      <c r="A126" s="73"/>
      <c r="B126" s="73" t="s">
        <v>102</v>
      </c>
      <c r="C126" s="67">
        <f>+Administración!B56</f>
        <v>1</v>
      </c>
      <c r="D126" s="69">
        <f>+Administración!C56</f>
        <v>50000</v>
      </c>
      <c r="E126" s="114"/>
      <c r="F126" s="114"/>
      <c r="G126" s="114"/>
      <c r="H126" s="114"/>
      <c r="I126" s="114"/>
      <c r="J126" s="137">
        <f t="shared" si="92"/>
        <v>0</v>
      </c>
      <c r="K126" s="137">
        <f t="shared" si="93"/>
        <v>14925.373134328358</v>
      </c>
      <c r="L126" s="69">
        <f>+Administración!K56</f>
        <v>14925.373134328358</v>
      </c>
      <c r="M126" s="137">
        <f t="shared" si="94"/>
        <v>0</v>
      </c>
      <c r="N126" s="137">
        <f t="shared" si="95"/>
        <v>0</v>
      </c>
      <c r="O126" s="69">
        <f>+Administración!L56</f>
        <v>0</v>
      </c>
      <c r="P126" s="137">
        <f t="shared" si="96"/>
        <v>0</v>
      </c>
      <c r="Q126" s="137">
        <f t="shared" si="97"/>
        <v>0</v>
      </c>
      <c r="R126" s="69">
        <f>+Administración!M56</f>
        <v>0</v>
      </c>
      <c r="S126" s="137">
        <f t="shared" si="98"/>
        <v>0</v>
      </c>
      <c r="T126" s="137">
        <f t="shared" si="99"/>
        <v>0</v>
      </c>
      <c r="U126" s="69">
        <f>+Administración!N56</f>
        <v>0</v>
      </c>
      <c r="V126" s="137">
        <f t="shared" si="100"/>
        <v>0</v>
      </c>
      <c r="W126" s="137">
        <f t="shared" si="101"/>
        <v>0</v>
      </c>
      <c r="X126" s="69">
        <f>+Administración!O56</f>
        <v>0</v>
      </c>
      <c r="Y126" s="137">
        <f t="shared" si="102"/>
        <v>0</v>
      </c>
      <c r="Z126" s="137">
        <f t="shared" si="103"/>
        <v>14925.373134328358</v>
      </c>
      <c r="AA126" s="116">
        <f>+Administración!P56</f>
        <v>14925.373134328358</v>
      </c>
    </row>
    <row r="127" spans="1:27">
      <c r="A127" s="119"/>
      <c r="B127" s="119" t="s">
        <v>103</v>
      </c>
      <c r="C127" s="81"/>
      <c r="D127" s="120"/>
      <c r="E127" s="120"/>
      <c r="F127" s="120"/>
      <c r="G127" s="120"/>
      <c r="H127" s="120"/>
      <c r="I127" s="120"/>
      <c r="J127" s="149">
        <f>+SUM(J128:J132)</f>
        <v>800000</v>
      </c>
      <c r="K127" s="149">
        <f t="shared" ref="K127:AA127" si="104">+SUM(K128:K132)</f>
        <v>0</v>
      </c>
      <c r="L127" s="149">
        <f t="shared" si="104"/>
        <v>800000</v>
      </c>
      <c r="M127" s="149">
        <f t="shared" si="104"/>
        <v>50000</v>
      </c>
      <c r="N127" s="149">
        <f t="shared" si="104"/>
        <v>0</v>
      </c>
      <c r="O127" s="149">
        <f t="shared" si="104"/>
        <v>50000</v>
      </c>
      <c r="P127" s="149">
        <f t="shared" si="104"/>
        <v>50000</v>
      </c>
      <c r="Q127" s="149">
        <f t="shared" si="104"/>
        <v>0</v>
      </c>
      <c r="R127" s="149">
        <f t="shared" si="104"/>
        <v>50000</v>
      </c>
      <c r="S127" s="149">
        <f t="shared" si="104"/>
        <v>50000</v>
      </c>
      <c r="T127" s="149">
        <f t="shared" si="104"/>
        <v>0</v>
      </c>
      <c r="U127" s="149">
        <f t="shared" si="104"/>
        <v>50000</v>
      </c>
      <c r="V127" s="149">
        <f t="shared" si="104"/>
        <v>800000</v>
      </c>
      <c r="W127" s="149">
        <f t="shared" si="104"/>
        <v>0</v>
      </c>
      <c r="X127" s="149">
        <f t="shared" si="104"/>
        <v>800000</v>
      </c>
      <c r="Y127" s="149">
        <f>+SUM(Y128:Y132)</f>
        <v>1750000</v>
      </c>
      <c r="Z127" s="149">
        <f t="shared" si="104"/>
        <v>0</v>
      </c>
      <c r="AA127" s="149">
        <f t="shared" si="104"/>
        <v>1750000</v>
      </c>
    </row>
    <row r="128" spans="1:27">
      <c r="A128" s="73"/>
      <c r="B128" s="73" t="s">
        <v>104</v>
      </c>
      <c r="C128" s="67">
        <v>5</v>
      </c>
      <c r="D128" s="69">
        <v>50000</v>
      </c>
      <c r="E128" s="69">
        <v>1</v>
      </c>
      <c r="F128" s="69">
        <v>1</v>
      </c>
      <c r="G128" s="69">
        <v>1</v>
      </c>
      <c r="H128" s="69">
        <v>1</v>
      </c>
      <c r="I128" s="69">
        <v>1</v>
      </c>
      <c r="J128" s="69">
        <f>100%*L128</f>
        <v>50000</v>
      </c>
      <c r="K128" s="69">
        <f>0%*L128</f>
        <v>0</v>
      </c>
      <c r="L128" s="69">
        <f>+E128*D128</f>
        <v>50000</v>
      </c>
      <c r="M128" s="69">
        <f>100%*O128</f>
        <v>50000</v>
      </c>
      <c r="N128" s="69">
        <f>0%*O128</f>
        <v>0</v>
      </c>
      <c r="O128" s="69">
        <f>+F128*D128</f>
        <v>50000</v>
      </c>
      <c r="P128" s="69">
        <f>100%*R128</f>
        <v>50000</v>
      </c>
      <c r="Q128" s="69">
        <f>0%*R128</f>
        <v>0</v>
      </c>
      <c r="R128" s="69">
        <f>+G128*D128</f>
        <v>50000</v>
      </c>
      <c r="S128" s="69">
        <f>100%*U128</f>
        <v>50000</v>
      </c>
      <c r="T128" s="69">
        <f>0%*U128</f>
        <v>0</v>
      </c>
      <c r="U128" s="69">
        <f>+H128*D128</f>
        <v>50000</v>
      </c>
      <c r="V128" s="69">
        <f>100%*X128</f>
        <v>50000</v>
      </c>
      <c r="W128" s="69">
        <f>0%*X128</f>
        <v>0</v>
      </c>
      <c r="X128" s="69">
        <f>+I128*D128</f>
        <v>50000</v>
      </c>
      <c r="Y128" s="69">
        <f t="shared" ref="Y128:AA132" si="105">+V128+S128+P128+M128+J128</f>
        <v>250000</v>
      </c>
      <c r="Z128" s="69">
        <f t="shared" si="105"/>
        <v>0</v>
      </c>
      <c r="AA128" s="69">
        <f>+X128+U128+R128+O128+L128</f>
        <v>250000</v>
      </c>
    </row>
    <row r="129" spans="1:27">
      <c r="A129" s="73"/>
      <c r="B129" s="73" t="s">
        <v>105</v>
      </c>
      <c r="C129" s="67">
        <v>1</v>
      </c>
      <c r="D129" s="69">
        <v>100000</v>
      </c>
      <c r="E129" s="69">
        <v>1</v>
      </c>
      <c r="F129" s="69"/>
      <c r="G129" s="69"/>
      <c r="H129" s="69"/>
      <c r="I129" s="69"/>
      <c r="J129" s="69">
        <f t="shared" ref="J129:J132" si="106">100%*L129</f>
        <v>100000</v>
      </c>
      <c r="K129" s="69">
        <f t="shared" ref="K129:K132" si="107">0%*L129</f>
        <v>0</v>
      </c>
      <c r="L129" s="69">
        <f t="shared" ref="L129:L132" si="108">+E129*D129</f>
        <v>100000</v>
      </c>
      <c r="M129" s="69">
        <f t="shared" ref="M129:M132" si="109">100%*O129</f>
        <v>0</v>
      </c>
      <c r="N129" s="69">
        <f t="shared" ref="N129:N132" si="110">0%*O129</f>
        <v>0</v>
      </c>
      <c r="O129" s="69">
        <f>+'Auditoría M&amp;E'!E9</f>
        <v>0</v>
      </c>
      <c r="P129" s="69">
        <f t="shared" ref="P129:P132" si="111">100%*R129</f>
        <v>0</v>
      </c>
      <c r="Q129" s="69">
        <f t="shared" ref="Q129:Q132" si="112">0%*R129</f>
        <v>0</v>
      </c>
      <c r="R129" s="69">
        <f t="shared" ref="R129:R132" si="113">+G129*D129</f>
        <v>0</v>
      </c>
      <c r="S129" s="69">
        <f t="shared" ref="S129:S132" si="114">100%*U129</f>
        <v>0</v>
      </c>
      <c r="T129" s="69">
        <f t="shared" ref="T129:T132" si="115">0%*U129</f>
        <v>0</v>
      </c>
      <c r="U129" s="69">
        <f t="shared" ref="U129:U132" si="116">+H129*D129</f>
        <v>0</v>
      </c>
      <c r="V129" s="69">
        <f t="shared" ref="V129:V132" si="117">100%*X129</f>
        <v>0</v>
      </c>
      <c r="W129" s="69">
        <f t="shared" ref="W129:W132" si="118">0%*X129</f>
        <v>0</v>
      </c>
      <c r="X129" s="69">
        <f t="shared" ref="X129:X132" si="119">+I129*D129</f>
        <v>0</v>
      </c>
      <c r="Y129" s="69">
        <f t="shared" si="105"/>
        <v>100000</v>
      </c>
      <c r="Z129" s="69">
        <f t="shared" si="105"/>
        <v>0</v>
      </c>
      <c r="AA129" s="69">
        <f t="shared" si="105"/>
        <v>100000</v>
      </c>
    </row>
    <row r="130" spans="1:27">
      <c r="A130" s="73"/>
      <c r="B130" s="73" t="s">
        <v>106</v>
      </c>
      <c r="C130" s="67">
        <v>2</v>
      </c>
      <c r="D130" s="69">
        <v>500000</v>
      </c>
      <c r="E130" s="69">
        <v>1</v>
      </c>
      <c r="F130" s="69"/>
      <c r="G130" s="69"/>
      <c r="H130" s="69"/>
      <c r="I130" s="69">
        <v>1</v>
      </c>
      <c r="J130" s="69">
        <f t="shared" si="106"/>
        <v>500000</v>
      </c>
      <c r="K130" s="69">
        <f t="shared" si="107"/>
        <v>0</v>
      </c>
      <c r="L130" s="69">
        <f t="shared" si="108"/>
        <v>500000</v>
      </c>
      <c r="M130" s="69">
        <f t="shared" si="109"/>
        <v>0</v>
      </c>
      <c r="N130" s="69">
        <f t="shared" si="110"/>
        <v>0</v>
      </c>
      <c r="O130" s="69">
        <f>+'Auditoría M&amp;E'!E10</f>
        <v>0</v>
      </c>
      <c r="P130" s="69">
        <f t="shared" si="111"/>
        <v>0</v>
      </c>
      <c r="Q130" s="69">
        <f t="shared" si="112"/>
        <v>0</v>
      </c>
      <c r="R130" s="69">
        <f t="shared" si="113"/>
        <v>0</v>
      </c>
      <c r="S130" s="69">
        <f t="shared" si="114"/>
        <v>0</v>
      </c>
      <c r="T130" s="69">
        <f t="shared" si="115"/>
        <v>0</v>
      </c>
      <c r="U130" s="69">
        <f t="shared" si="116"/>
        <v>0</v>
      </c>
      <c r="V130" s="69">
        <f t="shared" si="117"/>
        <v>500000</v>
      </c>
      <c r="W130" s="69">
        <f t="shared" si="118"/>
        <v>0</v>
      </c>
      <c r="X130" s="69">
        <f t="shared" si="119"/>
        <v>500000</v>
      </c>
      <c r="Y130" s="69">
        <f t="shared" si="105"/>
        <v>1000000</v>
      </c>
      <c r="Z130" s="69">
        <f t="shared" si="105"/>
        <v>0</v>
      </c>
      <c r="AA130" s="69">
        <f t="shared" si="105"/>
        <v>1000000</v>
      </c>
    </row>
    <row r="131" spans="1:27">
      <c r="A131" s="73"/>
      <c r="B131" s="73" t="s">
        <v>169</v>
      </c>
      <c r="C131" s="67">
        <v>1</v>
      </c>
      <c r="D131" s="69">
        <v>150000</v>
      </c>
      <c r="E131" s="69">
        <v>1</v>
      </c>
      <c r="F131" s="69"/>
      <c r="G131" s="69"/>
      <c r="H131" s="69"/>
      <c r="I131" s="69"/>
      <c r="J131" s="69">
        <f t="shared" si="106"/>
        <v>150000</v>
      </c>
      <c r="K131" s="69">
        <f t="shared" si="107"/>
        <v>0</v>
      </c>
      <c r="L131" s="69">
        <f t="shared" si="108"/>
        <v>150000</v>
      </c>
      <c r="M131" s="69">
        <f t="shared" si="109"/>
        <v>0</v>
      </c>
      <c r="N131" s="69">
        <f t="shared" si="110"/>
        <v>0</v>
      </c>
      <c r="O131" s="69">
        <f>+'Auditoría M&amp;E'!E11</f>
        <v>0</v>
      </c>
      <c r="P131" s="69">
        <f t="shared" si="111"/>
        <v>0</v>
      </c>
      <c r="Q131" s="69">
        <f t="shared" si="112"/>
        <v>0</v>
      </c>
      <c r="R131" s="69">
        <f t="shared" si="113"/>
        <v>0</v>
      </c>
      <c r="S131" s="69">
        <f t="shared" si="114"/>
        <v>0</v>
      </c>
      <c r="T131" s="69">
        <f t="shared" si="115"/>
        <v>0</v>
      </c>
      <c r="U131" s="69">
        <f t="shared" si="116"/>
        <v>0</v>
      </c>
      <c r="V131" s="69">
        <f t="shared" si="117"/>
        <v>0</v>
      </c>
      <c r="W131" s="69">
        <f t="shared" si="118"/>
        <v>0</v>
      </c>
      <c r="X131" s="69">
        <f t="shared" si="119"/>
        <v>0</v>
      </c>
      <c r="Y131" s="69">
        <f t="shared" si="105"/>
        <v>150000</v>
      </c>
      <c r="Z131" s="69">
        <f t="shared" si="105"/>
        <v>0</v>
      </c>
      <c r="AA131" s="69">
        <f t="shared" si="105"/>
        <v>150000</v>
      </c>
    </row>
    <row r="132" spans="1:27" ht="16.149999999999999" thickBot="1">
      <c r="A132" s="73"/>
      <c r="B132" s="73" t="s">
        <v>108</v>
      </c>
      <c r="C132" s="186">
        <v>1</v>
      </c>
      <c r="D132" s="143">
        <v>250000</v>
      </c>
      <c r="E132" s="143"/>
      <c r="F132" s="143"/>
      <c r="G132" s="143"/>
      <c r="H132" s="143"/>
      <c r="I132" s="143">
        <v>1</v>
      </c>
      <c r="J132" s="69">
        <f t="shared" si="106"/>
        <v>0</v>
      </c>
      <c r="K132" s="69">
        <f t="shared" si="107"/>
        <v>0</v>
      </c>
      <c r="L132" s="69">
        <f t="shared" si="108"/>
        <v>0</v>
      </c>
      <c r="M132" s="69">
        <f t="shared" si="109"/>
        <v>0</v>
      </c>
      <c r="N132" s="69">
        <f t="shared" si="110"/>
        <v>0</v>
      </c>
      <c r="O132" s="143"/>
      <c r="P132" s="69">
        <f t="shared" si="111"/>
        <v>0</v>
      </c>
      <c r="Q132" s="69">
        <f t="shared" si="112"/>
        <v>0</v>
      </c>
      <c r="R132" s="69">
        <f t="shared" si="113"/>
        <v>0</v>
      </c>
      <c r="S132" s="69">
        <f t="shared" si="114"/>
        <v>0</v>
      </c>
      <c r="T132" s="69">
        <f t="shared" si="115"/>
        <v>0</v>
      </c>
      <c r="U132" s="69">
        <f t="shared" si="116"/>
        <v>0</v>
      </c>
      <c r="V132" s="69">
        <f t="shared" si="117"/>
        <v>250000</v>
      </c>
      <c r="W132" s="69">
        <f t="shared" si="118"/>
        <v>0</v>
      </c>
      <c r="X132" s="69">
        <f t="shared" si="119"/>
        <v>250000</v>
      </c>
      <c r="Y132" s="69">
        <f t="shared" si="105"/>
        <v>250000</v>
      </c>
      <c r="Z132" s="69">
        <f t="shared" si="105"/>
        <v>0</v>
      </c>
      <c r="AA132" s="69">
        <f t="shared" si="105"/>
        <v>250000</v>
      </c>
    </row>
    <row r="133" spans="1:27" ht="18.600000000000001" thickBot="1">
      <c r="A133" s="84"/>
      <c r="B133" s="84" t="s">
        <v>109</v>
      </c>
      <c r="C133" s="127"/>
      <c r="D133" s="127"/>
      <c r="E133" s="127"/>
      <c r="F133" s="127"/>
      <c r="G133" s="127"/>
      <c r="H133" s="127"/>
      <c r="I133" s="127"/>
      <c r="J133" s="127">
        <f t="shared" ref="J133:AA133" si="120">+J127+J76+J30+J19+J10</f>
        <v>957440</v>
      </c>
      <c r="K133" s="127">
        <f t="shared" si="120"/>
        <v>1596858.5074626864</v>
      </c>
      <c r="L133" s="127">
        <f t="shared" si="120"/>
        <v>2554298.5074626864</v>
      </c>
      <c r="M133" s="127">
        <f t="shared" si="120"/>
        <v>4222730.4091045875</v>
      </c>
      <c r="N133" s="127">
        <f t="shared" si="120"/>
        <v>2312980.1371277999</v>
      </c>
      <c r="O133" s="127">
        <f t="shared" si="120"/>
        <v>6535710.5462323874</v>
      </c>
      <c r="P133" s="127">
        <f t="shared" si="120"/>
        <v>36161390.056103252</v>
      </c>
      <c r="Q133" s="127">
        <f t="shared" si="120"/>
        <v>9323905.4254933596</v>
      </c>
      <c r="R133" s="127">
        <f t="shared" si="120"/>
        <v>45485295.481596619</v>
      </c>
      <c r="S133" s="127">
        <f t="shared" si="120"/>
        <v>43584110.165868282</v>
      </c>
      <c r="T133" s="127">
        <f t="shared" si="120"/>
        <v>10953283.010563731</v>
      </c>
      <c r="U133" s="127">
        <f t="shared" si="120"/>
        <v>54537393.176432014</v>
      </c>
      <c r="V133" s="127">
        <f t="shared" si="120"/>
        <v>32526035.637580525</v>
      </c>
      <c r="W133" s="127">
        <f t="shared" si="120"/>
        <v>8361266.6506956881</v>
      </c>
      <c r="X133" s="127">
        <f t="shared" si="120"/>
        <v>40887302.28827621</v>
      </c>
      <c r="Y133" s="127">
        <f t="shared" si="120"/>
        <v>117451706.26865664</v>
      </c>
      <c r="Z133" s="127">
        <f t="shared" si="120"/>
        <v>32548293.731343269</v>
      </c>
      <c r="AA133" s="125">
        <f t="shared" si="120"/>
        <v>149999999.99999991</v>
      </c>
    </row>
  </sheetData>
  <mergeCells count="15">
    <mergeCell ref="A2:AA2"/>
    <mergeCell ref="P8:R8"/>
    <mergeCell ref="S8:U8"/>
    <mergeCell ref="V8:X8"/>
    <mergeCell ref="A7:A9"/>
    <mergeCell ref="A4:AA4"/>
    <mergeCell ref="A3:AA3"/>
    <mergeCell ref="B7:B9"/>
    <mergeCell ref="C7:C8"/>
    <mergeCell ref="D7:D8"/>
    <mergeCell ref="E7:I7"/>
    <mergeCell ref="J7:X7"/>
    <mergeCell ref="Y7:AA8"/>
    <mergeCell ref="J8:L8"/>
    <mergeCell ref="M8:O8"/>
  </mergeCell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D9CD76-F476-4E4D-A182-D7C846A945AB}">
  <sheetPr>
    <tabColor theme="4"/>
  </sheetPr>
  <dimension ref="A2:S109"/>
  <sheetViews>
    <sheetView topLeftCell="B39" zoomScale="64" zoomScaleNormal="64" workbookViewId="0" xr3:uid="{F009D528-E104-5517-8EA4-397CA1ABFBB5}">
      <selection activeCell="R113" sqref="R113"/>
    </sheetView>
  </sheetViews>
  <sheetFormatPr defaultColWidth="11.25" defaultRowHeight="15.6"/>
  <cols>
    <col min="1" max="1" width="49.125" customWidth="1"/>
    <col min="2" max="10" width="12.875" customWidth="1"/>
    <col min="11" max="13" width="14.875" customWidth="1"/>
    <col min="14" max="18" width="12.875" customWidth="1"/>
    <col min="19" max="19" width="16.875" customWidth="1"/>
  </cols>
  <sheetData>
    <row r="2" spans="1:19" ht="21">
      <c r="A2" s="308" t="s">
        <v>0</v>
      </c>
      <c r="B2" s="308"/>
      <c r="C2" s="308"/>
      <c r="D2" s="308"/>
      <c r="E2" s="308"/>
      <c r="F2" s="308"/>
      <c r="G2" s="308"/>
      <c r="H2" s="308"/>
      <c r="I2" s="308"/>
      <c r="J2" s="308"/>
      <c r="K2" s="308"/>
      <c r="L2" s="308"/>
      <c r="M2" s="308"/>
      <c r="N2" s="308"/>
      <c r="O2" s="308"/>
      <c r="P2" s="308"/>
      <c r="Q2" s="308"/>
      <c r="R2" s="308"/>
      <c r="S2" s="308"/>
    </row>
    <row r="3" spans="1:19">
      <c r="A3" s="295" t="s">
        <v>1</v>
      </c>
      <c r="B3" s="295"/>
      <c r="C3" s="295"/>
      <c r="D3" s="295"/>
      <c r="E3" s="295"/>
      <c r="F3" s="295"/>
      <c r="G3" s="295"/>
      <c r="H3" s="295"/>
      <c r="I3" s="295"/>
      <c r="J3" s="295"/>
      <c r="K3" s="295"/>
      <c r="L3" s="295"/>
      <c r="M3" s="295"/>
      <c r="N3" s="295"/>
      <c r="O3" s="295"/>
      <c r="P3" s="295"/>
      <c r="Q3" s="295"/>
      <c r="R3" s="295"/>
      <c r="S3" s="295"/>
    </row>
    <row r="4" spans="1:19" ht="21.75" customHeight="1">
      <c r="A4" s="295" t="s">
        <v>170</v>
      </c>
      <c r="B4" s="295"/>
      <c r="C4" s="295"/>
      <c r="D4" s="295"/>
      <c r="E4" s="295"/>
      <c r="F4" s="295"/>
      <c r="G4" s="295"/>
      <c r="H4" s="295"/>
      <c r="I4" s="295"/>
      <c r="J4" s="295"/>
      <c r="K4" s="295"/>
      <c r="L4" s="295"/>
      <c r="M4" s="295"/>
      <c r="N4" s="295"/>
      <c r="O4" s="295"/>
      <c r="P4" s="295"/>
      <c r="Q4" s="295"/>
      <c r="R4" s="295"/>
      <c r="S4" s="295"/>
    </row>
    <row r="7" spans="1:19" ht="15.75" customHeight="1">
      <c r="A7" s="291" t="s">
        <v>5</v>
      </c>
      <c r="B7" s="296" t="s">
        <v>9</v>
      </c>
      <c r="C7" s="297"/>
      <c r="D7" s="297"/>
      <c r="E7" s="297"/>
      <c r="F7" s="297"/>
      <c r="G7" s="297"/>
      <c r="H7" s="297"/>
      <c r="I7" s="297"/>
      <c r="J7" s="297"/>
      <c r="K7" s="297"/>
      <c r="L7" s="297"/>
      <c r="M7" s="297"/>
      <c r="N7" s="297"/>
      <c r="O7" s="297"/>
      <c r="P7" s="298"/>
      <c r="Q7" s="301" t="s">
        <v>10</v>
      </c>
      <c r="R7" s="302"/>
      <c r="S7" s="303"/>
    </row>
    <row r="8" spans="1:19">
      <c r="A8" s="292"/>
      <c r="B8" s="296" t="s">
        <v>11</v>
      </c>
      <c r="C8" s="297"/>
      <c r="D8" s="298"/>
      <c r="E8" s="296" t="s">
        <v>12</v>
      </c>
      <c r="F8" s="297"/>
      <c r="G8" s="298"/>
      <c r="H8" s="296" t="s">
        <v>13</v>
      </c>
      <c r="I8" s="297"/>
      <c r="J8" s="298"/>
      <c r="K8" s="296" t="s">
        <v>14</v>
      </c>
      <c r="L8" s="297"/>
      <c r="M8" s="298"/>
      <c r="N8" s="296" t="s">
        <v>15</v>
      </c>
      <c r="O8" s="297"/>
      <c r="P8" s="298"/>
      <c r="Q8" s="304"/>
      <c r="R8" s="305"/>
      <c r="S8" s="306"/>
    </row>
    <row r="9" spans="1:19">
      <c r="A9" s="293"/>
      <c r="B9" s="283" t="s">
        <v>16</v>
      </c>
      <c r="C9" s="283" t="s">
        <v>17</v>
      </c>
      <c r="D9" s="283" t="s">
        <v>18</v>
      </c>
      <c r="E9" s="283" t="s">
        <v>16</v>
      </c>
      <c r="F9" s="283" t="s">
        <v>17</v>
      </c>
      <c r="G9" s="283" t="s">
        <v>18</v>
      </c>
      <c r="H9" s="283" t="s">
        <v>16</v>
      </c>
      <c r="I9" s="283" t="s">
        <v>17</v>
      </c>
      <c r="J9" s="283" t="s">
        <v>18</v>
      </c>
      <c r="K9" s="283" t="s">
        <v>16</v>
      </c>
      <c r="L9" s="283" t="s">
        <v>17</v>
      </c>
      <c r="M9" s="283" t="s">
        <v>18</v>
      </c>
      <c r="N9" s="283" t="s">
        <v>16</v>
      </c>
      <c r="O9" s="283" t="s">
        <v>17</v>
      </c>
      <c r="P9" s="283" t="s">
        <v>18</v>
      </c>
      <c r="Q9" s="283" t="s">
        <v>16</v>
      </c>
      <c r="R9" s="283" t="s">
        <v>17</v>
      </c>
      <c r="S9" s="283" t="s">
        <v>18</v>
      </c>
    </row>
    <row r="10" spans="1:19" s="215" customFormat="1" ht="16.149999999999999" thickBot="1">
      <c r="A10" s="218" t="s">
        <v>171</v>
      </c>
      <c r="B10" s="219">
        <v>0.82</v>
      </c>
      <c r="C10" s="219">
        <v>0.18</v>
      </c>
      <c r="D10" s="219">
        <f>+B10+C10</f>
        <v>1</v>
      </c>
      <c r="E10" s="219">
        <v>0.82</v>
      </c>
      <c r="F10" s="219">
        <v>0.18</v>
      </c>
      <c r="G10" s="219">
        <f>+E10+F10</f>
        <v>1</v>
      </c>
      <c r="H10" s="219">
        <v>0.82</v>
      </c>
      <c r="I10" s="219">
        <v>0.18</v>
      </c>
      <c r="J10" s="219">
        <f>+H10+I10</f>
        <v>1</v>
      </c>
      <c r="K10" s="219">
        <v>0.82</v>
      </c>
      <c r="L10" s="219">
        <v>0.18</v>
      </c>
      <c r="M10" s="219">
        <f>+K10+L10</f>
        <v>1</v>
      </c>
      <c r="N10" s="219">
        <v>0.82</v>
      </c>
      <c r="O10" s="219">
        <v>0.18</v>
      </c>
      <c r="P10" s="219">
        <f>+N10+O10</f>
        <v>1</v>
      </c>
      <c r="Q10" s="220">
        <f>+Q11/S11</f>
        <v>0.82</v>
      </c>
      <c r="R10" s="220">
        <f>+R11/S11</f>
        <v>0.18000000000000002</v>
      </c>
      <c r="S10" s="221">
        <f>+S11/S11</f>
        <v>1</v>
      </c>
    </row>
    <row r="11" spans="1:19" ht="28.15" thickBot="1">
      <c r="A11" s="162" t="s">
        <v>19</v>
      </c>
      <c r="B11" s="121">
        <f>+PEP!J10</f>
        <v>157440</v>
      </c>
      <c r="C11" s="121">
        <f>+PEP!K10</f>
        <v>34560</v>
      </c>
      <c r="D11" s="121">
        <f>+PEP!L10</f>
        <v>192000</v>
      </c>
      <c r="E11" s="121">
        <f>+PEP!M10</f>
        <v>1801505.044896801</v>
      </c>
      <c r="F11" s="121">
        <f>+PEP!N10</f>
        <v>395452.32692856609</v>
      </c>
      <c r="G11" s="121">
        <f>+PEP!O10</f>
        <v>2196957.3718253672</v>
      </c>
      <c r="H11" s="121">
        <f>+PEP!P10</f>
        <v>2456925</v>
      </c>
      <c r="I11" s="121">
        <f>+PEP!Q10</f>
        <v>539325</v>
      </c>
      <c r="J11" s="121">
        <f>+PEP!R10</f>
        <v>2996250</v>
      </c>
      <c r="K11" s="121">
        <f>+PEP!S10</f>
        <v>2440525</v>
      </c>
      <c r="L11" s="121">
        <f>+PEP!T10</f>
        <v>535725</v>
      </c>
      <c r="M11" s="121">
        <f>+PEP!U10</f>
        <v>2976250</v>
      </c>
      <c r="N11" s="121">
        <f>+PEP!V10</f>
        <v>2306250</v>
      </c>
      <c r="O11" s="121">
        <f>+PEP!W10</f>
        <v>506250</v>
      </c>
      <c r="P11" s="121">
        <f>+PEP!X10</f>
        <v>2812500</v>
      </c>
      <c r="Q11" s="121">
        <f>+PEP!Y10</f>
        <v>9162645.0448968001</v>
      </c>
      <c r="R11" s="142">
        <f>+PEP!Z10</f>
        <v>2011312.3269285662</v>
      </c>
      <c r="S11" s="136">
        <f>+PEP!AA10</f>
        <v>11173957.371825367</v>
      </c>
    </row>
    <row r="12" spans="1:19" ht="33" customHeight="1">
      <c r="A12" s="163" t="s">
        <v>20</v>
      </c>
      <c r="B12" s="69">
        <f>+PEP!J11</f>
        <v>0</v>
      </c>
      <c r="C12" s="69">
        <f>+PEP!K11</f>
        <v>0</v>
      </c>
      <c r="D12" s="69">
        <f>+PEP!L11</f>
        <v>0</v>
      </c>
      <c r="E12" s="69">
        <f>+PEP!M11</f>
        <v>195945.04489680109</v>
      </c>
      <c r="F12" s="69">
        <f>+PEP!N11</f>
        <v>43012.326928566094</v>
      </c>
      <c r="G12" s="69">
        <f>+PEP!O11</f>
        <v>238957.37182536721</v>
      </c>
      <c r="H12" s="69">
        <f>+PEP!P11</f>
        <v>0</v>
      </c>
      <c r="I12" s="69">
        <f>+PEP!Q11</f>
        <v>0</v>
      </c>
      <c r="J12" s="69">
        <f>+PEP!R11</f>
        <v>0</v>
      </c>
      <c r="K12" s="69">
        <f>+PEP!S11</f>
        <v>0</v>
      </c>
      <c r="L12" s="69">
        <f>+PEP!T11</f>
        <v>0</v>
      </c>
      <c r="M12" s="69">
        <f>+PEP!U11</f>
        <v>0</v>
      </c>
      <c r="N12" s="69">
        <f>+PEP!V11</f>
        <v>0</v>
      </c>
      <c r="O12" s="69">
        <f>+PEP!W11</f>
        <v>0</v>
      </c>
      <c r="P12" s="69">
        <f>+PEP!X11</f>
        <v>0</v>
      </c>
      <c r="Q12" s="69">
        <f>+PEP!Y11</f>
        <v>195945.04489680109</v>
      </c>
      <c r="R12" s="69">
        <f>+PEP!Z11</f>
        <v>43012.326928566094</v>
      </c>
      <c r="S12" s="216">
        <f>+PEP!AA11</f>
        <v>238957.37182536721</v>
      </c>
    </row>
    <row r="13" spans="1:19" ht="44.25" customHeight="1">
      <c r="A13" s="164" t="s">
        <v>21</v>
      </c>
      <c r="B13" s="155">
        <f>+PEP!J12</f>
        <v>0</v>
      </c>
      <c r="C13" s="155">
        <f>+PEP!K12</f>
        <v>0</v>
      </c>
      <c r="D13" s="155">
        <f>+PEP!L12</f>
        <v>0</v>
      </c>
      <c r="E13" s="155">
        <f>+PEP!M12</f>
        <v>131200</v>
      </c>
      <c r="F13" s="155">
        <f>+PEP!N12</f>
        <v>28800</v>
      </c>
      <c r="G13" s="155">
        <f>+PEP!O12</f>
        <v>160000</v>
      </c>
      <c r="H13" s="155">
        <f>+PEP!P12</f>
        <v>131200</v>
      </c>
      <c r="I13" s="155">
        <f>+PEP!Q12</f>
        <v>28800</v>
      </c>
      <c r="J13" s="155">
        <f>+PEP!R12</f>
        <v>160000</v>
      </c>
      <c r="K13" s="155">
        <f>+PEP!S12</f>
        <v>262400</v>
      </c>
      <c r="L13" s="155">
        <f>+PEP!T12</f>
        <v>57600</v>
      </c>
      <c r="M13" s="155">
        <f>+PEP!U12</f>
        <v>320000</v>
      </c>
      <c r="N13" s="155">
        <f>+PEP!V12</f>
        <v>0</v>
      </c>
      <c r="O13" s="155">
        <f>+PEP!W12</f>
        <v>0</v>
      </c>
      <c r="P13" s="155">
        <f>+PEP!X12</f>
        <v>0</v>
      </c>
      <c r="Q13" s="155">
        <f>+PEP!Y12</f>
        <v>524800</v>
      </c>
      <c r="R13" s="155">
        <f>+PEP!Z12</f>
        <v>115200</v>
      </c>
      <c r="S13" s="217">
        <f>+PEP!AA12</f>
        <v>640000</v>
      </c>
    </row>
    <row r="14" spans="1:19" ht="33" customHeight="1">
      <c r="A14" s="164" t="s">
        <v>22</v>
      </c>
      <c r="B14" s="155">
        <f>+PEP!J13</f>
        <v>0</v>
      </c>
      <c r="C14" s="155">
        <f>+PEP!K13</f>
        <v>0</v>
      </c>
      <c r="D14" s="155">
        <f>+PEP!L13</f>
        <v>0</v>
      </c>
      <c r="E14" s="155">
        <f>+PEP!M13</f>
        <v>0</v>
      </c>
      <c r="F14" s="155">
        <f>+PEP!N13</f>
        <v>0</v>
      </c>
      <c r="G14" s="155">
        <f>+PEP!O13</f>
        <v>0</v>
      </c>
      <c r="H14" s="155">
        <f>+PEP!P13</f>
        <v>640625</v>
      </c>
      <c r="I14" s="155">
        <f>+PEP!Q13</f>
        <v>140625</v>
      </c>
      <c r="J14" s="155">
        <f>+PEP!R13</f>
        <v>781250</v>
      </c>
      <c r="K14" s="155">
        <f>+PEP!S13</f>
        <v>640625</v>
      </c>
      <c r="L14" s="155">
        <f>+PEP!T13</f>
        <v>140625</v>
      </c>
      <c r="M14" s="155">
        <f>+PEP!U13</f>
        <v>781250</v>
      </c>
      <c r="N14" s="155">
        <f>+PEP!V13</f>
        <v>1281250</v>
      </c>
      <c r="O14" s="155">
        <f>+PEP!W13</f>
        <v>281250</v>
      </c>
      <c r="P14" s="155">
        <f>+PEP!X13</f>
        <v>1562500</v>
      </c>
      <c r="Q14" s="155">
        <f>+PEP!Y13</f>
        <v>2562500</v>
      </c>
      <c r="R14" s="155">
        <f>+PEP!Z13</f>
        <v>562500</v>
      </c>
      <c r="S14" s="155">
        <f>+PEP!AA13</f>
        <v>3125000</v>
      </c>
    </row>
    <row r="15" spans="1:19" ht="21" customHeight="1">
      <c r="A15" s="164" t="s">
        <v>23</v>
      </c>
      <c r="B15" s="155">
        <f>+PEP!J14</f>
        <v>0</v>
      </c>
      <c r="C15" s="155">
        <f>+PEP!K14</f>
        <v>0</v>
      </c>
      <c r="D15" s="155">
        <f>+PEP!L14</f>
        <v>0</v>
      </c>
      <c r="E15" s="155">
        <f>+PEP!M14</f>
        <v>245999.99999999997</v>
      </c>
      <c r="F15" s="155">
        <f>+PEP!N14</f>
        <v>54000</v>
      </c>
      <c r="G15" s="155">
        <f>+PEP!O14</f>
        <v>300000</v>
      </c>
      <c r="H15" s="155">
        <f>+PEP!P14</f>
        <v>0</v>
      </c>
      <c r="I15" s="155">
        <f>+PEP!Q14</f>
        <v>0</v>
      </c>
      <c r="J15" s="155">
        <f>+PEP!R14</f>
        <v>0</v>
      </c>
      <c r="K15" s="155">
        <f>+PEP!S14</f>
        <v>0</v>
      </c>
      <c r="L15" s="155">
        <f>+PEP!T14</f>
        <v>0</v>
      </c>
      <c r="M15" s="155">
        <f>+PEP!U14</f>
        <v>0</v>
      </c>
      <c r="N15" s="155">
        <f>+PEP!V14</f>
        <v>0</v>
      </c>
      <c r="O15" s="155">
        <f>+PEP!W14</f>
        <v>0</v>
      </c>
      <c r="P15" s="155">
        <f>+PEP!X14</f>
        <v>0</v>
      </c>
      <c r="Q15" s="155">
        <f>+PEP!Y14</f>
        <v>245999.99999999997</v>
      </c>
      <c r="R15" s="155">
        <f>+PEP!Z14</f>
        <v>54000</v>
      </c>
      <c r="S15" s="155">
        <f>+PEP!AA14</f>
        <v>300000</v>
      </c>
    </row>
    <row r="16" spans="1:19" ht="30" customHeight="1">
      <c r="A16" s="164" t="s">
        <v>24</v>
      </c>
      <c r="B16" s="155">
        <f>+PEP!J15</f>
        <v>0</v>
      </c>
      <c r="C16" s="155">
        <f>+PEP!K15</f>
        <v>0</v>
      </c>
      <c r="D16" s="155">
        <f>+PEP!L15</f>
        <v>0</v>
      </c>
      <c r="E16" s="155">
        <f>+PEP!M15</f>
        <v>98400</v>
      </c>
      <c r="F16" s="155">
        <f>+PEP!N15</f>
        <v>21600</v>
      </c>
      <c r="G16" s="155">
        <f>+PEP!O15</f>
        <v>120000</v>
      </c>
      <c r="H16" s="155">
        <f>+PEP!P15</f>
        <v>147600</v>
      </c>
      <c r="I16" s="155">
        <f>+PEP!Q15</f>
        <v>32400</v>
      </c>
      <c r="J16" s="155">
        <f>+PEP!R15</f>
        <v>180000</v>
      </c>
      <c r="K16" s="155">
        <f>+PEP!S15</f>
        <v>0</v>
      </c>
      <c r="L16" s="155">
        <f>+PEP!T15</f>
        <v>0</v>
      </c>
      <c r="M16" s="155">
        <f>+PEP!U15</f>
        <v>0</v>
      </c>
      <c r="N16" s="155">
        <f>+PEP!V15</f>
        <v>0</v>
      </c>
      <c r="O16" s="155">
        <f>+PEP!W15</f>
        <v>0</v>
      </c>
      <c r="P16" s="155">
        <f>+PEP!X15</f>
        <v>0</v>
      </c>
      <c r="Q16" s="155">
        <f>+PEP!Y15</f>
        <v>246000</v>
      </c>
      <c r="R16" s="155">
        <f>+PEP!Z15</f>
        <v>54000</v>
      </c>
      <c r="S16" s="155">
        <f>+PEP!AA15</f>
        <v>300000</v>
      </c>
    </row>
    <row r="17" spans="1:19" ht="28.5" customHeight="1">
      <c r="A17" s="164" t="s">
        <v>25</v>
      </c>
      <c r="B17" s="155">
        <f>+PEP!J16</f>
        <v>131200</v>
      </c>
      <c r="C17" s="155">
        <f>+PEP!K16</f>
        <v>28800</v>
      </c>
      <c r="D17" s="155">
        <f>+PEP!L16</f>
        <v>160000</v>
      </c>
      <c r="E17" s="155">
        <f>+PEP!M16</f>
        <v>0</v>
      </c>
      <c r="F17" s="155">
        <f>+PEP!N16</f>
        <v>0</v>
      </c>
      <c r="G17" s="155">
        <f>+PEP!O16</f>
        <v>0</v>
      </c>
      <c r="H17" s="155">
        <f>+PEP!P16</f>
        <v>0</v>
      </c>
      <c r="I17" s="155">
        <f>+PEP!Q16</f>
        <v>0</v>
      </c>
      <c r="J17" s="155">
        <f>+PEP!R16</f>
        <v>0</v>
      </c>
      <c r="K17" s="155">
        <f>+PEP!S16</f>
        <v>0</v>
      </c>
      <c r="L17" s="155">
        <f>+PEP!T16</f>
        <v>0</v>
      </c>
      <c r="M17" s="155">
        <f>+PEP!U16</f>
        <v>0</v>
      </c>
      <c r="N17" s="155">
        <f>+PEP!V16</f>
        <v>0</v>
      </c>
      <c r="O17" s="155">
        <f>+PEP!W16</f>
        <v>0</v>
      </c>
      <c r="P17" s="155">
        <f>+PEP!X16</f>
        <v>0</v>
      </c>
      <c r="Q17" s="155">
        <f>+PEP!Y16</f>
        <v>131200</v>
      </c>
      <c r="R17" s="155">
        <f>+PEP!Z16</f>
        <v>28800</v>
      </c>
      <c r="S17" s="155">
        <f>+PEP!AA16</f>
        <v>160000</v>
      </c>
    </row>
    <row r="18" spans="1:19" ht="31.5" customHeight="1">
      <c r="A18" s="165" t="s">
        <v>26</v>
      </c>
      <c r="B18" s="155">
        <f>+PEP!J17</f>
        <v>26240</v>
      </c>
      <c r="C18" s="155">
        <f>+PEP!K17</f>
        <v>5760</v>
      </c>
      <c r="D18" s="155">
        <f>+PEP!L17</f>
        <v>32000</v>
      </c>
      <c r="E18" s="155">
        <f>+PEP!M17</f>
        <v>104960</v>
      </c>
      <c r="F18" s="155">
        <f>+PEP!N17</f>
        <v>23040</v>
      </c>
      <c r="G18" s="155">
        <f>+PEP!O17</f>
        <v>128000</v>
      </c>
      <c r="H18" s="155">
        <f>+PEP!P17</f>
        <v>0</v>
      </c>
      <c r="I18" s="155">
        <f>+PEP!Q17</f>
        <v>0</v>
      </c>
      <c r="J18" s="155">
        <f>+PEP!R17</f>
        <v>0</v>
      </c>
      <c r="K18" s="155">
        <f>+PEP!S17</f>
        <v>0</v>
      </c>
      <c r="L18" s="155">
        <f>+PEP!T17</f>
        <v>0</v>
      </c>
      <c r="M18" s="155">
        <f>+PEP!U17</f>
        <v>0</v>
      </c>
      <c r="N18" s="155">
        <f>+PEP!V17</f>
        <v>0</v>
      </c>
      <c r="O18" s="155">
        <f>+PEP!W17</f>
        <v>0</v>
      </c>
      <c r="P18" s="155">
        <f>+PEP!X17</f>
        <v>0</v>
      </c>
      <c r="Q18" s="155">
        <f>+PEP!Y17</f>
        <v>131200</v>
      </c>
      <c r="R18" s="155">
        <f>+PEP!Z17</f>
        <v>28800</v>
      </c>
      <c r="S18" s="155">
        <f>+PEP!AA17</f>
        <v>160000</v>
      </c>
    </row>
    <row r="19" spans="1:19" ht="27.6">
      <c r="A19" s="165" t="s">
        <v>27</v>
      </c>
      <c r="B19" s="155">
        <f>+PEP!J18</f>
        <v>0</v>
      </c>
      <c r="C19" s="155">
        <f>+PEP!K18</f>
        <v>0</v>
      </c>
      <c r="D19" s="155">
        <f>+PEP!L18</f>
        <v>0</v>
      </c>
      <c r="E19" s="155">
        <f>+PEP!M18</f>
        <v>1024999.9999999999</v>
      </c>
      <c r="F19" s="155">
        <f>+PEP!N18</f>
        <v>225000</v>
      </c>
      <c r="G19" s="155">
        <f>+PEP!O18</f>
        <v>1250000</v>
      </c>
      <c r="H19" s="155">
        <f>+PEP!P18</f>
        <v>1537500</v>
      </c>
      <c r="I19" s="155">
        <f>+PEP!Q18</f>
        <v>337500</v>
      </c>
      <c r="J19" s="155">
        <f>+PEP!R18</f>
        <v>1875000</v>
      </c>
      <c r="K19" s="155">
        <f>+PEP!S18</f>
        <v>1537500</v>
      </c>
      <c r="L19" s="155">
        <f>+PEP!T18</f>
        <v>337500</v>
      </c>
      <c r="M19" s="155">
        <f>+PEP!U18</f>
        <v>1875000</v>
      </c>
      <c r="N19" s="155">
        <f>+PEP!V18</f>
        <v>1024999.9999999999</v>
      </c>
      <c r="O19" s="155">
        <f>+PEP!W18</f>
        <v>225000</v>
      </c>
      <c r="P19" s="155">
        <f>+PEP!X18</f>
        <v>1250000</v>
      </c>
      <c r="Q19" s="155">
        <f>+PEP!Y18</f>
        <v>5125000</v>
      </c>
      <c r="R19" s="155">
        <f>+PEP!Z18</f>
        <v>1125000</v>
      </c>
      <c r="S19" s="160">
        <f>+PEP!AA18</f>
        <v>6250000</v>
      </c>
    </row>
    <row r="20" spans="1:19" s="215" customFormat="1" ht="16.149999999999999" thickBot="1">
      <c r="A20" s="218" t="s">
        <v>172</v>
      </c>
      <c r="B20" s="219">
        <v>0.82</v>
      </c>
      <c r="C20" s="219">
        <v>0.18</v>
      </c>
      <c r="D20" s="219">
        <f>+B20+C20</f>
        <v>1</v>
      </c>
      <c r="E20" s="219">
        <v>0.82</v>
      </c>
      <c r="F20" s="219">
        <v>0.18</v>
      </c>
      <c r="G20" s="219">
        <f>+E20+F20</f>
        <v>1</v>
      </c>
      <c r="H20" s="219">
        <v>0.82</v>
      </c>
      <c r="I20" s="219">
        <v>0.18</v>
      </c>
      <c r="J20" s="219">
        <f>+H20+I20</f>
        <v>1</v>
      </c>
      <c r="K20" s="219">
        <v>0.82</v>
      </c>
      <c r="L20" s="219">
        <v>0.18</v>
      </c>
      <c r="M20" s="219">
        <f>+K20+L20</f>
        <v>1</v>
      </c>
      <c r="N20" s="219">
        <v>0.82</v>
      </c>
      <c r="O20" s="219">
        <v>0.18</v>
      </c>
      <c r="P20" s="219">
        <f>+N20+O20</f>
        <v>1</v>
      </c>
      <c r="Q20" s="220">
        <f>+Q21/S21</f>
        <v>0.82</v>
      </c>
      <c r="R20" s="220">
        <f>+R21/S21</f>
        <v>0.18</v>
      </c>
      <c r="S20" s="221">
        <f>+S21/S21</f>
        <v>1</v>
      </c>
    </row>
    <row r="21" spans="1:19" ht="28.15" thickBot="1">
      <c r="A21" s="162" t="s">
        <v>28</v>
      </c>
      <c r="B21" s="121">
        <f>+PEP!J19</f>
        <v>0</v>
      </c>
      <c r="C21" s="121">
        <f>+PEP!K19</f>
        <v>0</v>
      </c>
      <c r="D21" s="121">
        <f>+PEP!L19</f>
        <v>0</v>
      </c>
      <c r="E21" s="121">
        <f>+PEP!M19</f>
        <v>1291500</v>
      </c>
      <c r="F21" s="121">
        <f>+PEP!N19</f>
        <v>283500</v>
      </c>
      <c r="G21" s="121">
        <f>+PEP!O19</f>
        <v>1575000</v>
      </c>
      <c r="H21" s="121">
        <f>+PEP!P19</f>
        <v>11533300</v>
      </c>
      <c r="I21" s="121">
        <f>+PEP!Q19</f>
        <v>2531700</v>
      </c>
      <c r="J21" s="121">
        <f>+PEP!R19</f>
        <v>14065000</v>
      </c>
      <c r="K21" s="121">
        <f>+PEP!S19</f>
        <v>24657400</v>
      </c>
      <c r="L21" s="121">
        <f>+PEP!T19</f>
        <v>5412600</v>
      </c>
      <c r="M21" s="121">
        <f>+PEP!U19</f>
        <v>30070000</v>
      </c>
      <c r="N21" s="121">
        <f>+PEP!V19</f>
        <v>5567800</v>
      </c>
      <c r="O21" s="121">
        <f>+PEP!W19</f>
        <v>1222200</v>
      </c>
      <c r="P21" s="121">
        <f>+PEP!X19</f>
        <v>6790000</v>
      </c>
      <c r="Q21" s="121">
        <f>+PEP!Y19</f>
        <v>43050000</v>
      </c>
      <c r="R21" s="142">
        <f>+PEP!Z19</f>
        <v>9450000</v>
      </c>
      <c r="S21" s="136">
        <f>+PEP!AA19</f>
        <v>52500000</v>
      </c>
    </row>
    <row r="22" spans="1:19">
      <c r="A22" s="163" t="s">
        <v>29</v>
      </c>
      <c r="B22" s="69">
        <f>+PEP!J20</f>
        <v>0</v>
      </c>
      <c r="C22" s="69">
        <f>+PEP!K20</f>
        <v>0</v>
      </c>
      <c r="D22" s="69">
        <f>+PEP!L20</f>
        <v>0</v>
      </c>
      <c r="E22" s="69">
        <f>+PEP!M20</f>
        <v>430500</v>
      </c>
      <c r="F22" s="69">
        <f>+PEP!N20</f>
        <v>94500</v>
      </c>
      <c r="G22" s="69">
        <f>+PEP!O20</f>
        <v>525000</v>
      </c>
      <c r="H22" s="69">
        <f>+PEP!P20</f>
        <v>0</v>
      </c>
      <c r="I22" s="69">
        <f>+PEP!Q20</f>
        <v>0</v>
      </c>
      <c r="J22" s="69">
        <f>+PEP!R20</f>
        <v>0</v>
      </c>
      <c r="K22" s="69">
        <f>+PEP!S20</f>
        <v>0</v>
      </c>
      <c r="L22" s="69">
        <f>+PEP!T20</f>
        <v>0</v>
      </c>
      <c r="M22" s="69">
        <f>+PEP!U20</f>
        <v>0</v>
      </c>
      <c r="N22" s="69">
        <f>+PEP!V20</f>
        <v>0</v>
      </c>
      <c r="O22" s="69">
        <f>+PEP!W20</f>
        <v>0</v>
      </c>
      <c r="P22" s="69">
        <f>+PEP!X20</f>
        <v>0</v>
      </c>
      <c r="Q22" s="69">
        <f>+PEP!Y20</f>
        <v>430500</v>
      </c>
      <c r="R22" s="69">
        <f>+PEP!Z20</f>
        <v>94500</v>
      </c>
      <c r="S22" s="143">
        <f>+PEP!AA20</f>
        <v>525000</v>
      </c>
    </row>
    <row r="23" spans="1:19">
      <c r="A23" s="163" t="s">
        <v>30</v>
      </c>
      <c r="B23" s="69">
        <f>+PEP!J21</f>
        <v>0</v>
      </c>
      <c r="C23" s="69">
        <f>+PEP!K21</f>
        <v>0</v>
      </c>
      <c r="D23" s="69">
        <f>+PEP!L21</f>
        <v>0</v>
      </c>
      <c r="E23" s="69">
        <f>+PEP!M21</f>
        <v>0</v>
      </c>
      <c r="F23" s="69">
        <f>+PEP!N21</f>
        <v>0</v>
      </c>
      <c r="G23" s="69">
        <f>+PEP!O21</f>
        <v>0</v>
      </c>
      <c r="H23" s="69">
        <f>+PEP!P21</f>
        <v>5658000</v>
      </c>
      <c r="I23" s="69">
        <f>+PEP!Q21</f>
        <v>1242000</v>
      </c>
      <c r="J23" s="69">
        <f>+PEP!R21</f>
        <v>6900000</v>
      </c>
      <c r="K23" s="69">
        <f>+PEP!S21</f>
        <v>7544000</v>
      </c>
      <c r="L23" s="69">
        <f>+PEP!T21</f>
        <v>1656000</v>
      </c>
      <c r="M23" s="69">
        <f>+PEP!U21</f>
        <v>9200000</v>
      </c>
      <c r="N23" s="69">
        <f>+PEP!V21</f>
        <v>0</v>
      </c>
      <c r="O23" s="69">
        <f>+PEP!W21</f>
        <v>0</v>
      </c>
      <c r="P23" s="69">
        <f>+PEP!X21</f>
        <v>0</v>
      </c>
      <c r="Q23" s="69">
        <f>+PEP!Y21</f>
        <v>13202000</v>
      </c>
      <c r="R23" s="69">
        <f>+PEP!Z21</f>
        <v>2898000</v>
      </c>
      <c r="S23" s="69">
        <f>+PEP!AA21</f>
        <v>16100000</v>
      </c>
    </row>
    <row r="24" spans="1:19">
      <c r="A24" s="163" t="s">
        <v>31</v>
      </c>
      <c r="B24" s="69">
        <f>+PEP!J22</f>
        <v>0</v>
      </c>
      <c r="C24" s="69">
        <f>+PEP!K22</f>
        <v>0</v>
      </c>
      <c r="D24" s="69">
        <f>+PEP!L22</f>
        <v>0</v>
      </c>
      <c r="E24" s="69">
        <f>+PEP!M22</f>
        <v>0</v>
      </c>
      <c r="F24" s="69">
        <f>+PEP!N22</f>
        <v>0</v>
      </c>
      <c r="G24" s="69">
        <f>+PEP!O22</f>
        <v>0</v>
      </c>
      <c r="H24" s="69">
        <f>+PEP!P22</f>
        <v>307500</v>
      </c>
      <c r="I24" s="69">
        <f>+PEP!Q22</f>
        <v>67500</v>
      </c>
      <c r="J24" s="69">
        <f>+PEP!R22</f>
        <v>375000</v>
      </c>
      <c r="K24" s="69">
        <f>+PEP!S22</f>
        <v>410000</v>
      </c>
      <c r="L24" s="69">
        <f>+PEP!T22</f>
        <v>90000</v>
      </c>
      <c r="M24" s="69">
        <f>+PEP!U22</f>
        <v>500000</v>
      </c>
      <c r="N24" s="69">
        <f>+PEP!V22</f>
        <v>0</v>
      </c>
      <c r="O24" s="69">
        <f>+PEP!W22</f>
        <v>0</v>
      </c>
      <c r="P24" s="69">
        <f>+PEP!X22</f>
        <v>0</v>
      </c>
      <c r="Q24" s="69">
        <f>+PEP!Y22</f>
        <v>717500</v>
      </c>
      <c r="R24" s="69">
        <f>+PEP!Z22</f>
        <v>157500</v>
      </c>
      <c r="S24" s="69">
        <f>+PEP!AA22</f>
        <v>875000</v>
      </c>
    </row>
    <row r="25" spans="1:19">
      <c r="A25" s="163" t="s">
        <v>32</v>
      </c>
      <c r="B25" s="69">
        <f>+PEP!J23</f>
        <v>0</v>
      </c>
      <c r="C25" s="69">
        <f>+PEP!K23</f>
        <v>0</v>
      </c>
      <c r="D25" s="69">
        <f>+PEP!L23</f>
        <v>0</v>
      </c>
      <c r="E25" s="69">
        <f>+PEP!M23</f>
        <v>0</v>
      </c>
      <c r="F25" s="69">
        <f>+PEP!N23</f>
        <v>0</v>
      </c>
      <c r="G25" s="69">
        <f>+PEP!O23</f>
        <v>0</v>
      </c>
      <c r="H25" s="69">
        <f>+PEP!P23</f>
        <v>0</v>
      </c>
      <c r="I25" s="69">
        <f>+PEP!Q23</f>
        <v>0</v>
      </c>
      <c r="J25" s="69">
        <f>+PEP!R23</f>
        <v>0</v>
      </c>
      <c r="K25" s="69">
        <f>+PEP!S23</f>
        <v>0</v>
      </c>
      <c r="L25" s="69">
        <f>+PEP!T23</f>
        <v>0</v>
      </c>
      <c r="M25" s="69">
        <f>+PEP!U23</f>
        <v>0</v>
      </c>
      <c r="N25" s="69">
        <f>+PEP!V23</f>
        <v>0</v>
      </c>
      <c r="O25" s="69">
        <f>+PEP!W23</f>
        <v>0</v>
      </c>
      <c r="P25" s="69">
        <f>+PEP!X23</f>
        <v>0</v>
      </c>
      <c r="Q25" s="69">
        <f>+PEP!Y23</f>
        <v>0</v>
      </c>
      <c r="R25" s="69">
        <f>+PEP!Z23</f>
        <v>0</v>
      </c>
      <c r="S25" s="69">
        <f>+PEP!AA23</f>
        <v>0</v>
      </c>
    </row>
    <row r="26" spans="1:19">
      <c r="A26" s="163" t="s">
        <v>33</v>
      </c>
      <c r="B26" s="69">
        <f>+PEP!J24</f>
        <v>0</v>
      </c>
      <c r="C26" s="69">
        <f>+PEP!K24</f>
        <v>0</v>
      </c>
      <c r="D26" s="69">
        <f>+PEP!L24</f>
        <v>0</v>
      </c>
      <c r="E26" s="69">
        <f>+PEP!M24</f>
        <v>861000</v>
      </c>
      <c r="F26" s="69">
        <f>+PEP!N24</f>
        <v>189000</v>
      </c>
      <c r="G26" s="69">
        <f>+PEP!O24</f>
        <v>1050000</v>
      </c>
      <c r="H26" s="69">
        <f>+PEP!P24</f>
        <v>0</v>
      </c>
      <c r="I26" s="69">
        <f>+PEP!Q24</f>
        <v>0</v>
      </c>
      <c r="J26" s="69">
        <f>+PEP!R24</f>
        <v>0</v>
      </c>
      <c r="K26" s="69">
        <f>+PEP!S24</f>
        <v>0</v>
      </c>
      <c r="L26" s="69">
        <f>+PEP!T24</f>
        <v>0</v>
      </c>
      <c r="M26" s="69">
        <f>+PEP!U24</f>
        <v>0</v>
      </c>
      <c r="N26" s="69">
        <f>+PEP!V24</f>
        <v>0</v>
      </c>
      <c r="O26" s="69">
        <f>+PEP!W24</f>
        <v>0</v>
      </c>
      <c r="P26" s="69">
        <f>+PEP!X24</f>
        <v>0</v>
      </c>
      <c r="Q26" s="69">
        <f>+PEP!Y24</f>
        <v>861000</v>
      </c>
      <c r="R26" s="69">
        <f>+PEP!Z24</f>
        <v>189000</v>
      </c>
      <c r="S26" s="69">
        <f>+PEP!AA24</f>
        <v>1050000</v>
      </c>
    </row>
    <row r="27" spans="1:19">
      <c r="A27" s="163" t="s">
        <v>34</v>
      </c>
      <c r="B27" s="69">
        <f>+PEP!J25</f>
        <v>0</v>
      </c>
      <c r="C27" s="69">
        <f>+PEP!K25</f>
        <v>0</v>
      </c>
      <c r="D27" s="69">
        <f>+PEP!L25</f>
        <v>0</v>
      </c>
      <c r="E27" s="69">
        <f>+PEP!M25</f>
        <v>0</v>
      </c>
      <c r="F27" s="69">
        <f>+PEP!N25</f>
        <v>0</v>
      </c>
      <c r="G27" s="69">
        <f>+PEP!O25</f>
        <v>0</v>
      </c>
      <c r="H27" s="69">
        <f>+PEP!P25</f>
        <v>5108600</v>
      </c>
      <c r="I27" s="69">
        <f>+PEP!Q25</f>
        <v>1121400</v>
      </c>
      <c r="J27" s="69">
        <f>+PEP!R25</f>
        <v>6230000</v>
      </c>
      <c r="K27" s="69">
        <f>+PEP!S25</f>
        <v>15325800</v>
      </c>
      <c r="L27" s="69">
        <f>+PEP!T25</f>
        <v>3364200</v>
      </c>
      <c r="M27" s="69">
        <f>+PEP!U25</f>
        <v>18690000</v>
      </c>
      <c r="N27" s="69">
        <f>+PEP!V25</f>
        <v>5108600</v>
      </c>
      <c r="O27" s="69">
        <f>+PEP!W25</f>
        <v>1121400</v>
      </c>
      <c r="P27" s="69">
        <f>+PEP!X25</f>
        <v>6230000</v>
      </c>
      <c r="Q27" s="69">
        <f>+PEP!Y25</f>
        <v>25543000</v>
      </c>
      <c r="R27" s="69">
        <f>+PEP!Z25</f>
        <v>5607000</v>
      </c>
      <c r="S27" s="69">
        <f>+PEP!AA25</f>
        <v>31150000</v>
      </c>
    </row>
    <row r="28" spans="1:19">
      <c r="A28" s="163" t="s">
        <v>35</v>
      </c>
      <c r="B28" s="69">
        <f>+PEP!J26</f>
        <v>0</v>
      </c>
      <c r="C28" s="69">
        <f>+PEP!K26</f>
        <v>0</v>
      </c>
      <c r="D28" s="69">
        <f>+PEP!L26</f>
        <v>0</v>
      </c>
      <c r="E28" s="69">
        <f>+PEP!M26</f>
        <v>0</v>
      </c>
      <c r="F28" s="69">
        <f>+PEP!N26</f>
        <v>0</v>
      </c>
      <c r="G28" s="69">
        <f>+PEP!O26</f>
        <v>0</v>
      </c>
      <c r="H28" s="69">
        <f>+PEP!P26</f>
        <v>459200</v>
      </c>
      <c r="I28" s="69">
        <f>+PEP!Q26</f>
        <v>100800</v>
      </c>
      <c r="J28" s="69">
        <f>+PEP!R26</f>
        <v>560000</v>
      </c>
      <c r="K28" s="69">
        <f>+PEP!S26</f>
        <v>1377600</v>
      </c>
      <c r="L28" s="69">
        <f>+PEP!T26</f>
        <v>302400</v>
      </c>
      <c r="M28" s="69">
        <f>+PEP!U26</f>
        <v>1680000</v>
      </c>
      <c r="N28" s="69">
        <f>+PEP!V26</f>
        <v>459200</v>
      </c>
      <c r="O28" s="69">
        <f>+PEP!W26</f>
        <v>100800</v>
      </c>
      <c r="P28" s="69">
        <f>+PEP!X26</f>
        <v>560000</v>
      </c>
      <c r="Q28" s="69">
        <f>+PEP!Y26</f>
        <v>2296000</v>
      </c>
      <c r="R28" s="69">
        <f>+PEP!Z26</f>
        <v>504000</v>
      </c>
      <c r="S28" s="69">
        <f>+PEP!AA26</f>
        <v>2800000</v>
      </c>
    </row>
    <row r="29" spans="1:19">
      <c r="A29" s="163" t="s">
        <v>36</v>
      </c>
      <c r="B29" s="69">
        <f>+PEP!J27</f>
        <v>0</v>
      </c>
      <c r="C29" s="69">
        <f>+PEP!K27</f>
        <v>0</v>
      </c>
      <c r="D29" s="69">
        <f>+PEP!L27</f>
        <v>0</v>
      </c>
      <c r="E29" s="69">
        <f>+PEP!M27</f>
        <v>0</v>
      </c>
      <c r="F29" s="69">
        <f>+PEP!N27</f>
        <v>0</v>
      </c>
      <c r="G29" s="69">
        <f>+PEP!O27</f>
        <v>0</v>
      </c>
      <c r="H29" s="69">
        <f>+PEP!P27</f>
        <v>0</v>
      </c>
      <c r="I29" s="69">
        <f>+PEP!Q27</f>
        <v>0</v>
      </c>
      <c r="J29" s="69">
        <f>+PEP!R27</f>
        <v>0</v>
      </c>
      <c r="K29" s="69">
        <f>+PEP!S27</f>
        <v>0</v>
      </c>
      <c r="L29" s="69">
        <f>+PEP!T27</f>
        <v>0</v>
      </c>
      <c r="M29" s="69">
        <f>+PEP!U27</f>
        <v>0</v>
      </c>
      <c r="N29" s="69">
        <f>+PEP!V27</f>
        <v>0</v>
      </c>
      <c r="O29" s="69">
        <f>+PEP!W27</f>
        <v>0</v>
      </c>
      <c r="P29" s="69">
        <f>+PEP!X27</f>
        <v>0</v>
      </c>
      <c r="Q29" s="69">
        <f>+PEP!Y27</f>
        <v>0</v>
      </c>
      <c r="R29" s="69">
        <f>+PEP!Z27</f>
        <v>0</v>
      </c>
      <c r="S29" s="116">
        <f>+PEP!AA27</f>
        <v>0</v>
      </c>
    </row>
    <row r="30" spans="1:19" s="215" customFormat="1" ht="16.149999999999999" thickBot="1">
      <c r="A30" s="218" t="s">
        <v>173</v>
      </c>
      <c r="B30" s="219">
        <v>0.82</v>
      </c>
      <c r="C30" s="219">
        <v>0.18</v>
      </c>
      <c r="D30" s="219">
        <f>+B30+C30</f>
        <v>1</v>
      </c>
      <c r="E30" s="219">
        <v>0.82</v>
      </c>
      <c r="F30" s="219">
        <v>0.18</v>
      </c>
      <c r="G30" s="219">
        <f>+E30+F30</f>
        <v>1</v>
      </c>
      <c r="H30" s="219">
        <v>0.82</v>
      </c>
      <c r="I30" s="219">
        <v>0.18</v>
      </c>
      <c r="J30" s="219">
        <f>+H30+I30</f>
        <v>1</v>
      </c>
      <c r="K30" s="219">
        <v>0.82</v>
      </c>
      <c r="L30" s="219">
        <v>0.18</v>
      </c>
      <c r="M30" s="219">
        <f>+K30+L30</f>
        <v>1</v>
      </c>
      <c r="N30" s="219">
        <v>0.82</v>
      </c>
      <c r="O30" s="219">
        <v>0.18</v>
      </c>
      <c r="P30" s="219">
        <f>+N30+O30</f>
        <v>1</v>
      </c>
      <c r="Q30" s="220">
        <f>+Q31/S31</f>
        <v>0.82</v>
      </c>
      <c r="R30" s="220">
        <f>+R31/S31</f>
        <v>0.17999999999999994</v>
      </c>
      <c r="S30" s="221">
        <f>+S31/S31</f>
        <v>1</v>
      </c>
    </row>
    <row r="31" spans="1:19" ht="26.25" customHeight="1" thickBot="1">
      <c r="A31" s="162" t="s">
        <v>37</v>
      </c>
      <c r="B31" s="121">
        <f>+PEP!J28</f>
        <v>0</v>
      </c>
      <c r="C31" s="121">
        <f>+PEP!K28</f>
        <v>0</v>
      </c>
      <c r="D31" s="121">
        <f>+PEP!L28</f>
        <v>0</v>
      </c>
      <c r="E31" s="121">
        <f>+PEP!M28</f>
        <v>1079725.3642077863</v>
      </c>
      <c r="F31" s="121">
        <f>+PEP!N28</f>
        <v>237012.88482609944</v>
      </c>
      <c r="G31" s="121">
        <f>+PEP!O28</f>
        <v>1316738.2490338858</v>
      </c>
      <c r="H31" s="121">
        <f>+PEP!P28</f>
        <v>22121165.056103252</v>
      </c>
      <c r="I31" s="121">
        <f>+PEP!Q28</f>
        <v>4855865.5001202263</v>
      </c>
      <c r="J31" s="121">
        <f>+PEP!R28</f>
        <v>26977030.556223482</v>
      </c>
      <c r="K31" s="121">
        <f>+PEP!S28</f>
        <v>16436185.16586829</v>
      </c>
      <c r="L31" s="121">
        <f>+PEP!T28</f>
        <v>3607943.0851905998</v>
      </c>
      <c r="M31" s="121">
        <f>+PEP!U28</f>
        <v>20044128.251058891</v>
      </c>
      <c r="N31" s="121">
        <f>+PEP!V28</f>
        <v>23851985.637580574</v>
      </c>
      <c r="O31" s="121">
        <f>+PEP!W28</f>
        <v>5235801.7253225651</v>
      </c>
      <c r="P31" s="121">
        <f>+PEP!X28</f>
        <v>29087787.36290314</v>
      </c>
      <c r="Q31" s="121">
        <f>+PEP!Y28</f>
        <v>63489061.223759905</v>
      </c>
      <c r="R31" s="142">
        <f>+PEP!Z28</f>
        <v>13936623.195459489</v>
      </c>
      <c r="S31" s="136">
        <f>+PEP!AA28</f>
        <v>77425684.419219404</v>
      </c>
    </row>
    <row r="32" spans="1:19">
      <c r="A32" s="166" t="s">
        <v>38</v>
      </c>
      <c r="B32" s="115">
        <f>+PEP!J29</f>
        <v>0</v>
      </c>
      <c r="C32" s="115">
        <f>+PEP!K29</f>
        <v>0</v>
      </c>
      <c r="D32" s="115">
        <f>+PEP!L29</f>
        <v>0</v>
      </c>
      <c r="E32" s="115">
        <f>+PEP!M29</f>
        <v>1079725.3642077863</v>
      </c>
      <c r="F32" s="115">
        <f>+PEP!N29</f>
        <v>237012.88482609944</v>
      </c>
      <c r="G32" s="115">
        <f>+PEP!O29</f>
        <v>1316738.2490338858</v>
      </c>
      <c r="H32" s="115">
        <f>+PEP!P29</f>
        <v>0</v>
      </c>
      <c r="I32" s="115">
        <f>+PEP!Q29</f>
        <v>0</v>
      </c>
      <c r="J32" s="115">
        <f>+PEP!R29</f>
        <v>0</v>
      </c>
      <c r="K32" s="115">
        <f>+PEP!S29</f>
        <v>0</v>
      </c>
      <c r="L32" s="115">
        <f>+PEP!T29</f>
        <v>0</v>
      </c>
      <c r="M32" s="115">
        <f>+PEP!U29</f>
        <v>0</v>
      </c>
      <c r="N32" s="115">
        <f>+PEP!V29</f>
        <v>0</v>
      </c>
      <c r="O32" s="115">
        <f>+PEP!W29</f>
        <v>0</v>
      </c>
      <c r="P32" s="115">
        <f>+PEP!X29</f>
        <v>0</v>
      </c>
      <c r="Q32" s="115">
        <f>+PEP!Y29</f>
        <v>1079725.3642077863</v>
      </c>
      <c r="R32" s="115">
        <f>+PEP!Z29</f>
        <v>237012.88482609944</v>
      </c>
      <c r="S32" s="157">
        <f>+PEP!AA29</f>
        <v>1316738.2490338858</v>
      </c>
    </row>
    <row r="33" spans="1:19">
      <c r="A33" s="166" t="s">
        <v>39</v>
      </c>
      <c r="B33" s="115">
        <f>+PEP!J30</f>
        <v>0</v>
      </c>
      <c r="C33" s="115">
        <f>+PEP!K30</f>
        <v>0</v>
      </c>
      <c r="D33" s="115">
        <f>+PEP!L30</f>
        <v>0</v>
      </c>
      <c r="E33" s="115">
        <f>+PEP!M30</f>
        <v>0</v>
      </c>
      <c r="F33" s="115">
        <f>+PEP!N30</f>
        <v>0</v>
      </c>
      <c r="G33" s="115">
        <f>+PEP!O30</f>
        <v>0</v>
      </c>
      <c r="H33" s="115">
        <f>+PEP!P30</f>
        <v>3698414.59114803</v>
      </c>
      <c r="I33" s="115">
        <f>+PEP!Q30</f>
        <v>811847.10537395789</v>
      </c>
      <c r="J33" s="115">
        <f>+PEP!R30</f>
        <v>4510261.6965219881</v>
      </c>
      <c r="K33" s="115">
        <f>+PEP!S30</f>
        <v>9137230.6778700761</v>
      </c>
      <c r="L33" s="115">
        <f>+PEP!T30</f>
        <v>2005733.5634348947</v>
      </c>
      <c r="M33" s="115">
        <f>+PEP!U30</f>
        <v>11142964.241304971</v>
      </c>
      <c r="N33" s="115">
        <f>+PEP!V30</f>
        <v>5511353.2867220454</v>
      </c>
      <c r="O33" s="115">
        <f>+PEP!W30</f>
        <v>1209809.2580609368</v>
      </c>
      <c r="P33" s="115">
        <f>+PEP!X30</f>
        <v>6721162.5447829822</v>
      </c>
      <c r="Q33" s="115">
        <f>+PEP!Y30</f>
        <v>18346998.555740152</v>
      </c>
      <c r="R33" s="115">
        <f>+PEP!Z30</f>
        <v>4027389.9268697891</v>
      </c>
      <c r="S33" s="115">
        <f>+PEP!AA30</f>
        <v>22374388.482609943</v>
      </c>
    </row>
    <row r="34" spans="1:19" ht="27.6">
      <c r="A34" s="166" t="s">
        <v>40</v>
      </c>
      <c r="B34" s="115">
        <f>+PEP!J31</f>
        <v>0</v>
      </c>
      <c r="C34" s="115">
        <f>+PEP!K31</f>
        <v>0</v>
      </c>
      <c r="D34" s="115">
        <f>+PEP!L31</f>
        <v>0</v>
      </c>
      <c r="E34" s="115">
        <f>+PEP!M31</f>
        <v>0</v>
      </c>
      <c r="F34" s="115">
        <f>+PEP!N31</f>
        <v>0</v>
      </c>
      <c r="G34" s="115">
        <f>+PEP!O31</f>
        <v>0</v>
      </c>
      <c r="H34" s="115">
        <f>+PEP!P31</f>
        <v>0</v>
      </c>
      <c r="I34" s="115">
        <f>+PEP!Q31</f>
        <v>0</v>
      </c>
      <c r="J34" s="115" t="e">
        <f>+PEP!#REF!</f>
        <v>#REF!</v>
      </c>
      <c r="K34" s="115">
        <f>+PEP!S31</f>
        <v>262400</v>
      </c>
      <c r="L34" s="115">
        <f>+PEP!T31</f>
        <v>57600</v>
      </c>
      <c r="M34" s="115">
        <f>+PEP!U31</f>
        <v>320000</v>
      </c>
      <c r="N34" s="115">
        <f>+PEP!V31</f>
        <v>0</v>
      </c>
      <c r="O34" s="115">
        <f>+PEP!W31</f>
        <v>0</v>
      </c>
      <c r="P34" s="115">
        <f>+PEP!R31</f>
        <v>0</v>
      </c>
      <c r="Q34" s="115">
        <f>+PEP!Y31</f>
        <v>262400</v>
      </c>
      <c r="R34" s="115">
        <f>+PEP!Z31</f>
        <v>57600</v>
      </c>
      <c r="S34" s="115">
        <f>+PEP!AA31</f>
        <v>320000</v>
      </c>
    </row>
    <row r="35" spans="1:19" ht="27.6">
      <c r="A35" s="167" t="s">
        <v>41</v>
      </c>
      <c r="B35" s="115">
        <f>+PEP!J32</f>
        <v>0</v>
      </c>
      <c r="C35" s="115">
        <f>+PEP!K32</f>
        <v>0</v>
      </c>
      <c r="D35" s="115">
        <f>+PEP!L32</f>
        <v>0</v>
      </c>
      <c r="E35" s="115">
        <f>+PEP!M32</f>
        <v>0</v>
      </c>
      <c r="F35" s="115">
        <f>+PEP!N32</f>
        <v>0</v>
      </c>
      <c r="G35" s="115">
        <f>+PEP!O32</f>
        <v>0</v>
      </c>
      <c r="H35" s="115">
        <f>+PEP!P32</f>
        <v>0</v>
      </c>
      <c r="I35" s="115">
        <f>+PEP!Q32</f>
        <v>0</v>
      </c>
      <c r="J35" s="115">
        <f>+PEP!R32</f>
        <v>0</v>
      </c>
      <c r="K35" s="115">
        <f>+PEP!S32</f>
        <v>131884.42713278576</v>
      </c>
      <c r="L35" s="115">
        <f>+PEP!T32</f>
        <v>28950.240102318829</v>
      </c>
      <c r="M35" s="115">
        <f>+PEP!U32</f>
        <v>160834.6672351046</v>
      </c>
      <c r="N35" s="115">
        <f>+PEP!V32</f>
        <v>527537.70853114303</v>
      </c>
      <c r="O35" s="115">
        <f>+PEP!W32</f>
        <v>115800.96040927531</v>
      </c>
      <c r="P35" s="115">
        <f>+PEP!X32</f>
        <v>643338.6689404184</v>
      </c>
      <c r="Q35" s="115">
        <f>+PEP!Y32</f>
        <v>659422.13566392881</v>
      </c>
      <c r="R35" s="115">
        <f>+PEP!Z32</f>
        <v>144751.20051159413</v>
      </c>
      <c r="S35" s="115">
        <f>+PEP!AA32</f>
        <v>804173.336175523</v>
      </c>
    </row>
    <row r="36" spans="1:19" ht="27.6">
      <c r="A36" s="166" t="s">
        <v>42</v>
      </c>
      <c r="B36" s="115">
        <f>+PEP!J33</f>
        <v>0</v>
      </c>
      <c r="C36" s="115">
        <f>+PEP!K33</f>
        <v>0</v>
      </c>
      <c r="D36" s="115">
        <f>+PEP!L33</f>
        <v>0</v>
      </c>
      <c r="E36" s="115">
        <f>+PEP!M33</f>
        <v>0</v>
      </c>
      <c r="F36" s="115">
        <f>+PEP!N33</f>
        <v>0</v>
      </c>
      <c r="G36" s="115">
        <f>+PEP!O33</f>
        <v>0</v>
      </c>
      <c r="H36" s="115">
        <f>+PEP!P33</f>
        <v>0</v>
      </c>
      <c r="I36" s="115">
        <f>+PEP!Q33</f>
        <v>0</v>
      </c>
      <c r="J36" s="115">
        <f>+PEP!R33</f>
        <v>0</v>
      </c>
      <c r="K36" s="115">
        <f>+PEP!S33</f>
        <v>2226226.9805569802</v>
      </c>
      <c r="L36" s="115">
        <f>+PEP!T33</f>
        <v>488683.97134177614</v>
      </c>
      <c r="M36" s="115">
        <f>+PEP!U33</f>
        <v>2714910.9518987564</v>
      </c>
      <c r="N36" s="115">
        <f>+PEP!V33</f>
        <v>8904907.922227921</v>
      </c>
      <c r="O36" s="115">
        <f>+PEP!W33</f>
        <v>1954735.8853671046</v>
      </c>
      <c r="P36" s="115">
        <f>+PEP!X33</f>
        <v>10859643.807595026</v>
      </c>
      <c r="Q36" s="115">
        <f>+PEP!Y33</f>
        <v>11131134.902784901</v>
      </c>
      <c r="R36" s="115">
        <f>+PEP!Z33</f>
        <v>2443419.8567088805</v>
      </c>
      <c r="S36" s="115">
        <f>+PEP!AA33</f>
        <v>13574554.759493783</v>
      </c>
    </row>
    <row r="37" spans="1:19" ht="27.6">
      <c r="A37" s="166" t="s">
        <v>43</v>
      </c>
      <c r="B37" s="115">
        <f>+PEP!J34</f>
        <v>0</v>
      </c>
      <c r="C37" s="115">
        <f>+PEP!K34</f>
        <v>0</v>
      </c>
      <c r="D37" s="115">
        <f>+PEP!L34</f>
        <v>0</v>
      </c>
      <c r="E37" s="115">
        <f>+PEP!M34</f>
        <v>0</v>
      </c>
      <c r="F37" s="115">
        <f>+PEP!N34</f>
        <v>0</v>
      </c>
      <c r="G37" s="115">
        <f>+PEP!O34</f>
        <v>0</v>
      </c>
      <c r="H37" s="115">
        <f>+PEP!P34</f>
        <v>0</v>
      </c>
      <c r="I37" s="115">
        <f>+PEP!Q34</f>
        <v>0</v>
      </c>
      <c r="J37" s="115">
        <f>+PEP!R34</f>
        <v>0</v>
      </c>
      <c r="K37" s="115">
        <f>+PEP!S34</f>
        <v>437120.49983243988</v>
      </c>
      <c r="L37" s="115">
        <f>+PEP!T34</f>
        <v>95953.280451023398</v>
      </c>
      <c r="M37" s="115">
        <f>+PEP!U34</f>
        <v>533073.7802834633</v>
      </c>
      <c r="N37" s="115">
        <f>+PEP!V34</f>
        <v>1748481.9993297595</v>
      </c>
      <c r="O37" s="115">
        <f>+PEP!W34</f>
        <v>383813.12180409359</v>
      </c>
      <c r="P37" s="115">
        <f>+PEP!X34</f>
        <v>2132295.1211338532</v>
      </c>
      <c r="Q37" s="115">
        <f>+PEP!Y34</f>
        <v>2185602.4991621994</v>
      </c>
      <c r="R37" s="115">
        <f>+PEP!Z34</f>
        <v>479766.40225511696</v>
      </c>
      <c r="S37" s="115">
        <f>+PEP!AA34</f>
        <v>2665368.9014173164</v>
      </c>
    </row>
    <row r="38" spans="1:19" ht="27.6">
      <c r="A38" s="167" t="s">
        <v>44</v>
      </c>
      <c r="B38" s="115">
        <f>+PEP!J35</f>
        <v>0</v>
      </c>
      <c r="C38" s="115">
        <f>+PEP!K35</f>
        <v>0</v>
      </c>
      <c r="D38" s="115">
        <f>+PEP!L35</f>
        <v>0</v>
      </c>
      <c r="E38" s="115">
        <f>+PEP!M35</f>
        <v>0</v>
      </c>
      <c r="F38" s="115">
        <f>+PEP!N35</f>
        <v>0</v>
      </c>
      <c r="G38" s="115">
        <f>+PEP!O35</f>
        <v>0</v>
      </c>
      <c r="H38" s="115">
        <f>+PEP!P35</f>
        <v>0</v>
      </c>
      <c r="I38" s="115">
        <f>+PEP!Q35</f>
        <v>0</v>
      </c>
      <c r="J38" s="115">
        <f>+PEP!R35</f>
        <v>0</v>
      </c>
      <c r="K38" s="115">
        <f>+PEP!S35</f>
        <v>49470.050571605992</v>
      </c>
      <c r="L38" s="115">
        <f>+PEP!T35</f>
        <v>10859.27939376717</v>
      </c>
      <c r="M38" s="115">
        <f>+PEP!U35</f>
        <v>60329.329965373166</v>
      </c>
      <c r="N38" s="115">
        <f>+PEP!V35</f>
        <v>197880.20228642397</v>
      </c>
      <c r="O38" s="115">
        <f>+PEP!W35</f>
        <v>43437.117575068682</v>
      </c>
      <c r="P38" s="115">
        <f>+PEP!X35</f>
        <v>241317.31986149267</v>
      </c>
      <c r="Q38" s="115">
        <f>+PEP!Y35</f>
        <v>247350.25285802997</v>
      </c>
      <c r="R38" s="115">
        <f>+PEP!Z35</f>
        <v>54296.396968835848</v>
      </c>
      <c r="S38" s="115">
        <f>+PEP!AA35</f>
        <v>301646.64982686582</v>
      </c>
    </row>
    <row r="39" spans="1:19" ht="27.6">
      <c r="A39" s="167" t="s">
        <v>45</v>
      </c>
      <c r="B39" s="115">
        <f>+PEP!J36</f>
        <v>0</v>
      </c>
      <c r="C39" s="115">
        <f>+PEP!K36</f>
        <v>0</v>
      </c>
      <c r="D39" s="115">
        <f>+PEP!L36</f>
        <v>0</v>
      </c>
      <c r="E39" s="115">
        <f>+PEP!M36</f>
        <v>0</v>
      </c>
      <c r="F39" s="115">
        <f>+PEP!N36</f>
        <v>0</v>
      </c>
      <c r="G39" s="115">
        <f>+PEP!O36</f>
        <v>0</v>
      </c>
      <c r="H39" s="115">
        <f>+PEP!P36</f>
        <v>0</v>
      </c>
      <c r="I39" s="115">
        <f>+PEP!Q36</f>
        <v>0</v>
      </c>
      <c r="J39" s="115">
        <f>+PEP!R36</f>
        <v>0</v>
      </c>
      <c r="K39" s="115">
        <f>+PEP!S36</f>
        <v>236642.55023276046</v>
      </c>
      <c r="L39" s="115">
        <f>+PEP!T36</f>
        <v>51945.925660849854</v>
      </c>
      <c r="M39" s="115">
        <f>+PEP!U36</f>
        <v>288588.47589361033</v>
      </c>
      <c r="N39" s="115">
        <f>+PEP!V36</f>
        <v>946570.20093104185</v>
      </c>
      <c r="O39" s="115">
        <f>+PEP!W36</f>
        <v>207783.70264339942</v>
      </c>
      <c r="P39" s="115">
        <f>+PEP!X36</f>
        <v>1154353.9035744413</v>
      </c>
      <c r="Q39" s="115">
        <f>+PEP!Y36</f>
        <v>1183212.7511638023</v>
      </c>
      <c r="R39" s="115">
        <f>+PEP!Z36</f>
        <v>259729.62830424926</v>
      </c>
      <c r="S39" s="115">
        <f>+PEP!AA36</f>
        <v>1442942.3794680517</v>
      </c>
    </row>
    <row r="40" spans="1:19" ht="27.6">
      <c r="A40" s="166" t="s">
        <v>46</v>
      </c>
      <c r="B40" s="115">
        <f>+PEP!J37</f>
        <v>0</v>
      </c>
      <c r="C40" s="115">
        <f>+PEP!K37</f>
        <v>0</v>
      </c>
      <c r="D40" s="115">
        <f>+PEP!L37</f>
        <v>0</v>
      </c>
      <c r="E40" s="115">
        <f>+PEP!M37</f>
        <v>0</v>
      </c>
      <c r="F40" s="115">
        <f>+PEP!N37</f>
        <v>0</v>
      </c>
      <c r="G40" s="115">
        <f>+PEP!O37</f>
        <v>0</v>
      </c>
      <c r="H40" s="115">
        <f>+PEP!P37</f>
        <v>0</v>
      </c>
      <c r="I40" s="115">
        <f>+PEP!Q37</f>
        <v>0</v>
      </c>
      <c r="J40" s="115">
        <f>+PEP!R37</f>
        <v>0</v>
      </c>
      <c r="K40" s="115">
        <f>+PEP!S37</f>
        <v>432140</v>
      </c>
      <c r="L40" s="115">
        <f>+PEP!T37</f>
        <v>94860</v>
      </c>
      <c r="M40" s="115">
        <f>+PEP!U37</f>
        <v>527000</v>
      </c>
      <c r="N40" s="115">
        <f>+PEP!V37</f>
        <v>0</v>
      </c>
      <c r="O40" s="115">
        <f>+PEP!W37</f>
        <v>0</v>
      </c>
      <c r="P40" s="115">
        <f>+PEP!X37</f>
        <v>0</v>
      </c>
      <c r="Q40" s="115">
        <f>+PEP!Y37</f>
        <v>432140</v>
      </c>
      <c r="R40" s="115">
        <f>+PEP!Z37</f>
        <v>94860</v>
      </c>
      <c r="S40" s="115">
        <f>+PEP!AA37</f>
        <v>527000</v>
      </c>
    </row>
    <row r="41" spans="1:19">
      <c r="A41" s="166" t="s">
        <v>47</v>
      </c>
      <c r="B41" s="115">
        <f>+PEP!J38</f>
        <v>0</v>
      </c>
      <c r="C41" s="115">
        <f>+PEP!K38</f>
        <v>0</v>
      </c>
      <c r="D41" s="115">
        <f>+PEP!L38</f>
        <v>0</v>
      </c>
      <c r="E41" s="115">
        <f>+PEP!M38</f>
        <v>0</v>
      </c>
      <c r="F41" s="115">
        <f>+PEP!N38</f>
        <v>0</v>
      </c>
      <c r="G41" s="115">
        <f>+PEP!O38</f>
        <v>0</v>
      </c>
      <c r="H41" s="115">
        <f>+PEP!P38</f>
        <v>0</v>
      </c>
      <c r="I41" s="115">
        <f>+PEP!Q38</f>
        <v>0</v>
      </c>
      <c r="J41" s="115">
        <f>+PEP!R38</f>
        <v>0</v>
      </c>
      <c r="K41" s="115">
        <f>+PEP!S38</f>
        <v>52480</v>
      </c>
      <c r="L41" s="115">
        <f>+PEP!T38</f>
        <v>11520</v>
      </c>
      <c r="M41" s="115">
        <f>+PEP!U38</f>
        <v>64000</v>
      </c>
      <c r="N41" s="115">
        <f>+PEP!V38</f>
        <v>655180</v>
      </c>
      <c r="O41" s="115">
        <f>+PEP!W38</f>
        <v>143820</v>
      </c>
      <c r="P41" s="115">
        <f>+PEP!X38</f>
        <v>799000</v>
      </c>
      <c r="Q41" s="115">
        <f>+PEP!Y38</f>
        <v>707660</v>
      </c>
      <c r="R41" s="115">
        <f>+PEP!Z38</f>
        <v>155340</v>
      </c>
      <c r="S41" s="115">
        <f>+PEP!AA38</f>
        <v>863000</v>
      </c>
    </row>
    <row r="42" spans="1:19" ht="26.25" customHeight="1">
      <c r="A42" s="166" t="s">
        <v>48</v>
      </c>
      <c r="B42" s="115">
        <f>+PEP!J39</f>
        <v>0</v>
      </c>
      <c r="C42" s="115">
        <f>+PEP!K39</f>
        <v>0</v>
      </c>
      <c r="D42" s="115">
        <f>+PEP!L39</f>
        <v>0</v>
      </c>
      <c r="E42" s="115">
        <f>+PEP!M39</f>
        <v>0</v>
      </c>
      <c r="F42" s="115">
        <f>+PEP!N39</f>
        <v>0</v>
      </c>
      <c r="G42" s="115">
        <f>+PEP!O39</f>
        <v>0</v>
      </c>
      <c r="H42" s="115">
        <f>+PEP!P39</f>
        <v>82000</v>
      </c>
      <c r="I42" s="115">
        <f>+PEP!Q39</f>
        <v>18000</v>
      </c>
      <c r="J42" s="115">
        <f>+PEP!R39</f>
        <v>100000</v>
      </c>
      <c r="K42" s="115">
        <f>+PEP!S39</f>
        <v>1681000</v>
      </c>
      <c r="L42" s="115">
        <f>+PEP!T39</f>
        <v>369000</v>
      </c>
      <c r="M42" s="115">
        <f>+PEP!U39</f>
        <v>2050000</v>
      </c>
      <c r="N42" s="115">
        <f>+PEP!V39</f>
        <v>1271000</v>
      </c>
      <c r="O42" s="115">
        <f>+PEP!W39</f>
        <v>279000</v>
      </c>
      <c r="P42" s="115">
        <f>+PEP!X39</f>
        <v>1550000</v>
      </c>
      <c r="Q42" s="115">
        <f>+PEP!Y39</f>
        <v>3034000</v>
      </c>
      <c r="R42" s="115">
        <f>+PEP!Z39</f>
        <v>666000</v>
      </c>
      <c r="S42" s="115">
        <f>+PEP!AA39</f>
        <v>3700000</v>
      </c>
    </row>
    <row r="43" spans="1:19">
      <c r="A43" s="166" t="s">
        <v>49</v>
      </c>
      <c r="B43" s="115">
        <f>+PEP!J40</f>
        <v>0</v>
      </c>
      <c r="C43" s="115">
        <f>+PEP!K40</f>
        <v>0</v>
      </c>
      <c r="D43" s="115">
        <f>+PEP!L40</f>
        <v>0</v>
      </c>
      <c r="E43" s="115">
        <f>+PEP!M40</f>
        <v>0</v>
      </c>
      <c r="F43" s="115">
        <f>+PEP!N40</f>
        <v>0</v>
      </c>
      <c r="G43" s="115">
        <f>+PEP!O40</f>
        <v>0</v>
      </c>
      <c r="H43" s="115">
        <f>+PEP!P40</f>
        <v>0</v>
      </c>
      <c r="I43" s="115">
        <f>+PEP!Q40</f>
        <v>0</v>
      </c>
      <c r="J43" s="115">
        <f>+PEP!R40</f>
        <v>0</v>
      </c>
      <c r="K43" s="115">
        <f>+PEP!S40</f>
        <v>0</v>
      </c>
      <c r="L43" s="115">
        <f>+PEP!T40</f>
        <v>0</v>
      </c>
      <c r="M43" s="115">
        <f>+PEP!U40</f>
        <v>0</v>
      </c>
      <c r="N43" s="115">
        <f>+PEP!V40</f>
        <v>0</v>
      </c>
      <c r="O43" s="115">
        <f>+PEP!W40</f>
        <v>0</v>
      </c>
      <c r="P43" s="115">
        <f>+PEP!X40</f>
        <v>0</v>
      </c>
      <c r="Q43" s="115">
        <f>+PEP!Y40</f>
        <v>0</v>
      </c>
      <c r="R43" s="115">
        <f>+PEP!Z40</f>
        <v>0</v>
      </c>
      <c r="S43" s="115">
        <f>+PEP!AA40</f>
        <v>0</v>
      </c>
    </row>
    <row r="44" spans="1:19">
      <c r="A44" s="166" t="s">
        <v>50</v>
      </c>
      <c r="B44" s="115">
        <f>+PEP!J41</f>
        <v>0</v>
      </c>
      <c r="C44" s="115">
        <f>+PEP!K41</f>
        <v>0</v>
      </c>
      <c r="D44" s="115">
        <f>+PEP!L41</f>
        <v>0</v>
      </c>
      <c r="E44" s="115">
        <f>+PEP!M41</f>
        <v>0</v>
      </c>
      <c r="F44" s="115">
        <f>+PEP!N41</f>
        <v>0</v>
      </c>
      <c r="G44" s="115">
        <f>+PEP!O41</f>
        <v>0</v>
      </c>
      <c r="H44" s="115">
        <f>+PEP!P41</f>
        <v>0</v>
      </c>
      <c r="I44" s="115">
        <f>+PEP!Q41</f>
        <v>0</v>
      </c>
      <c r="J44" s="115">
        <f>+PEP!R41</f>
        <v>0</v>
      </c>
      <c r="K44" s="115">
        <f>+PEP!S41</f>
        <v>0</v>
      </c>
      <c r="L44" s="115">
        <f>+PEP!T41</f>
        <v>0</v>
      </c>
      <c r="M44" s="115">
        <f>+PEP!U41</f>
        <v>0</v>
      </c>
      <c r="N44" s="115">
        <f>+PEP!V41</f>
        <v>0</v>
      </c>
      <c r="O44" s="115">
        <f>+PEP!W41</f>
        <v>0</v>
      </c>
      <c r="P44" s="115">
        <f>+PEP!X41</f>
        <v>0</v>
      </c>
      <c r="Q44" s="115">
        <f>+PEP!Y41</f>
        <v>0</v>
      </c>
      <c r="R44" s="115">
        <f>+PEP!Z41</f>
        <v>0</v>
      </c>
      <c r="S44" s="115">
        <f>+PEP!AA41</f>
        <v>0</v>
      </c>
    </row>
    <row r="45" spans="1:19">
      <c r="A45" s="166" t="s">
        <v>51</v>
      </c>
      <c r="B45" s="115">
        <f>+PEP!J42</f>
        <v>0</v>
      </c>
      <c r="C45" s="115">
        <f>+PEP!K42</f>
        <v>0</v>
      </c>
      <c r="D45" s="115">
        <f>+PEP!L42</f>
        <v>0</v>
      </c>
      <c r="E45" s="115">
        <f>+PEP!M42</f>
        <v>0</v>
      </c>
      <c r="F45" s="115">
        <f>+PEP!N42</f>
        <v>0</v>
      </c>
      <c r="G45" s="115">
        <f>+PEP!O42</f>
        <v>0</v>
      </c>
      <c r="H45" s="115">
        <f>+PEP!P42</f>
        <v>0</v>
      </c>
      <c r="I45" s="115">
        <f>+PEP!Q42</f>
        <v>0</v>
      </c>
      <c r="J45" s="115">
        <f>+PEP!R42</f>
        <v>0</v>
      </c>
      <c r="K45" s="115">
        <f>+PEP!S42</f>
        <v>0</v>
      </c>
      <c r="L45" s="115">
        <f>+PEP!T42</f>
        <v>0</v>
      </c>
      <c r="M45" s="115">
        <f>+PEP!U42</f>
        <v>0</v>
      </c>
      <c r="N45" s="115">
        <f>+PEP!V42</f>
        <v>0</v>
      </c>
      <c r="O45" s="115">
        <f>+PEP!W42</f>
        <v>0</v>
      </c>
      <c r="P45" s="115">
        <f>+PEP!X42</f>
        <v>0</v>
      </c>
      <c r="Q45" s="115">
        <f>+PEP!Y42</f>
        <v>0</v>
      </c>
      <c r="R45" s="115">
        <f>+PEP!Z42</f>
        <v>0</v>
      </c>
      <c r="S45" s="115">
        <f>+PEP!AA42</f>
        <v>0</v>
      </c>
    </row>
    <row r="46" spans="1:19">
      <c r="A46" s="166" t="s">
        <v>52</v>
      </c>
      <c r="B46" s="115">
        <f>+PEP!J43</f>
        <v>0</v>
      </c>
      <c r="C46" s="115">
        <f>+PEP!K43</f>
        <v>0</v>
      </c>
      <c r="D46" s="115">
        <f>+PEP!L43</f>
        <v>0</v>
      </c>
      <c r="E46" s="115">
        <f>+PEP!M43</f>
        <v>0</v>
      </c>
      <c r="F46" s="115">
        <f>+PEP!N43</f>
        <v>0</v>
      </c>
      <c r="G46" s="115">
        <f>+PEP!O43</f>
        <v>0</v>
      </c>
      <c r="H46" s="115">
        <f>+PEP!P43</f>
        <v>18340750.464955222</v>
      </c>
      <c r="I46" s="115">
        <f>+PEP!Q43</f>
        <v>4026018.3947462682</v>
      </c>
      <c r="J46" s="115">
        <f>+PEP!R43</f>
        <v>22366768.859701492</v>
      </c>
      <c r="K46" s="115">
        <f>+PEP!S43</f>
        <v>1789589.9796716415</v>
      </c>
      <c r="L46" s="115">
        <f>+PEP!T43</f>
        <v>392836.82480597007</v>
      </c>
      <c r="M46" s="115">
        <f>+PEP!U43</f>
        <v>2182426.8044776116</v>
      </c>
      <c r="N46" s="115">
        <f>+PEP!V43</f>
        <v>4089074.3175522382</v>
      </c>
      <c r="O46" s="115">
        <f>+PEP!W43</f>
        <v>897601.67946268641</v>
      </c>
      <c r="P46" s="115">
        <f>+PEP!X43</f>
        <v>4986675.9970149249</v>
      </c>
      <c r="Q46" s="115">
        <f>+PEP!Y43</f>
        <v>24219414.762179103</v>
      </c>
      <c r="R46" s="115">
        <f>+PEP!Z43</f>
        <v>5316456.8990149247</v>
      </c>
      <c r="S46" s="124">
        <f>+PEP!AA43</f>
        <v>29535871.661194026</v>
      </c>
    </row>
    <row r="47" spans="1:19" s="215" customFormat="1" ht="16.149999999999999" thickBot="1">
      <c r="A47" s="222" t="s">
        <v>174</v>
      </c>
      <c r="B47" s="220">
        <v>0</v>
      </c>
      <c r="C47" s="220">
        <v>1</v>
      </c>
      <c r="D47" s="220">
        <f>+B47+C47</f>
        <v>1</v>
      </c>
      <c r="E47" s="220">
        <v>0</v>
      </c>
      <c r="F47" s="220">
        <v>1</v>
      </c>
      <c r="G47" s="219">
        <f>+E47+F47</f>
        <v>1</v>
      </c>
      <c r="H47" s="219">
        <v>0</v>
      </c>
      <c r="I47" s="219">
        <v>1</v>
      </c>
      <c r="J47" s="219">
        <f>+H47+I47</f>
        <v>1</v>
      </c>
      <c r="K47" s="219">
        <v>0</v>
      </c>
      <c r="L47" s="219">
        <v>1</v>
      </c>
      <c r="M47" s="219">
        <f>+K47+L47</f>
        <v>1</v>
      </c>
      <c r="N47" s="219">
        <v>0</v>
      </c>
      <c r="O47" s="219">
        <v>1</v>
      </c>
      <c r="P47" s="219">
        <f>+N47+O47</f>
        <v>1</v>
      </c>
      <c r="Q47" s="220">
        <f>+Q48/S48</f>
        <v>0</v>
      </c>
      <c r="R47" s="220">
        <f>+R48/S48</f>
        <v>1</v>
      </c>
      <c r="S47" s="221">
        <f>+S48/S48</f>
        <v>1</v>
      </c>
    </row>
    <row r="48" spans="1:19" s="123" customFormat="1" ht="20.25" customHeight="1" thickBot="1">
      <c r="A48" s="119" t="s">
        <v>53</v>
      </c>
      <c r="B48" s="146">
        <f>+PEP!J44</f>
        <v>0</v>
      </c>
      <c r="C48" s="146">
        <f>+PEP!K44</f>
        <v>1562298.5074626864</v>
      </c>
      <c r="D48" s="146">
        <f>+PEP!L44</f>
        <v>1562298.5074626864</v>
      </c>
      <c r="E48" s="146">
        <f>+PEP!M44</f>
        <v>0</v>
      </c>
      <c r="F48" s="146">
        <f>+PEP!N44</f>
        <v>1397014.9253731342</v>
      </c>
      <c r="G48" s="146">
        <f>+PEP!O44</f>
        <v>1397014.9253731342</v>
      </c>
      <c r="H48" s="146">
        <f>+PEP!P44</f>
        <v>0</v>
      </c>
      <c r="I48" s="146">
        <f>+PEP!Q44</f>
        <v>1397014.9253731342</v>
      </c>
      <c r="J48" s="146">
        <f>+PEP!R44</f>
        <v>1397014.9253731342</v>
      </c>
      <c r="K48" s="146">
        <f>+PEP!S44</f>
        <v>0</v>
      </c>
      <c r="L48" s="146">
        <f>+PEP!T44</f>
        <v>1397014.9253731342</v>
      </c>
      <c r="M48" s="146">
        <f>+PEP!U44</f>
        <v>1397014.9253731342</v>
      </c>
      <c r="N48" s="146">
        <f>+PEP!V44</f>
        <v>0</v>
      </c>
      <c r="O48" s="146">
        <f>+PEP!W44</f>
        <v>1397014.9253731342</v>
      </c>
      <c r="P48" s="146">
        <f>+PEP!X44</f>
        <v>1397014.9253731342</v>
      </c>
      <c r="Q48" s="146">
        <f>+PEP!Y44</f>
        <v>0</v>
      </c>
      <c r="R48" s="147">
        <f>+PEP!Z44</f>
        <v>7150358.2089552246</v>
      </c>
      <c r="S48" s="148">
        <f>+PEP!AA44</f>
        <v>7150358.2089552246</v>
      </c>
    </row>
    <row r="49" spans="1:19" hidden="1">
      <c r="A49" s="168" t="s">
        <v>54</v>
      </c>
      <c r="B49" s="122">
        <f>+PEP!J45</f>
        <v>0</v>
      </c>
      <c r="C49" s="122">
        <f>+PEP!K45</f>
        <v>1228656.7164179103</v>
      </c>
      <c r="D49" s="122">
        <f>+PEP!L45</f>
        <v>1228656.7164179103</v>
      </c>
      <c r="E49" s="122">
        <f>+PEP!M45</f>
        <v>0</v>
      </c>
      <c r="F49" s="122">
        <f>+PEP!N45</f>
        <v>1228656.7164179103</v>
      </c>
      <c r="G49" s="122">
        <f>+PEP!O45</f>
        <v>1228656.7164179103</v>
      </c>
      <c r="H49" s="122">
        <f>+PEP!P45</f>
        <v>0</v>
      </c>
      <c r="I49" s="122">
        <f>+PEP!Q45</f>
        <v>1228656.7164179103</v>
      </c>
      <c r="J49" s="122">
        <f>+PEP!R45</f>
        <v>1228656.7164179103</v>
      </c>
      <c r="K49" s="122">
        <f>+PEP!S45</f>
        <v>0</v>
      </c>
      <c r="L49" s="122">
        <f>+PEP!T45</f>
        <v>1228656.7164179103</v>
      </c>
      <c r="M49" s="122">
        <f>+PEP!U45</f>
        <v>1228656.7164179103</v>
      </c>
      <c r="N49" s="122">
        <f>+PEP!V45</f>
        <v>0</v>
      </c>
      <c r="O49" s="122">
        <f>+PEP!W45</f>
        <v>1228656.7164179103</v>
      </c>
      <c r="P49" s="122">
        <f>+PEP!X45</f>
        <v>1228656.7164179103</v>
      </c>
      <c r="Q49" s="122">
        <f>+PEP!Y45</f>
        <v>0</v>
      </c>
      <c r="R49" s="122">
        <f>+PEP!Z45</f>
        <v>6143283.5820895527</v>
      </c>
      <c r="S49" s="145">
        <f>+PEP!AA45</f>
        <v>6143283.5820895527</v>
      </c>
    </row>
    <row r="50" spans="1:19" s="111" customFormat="1" hidden="1">
      <c r="A50" s="169" t="s">
        <v>55</v>
      </c>
      <c r="B50" s="139">
        <f>+PEP!J46</f>
        <v>0</v>
      </c>
      <c r="C50" s="139">
        <f>+PEP!K46</f>
        <v>168358.20895522388</v>
      </c>
      <c r="D50" s="139">
        <f>+PEP!L46</f>
        <v>168358.20895522388</v>
      </c>
      <c r="E50" s="139">
        <f>+PEP!M46</f>
        <v>0</v>
      </c>
      <c r="F50" s="139">
        <f>+PEP!N46</f>
        <v>168358.20895522388</v>
      </c>
      <c r="G50" s="139">
        <f>+PEP!O46</f>
        <v>168358.20895522388</v>
      </c>
      <c r="H50" s="139">
        <f>+PEP!P46</f>
        <v>0</v>
      </c>
      <c r="I50" s="139">
        <f>+PEP!Q46</f>
        <v>168358.20895522388</v>
      </c>
      <c r="J50" s="139">
        <f>+PEP!R46</f>
        <v>168358.20895522388</v>
      </c>
      <c r="K50" s="139">
        <f>+PEP!S46</f>
        <v>0</v>
      </c>
      <c r="L50" s="139">
        <f>+PEP!T46</f>
        <v>168358.20895522388</v>
      </c>
      <c r="M50" s="139">
        <f>+PEP!U46</f>
        <v>168358.20895522388</v>
      </c>
      <c r="N50" s="139">
        <f>+PEP!V46</f>
        <v>0</v>
      </c>
      <c r="O50" s="139">
        <f>+PEP!W46</f>
        <v>168358.20895522388</v>
      </c>
      <c r="P50" s="139">
        <f>+PEP!X46</f>
        <v>168358.20895522388</v>
      </c>
      <c r="Q50" s="139">
        <f>+PEP!Y46</f>
        <v>0</v>
      </c>
      <c r="R50" s="139">
        <f>+PEP!Z46</f>
        <v>841791.04477611941</v>
      </c>
      <c r="S50" s="139">
        <f>+PEP!AA46</f>
        <v>841791.04477611941</v>
      </c>
    </row>
    <row r="51" spans="1:19" hidden="1">
      <c r="A51" s="170" t="s">
        <v>56</v>
      </c>
      <c r="B51" s="69">
        <f>+PEP!J47</f>
        <v>0</v>
      </c>
      <c r="C51" s="69">
        <f>+PEP!K47</f>
        <v>39402.985074626864</v>
      </c>
      <c r="D51" s="69">
        <f>+PEP!L47</f>
        <v>39402.985074626864</v>
      </c>
      <c r="E51" s="69">
        <f>+PEP!M47</f>
        <v>0</v>
      </c>
      <c r="F51" s="69">
        <f>+PEP!N47</f>
        <v>39402.985074626864</v>
      </c>
      <c r="G51" s="69">
        <f>+PEP!O47</f>
        <v>39402.985074626864</v>
      </c>
      <c r="H51" s="69">
        <f>+PEP!P47</f>
        <v>0</v>
      </c>
      <c r="I51" s="69">
        <f>+PEP!Q47</f>
        <v>39402.985074626864</v>
      </c>
      <c r="J51" s="69">
        <f>+PEP!R47</f>
        <v>39402.985074626864</v>
      </c>
      <c r="K51" s="69">
        <f>+PEP!S47</f>
        <v>0</v>
      </c>
      <c r="L51" s="69">
        <f>+PEP!T47</f>
        <v>39402.985074626864</v>
      </c>
      <c r="M51" s="69">
        <f>+PEP!U47</f>
        <v>39402.985074626864</v>
      </c>
      <c r="N51" s="69">
        <f>+PEP!V47</f>
        <v>0</v>
      </c>
      <c r="O51" s="69">
        <f>+PEP!W47</f>
        <v>39402.985074626864</v>
      </c>
      <c r="P51" s="69">
        <f>+PEP!X47</f>
        <v>39402.985074626864</v>
      </c>
      <c r="Q51" s="69">
        <f>+PEP!Y47</f>
        <v>0</v>
      </c>
      <c r="R51" s="69">
        <f>+PEP!Z47</f>
        <v>197014.92537313432</v>
      </c>
      <c r="S51" s="69">
        <f>+PEP!AA47</f>
        <v>197014.92537313432</v>
      </c>
    </row>
    <row r="52" spans="1:19" hidden="1">
      <c r="A52" s="171" t="s">
        <v>57</v>
      </c>
      <c r="B52" s="69">
        <f>+PEP!J48</f>
        <v>0</v>
      </c>
      <c r="C52" s="69">
        <f>+PEP!K48</f>
        <v>64477.611940298506</v>
      </c>
      <c r="D52" s="69">
        <f>+PEP!L48</f>
        <v>64477.611940298506</v>
      </c>
      <c r="E52" s="69">
        <f>+PEP!M48</f>
        <v>0</v>
      </c>
      <c r="F52" s="69">
        <f>+PEP!N48</f>
        <v>64477.611940298506</v>
      </c>
      <c r="G52" s="69">
        <f>+PEP!O48</f>
        <v>64477.611940298506</v>
      </c>
      <c r="H52" s="69">
        <f>+PEP!P48</f>
        <v>0</v>
      </c>
      <c r="I52" s="69">
        <f>+PEP!Q48</f>
        <v>64477.611940298506</v>
      </c>
      <c r="J52" s="69">
        <f>+PEP!R48</f>
        <v>64477.611940298506</v>
      </c>
      <c r="K52" s="69">
        <f>+PEP!S48</f>
        <v>0</v>
      </c>
      <c r="L52" s="69">
        <f>+PEP!T48</f>
        <v>64477.611940298506</v>
      </c>
      <c r="M52" s="69">
        <f>+PEP!U48</f>
        <v>64477.611940298506</v>
      </c>
      <c r="N52" s="69">
        <f>+PEP!V48</f>
        <v>0</v>
      </c>
      <c r="O52" s="69">
        <f>+PEP!W48</f>
        <v>64477.611940298506</v>
      </c>
      <c r="P52" s="69">
        <f>+PEP!X48</f>
        <v>64477.611940298506</v>
      </c>
      <c r="Q52" s="69">
        <f>+PEP!Y48</f>
        <v>0</v>
      </c>
      <c r="R52" s="69">
        <f>+PEP!Z48</f>
        <v>322388.05970149254</v>
      </c>
      <c r="S52" s="69">
        <f>+PEP!AA48</f>
        <v>322388.05970149254</v>
      </c>
    </row>
    <row r="53" spans="1:19" hidden="1">
      <c r="A53" s="171" t="s">
        <v>58</v>
      </c>
      <c r="B53" s="69">
        <f>+PEP!J49</f>
        <v>0</v>
      </c>
      <c r="C53" s="69">
        <f>+PEP!K49</f>
        <v>50149.253731343284</v>
      </c>
      <c r="D53" s="69">
        <f>+PEP!L49</f>
        <v>50149.253731343284</v>
      </c>
      <c r="E53" s="69">
        <f>+PEP!M49</f>
        <v>0</v>
      </c>
      <c r="F53" s="69">
        <f>+PEP!N49</f>
        <v>50149.253731343284</v>
      </c>
      <c r="G53" s="69">
        <f>+PEP!O49</f>
        <v>50149.253731343284</v>
      </c>
      <c r="H53" s="69">
        <f>+PEP!P49</f>
        <v>0</v>
      </c>
      <c r="I53" s="69">
        <f>+PEP!Q49</f>
        <v>50149.253731343284</v>
      </c>
      <c r="J53" s="69">
        <f>+PEP!R49</f>
        <v>50149.253731343284</v>
      </c>
      <c r="K53" s="69">
        <f>+PEP!S49</f>
        <v>0</v>
      </c>
      <c r="L53" s="69">
        <f>+PEP!T49</f>
        <v>50149.253731343284</v>
      </c>
      <c r="M53" s="69">
        <f>+PEP!U49</f>
        <v>50149.253731343284</v>
      </c>
      <c r="N53" s="69">
        <f>+PEP!V49</f>
        <v>0</v>
      </c>
      <c r="O53" s="69">
        <f>+PEP!W49</f>
        <v>50149.253731343284</v>
      </c>
      <c r="P53" s="69">
        <f>+PEP!X49</f>
        <v>50149.253731343284</v>
      </c>
      <c r="Q53" s="69">
        <f>+PEP!Y49</f>
        <v>0</v>
      </c>
      <c r="R53" s="69">
        <f>+PEP!Z49</f>
        <v>250746.26865671642</v>
      </c>
      <c r="S53" s="69">
        <f>+PEP!AA49</f>
        <v>250746.26865671642</v>
      </c>
    </row>
    <row r="54" spans="1:19" hidden="1">
      <c r="A54" s="171" t="s">
        <v>59</v>
      </c>
      <c r="B54" s="69">
        <f>+PEP!J50</f>
        <v>0</v>
      </c>
      <c r="C54" s="69">
        <f>+PEP!K50</f>
        <v>14328.358208955224</v>
      </c>
      <c r="D54" s="69">
        <f>+PEP!L50</f>
        <v>14328.358208955224</v>
      </c>
      <c r="E54" s="69">
        <f>+PEP!M50</f>
        <v>0</v>
      </c>
      <c r="F54" s="69">
        <f>+PEP!N50</f>
        <v>14328.358208955224</v>
      </c>
      <c r="G54" s="69">
        <f>+PEP!O50</f>
        <v>14328.358208955224</v>
      </c>
      <c r="H54" s="69">
        <f>+PEP!P50</f>
        <v>0</v>
      </c>
      <c r="I54" s="69">
        <f>+PEP!Q50</f>
        <v>14328.358208955224</v>
      </c>
      <c r="J54" s="69">
        <f>+PEP!R50</f>
        <v>14328.358208955224</v>
      </c>
      <c r="K54" s="69">
        <f>+PEP!S50</f>
        <v>0</v>
      </c>
      <c r="L54" s="69">
        <f>+PEP!T50</f>
        <v>14328.358208955224</v>
      </c>
      <c r="M54" s="69">
        <f>+PEP!U50</f>
        <v>14328.358208955224</v>
      </c>
      <c r="N54" s="69">
        <f>+PEP!V50</f>
        <v>0</v>
      </c>
      <c r="O54" s="69">
        <f>+PEP!W50</f>
        <v>14328.358208955224</v>
      </c>
      <c r="P54" s="69">
        <f>+PEP!X50</f>
        <v>14328.358208955224</v>
      </c>
      <c r="Q54" s="69">
        <f>+PEP!Y50</f>
        <v>0</v>
      </c>
      <c r="R54" s="69">
        <f>+PEP!Z50</f>
        <v>71641.791044776124</v>
      </c>
      <c r="S54" s="69">
        <f>+PEP!AA50</f>
        <v>71641.791044776124</v>
      </c>
    </row>
    <row r="55" spans="1:19" s="111" customFormat="1" hidden="1">
      <c r="A55" s="169" t="s">
        <v>60</v>
      </c>
      <c r="B55" s="139">
        <f>+PEP!J51</f>
        <v>0</v>
      </c>
      <c r="C55" s="139">
        <f>+PEP!K51</f>
        <v>286567.16417910444</v>
      </c>
      <c r="D55" s="139">
        <f>+PEP!L51</f>
        <v>286567.16417910444</v>
      </c>
      <c r="E55" s="139">
        <f>+PEP!M51</f>
        <v>0</v>
      </c>
      <c r="F55" s="139">
        <f>+PEP!N51</f>
        <v>286567.16417910444</v>
      </c>
      <c r="G55" s="139">
        <f>+PEP!O51</f>
        <v>286567.16417910444</v>
      </c>
      <c r="H55" s="139">
        <f>+PEP!P51</f>
        <v>0</v>
      </c>
      <c r="I55" s="139">
        <f>+PEP!Q51</f>
        <v>286567.16417910444</v>
      </c>
      <c r="J55" s="139">
        <f>+PEP!R51</f>
        <v>286567.16417910444</v>
      </c>
      <c r="K55" s="139">
        <f>+PEP!S51</f>
        <v>0</v>
      </c>
      <c r="L55" s="139">
        <f>+PEP!T51</f>
        <v>286567.16417910444</v>
      </c>
      <c r="M55" s="139">
        <f>+PEP!U51</f>
        <v>286567.16417910444</v>
      </c>
      <c r="N55" s="139">
        <f>+PEP!V51</f>
        <v>0</v>
      </c>
      <c r="O55" s="139">
        <f>+PEP!W51</f>
        <v>286567.16417910444</v>
      </c>
      <c r="P55" s="139">
        <f>+PEP!X51</f>
        <v>286567.16417910444</v>
      </c>
      <c r="Q55" s="139">
        <f>+PEP!Y51</f>
        <v>0</v>
      </c>
      <c r="R55" s="139">
        <f>+PEP!Z51</f>
        <v>1432835.8208955226</v>
      </c>
      <c r="S55" s="139">
        <f>+PEP!AA51</f>
        <v>1432835.8208955226</v>
      </c>
    </row>
    <row r="56" spans="1:19" hidden="1">
      <c r="A56" s="171" t="s">
        <v>61</v>
      </c>
      <c r="B56" s="69">
        <f>+PEP!J52</f>
        <v>0</v>
      </c>
      <c r="C56" s="69">
        <f>+PEP!K52</f>
        <v>71641.791044776124</v>
      </c>
      <c r="D56" s="69">
        <f>+PEP!L52</f>
        <v>71641.791044776124</v>
      </c>
      <c r="E56" s="69">
        <f>+PEP!M52</f>
        <v>0</v>
      </c>
      <c r="F56" s="69">
        <f>+PEP!N52</f>
        <v>71641.791044776124</v>
      </c>
      <c r="G56" s="69">
        <f>+PEP!O52</f>
        <v>71641.791044776124</v>
      </c>
      <c r="H56" s="69">
        <f>+PEP!P52</f>
        <v>0</v>
      </c>
      <c r="I56" s="69">
        <f>+PEP!Q52</f>
        <v>71641.791044776124</v>
      </c>
      <c r="J56" s="69">
        <f>+PEP!R52</f>
        <v>71641.791044776124</v>
      </c>
      <c r="K56" s="69">
        <f>+PEP!S52</f>
        <v>0</v>
      </c>
      <c r="L56" s="69">
        <f>+PEP!T52</f>
        <v>71641.791044776124</v>
      </c>
      <c r="M56" s="69">
        <f>+PEP!U52</f>
        <v>71641.791044776124</v>
      </c>
      <c r="N56" s="69">
        <f>+PEP!V52</f>
        <v>0</v>
      </c>
      <c r="O56" s="69">
        <f>+PEP!W52</f>
        <v>71641.791044776124</v>
      </c>
      <c r="P56" s="69">
        <f>+PEP!X52</f>
        <v>71641.791044776124</v>
      </c>
      <c r="Q56" s="69">
        <f>+PEP!Y52</f>
        <v>0</v>
      </c>
      <c r="R56" s="69">
        <f>+PEP!Z52</f>
        <v>358208.95522388059</v>
      </c>
      <c r="S56" s="69">
        <f>+PEP!AA52</f>
        <v>358208.95522388059</v>
      </c>
    </row>
    <row r="57" spans="1:19" hidden="1">
      <c r="A57" s="171" t="s">
        <v>62</v>
      </c>
      <c r="B57" s="69">
        <f>+PEP!J53</f>
        <v>0</v>
      </c>
      <c r="C57" s="69">
        <f>+PEP!K53</f>
        <v>71641.791044776124</v>
      </c>
      <c r="D57" s="69">
        <f>+PEP!L53</f>
        <v>71641.791044776124</v>
      </c>
      <c r="E57" s="69">
        <f>+PEP!M53</f>
        <v>0</v>
      </c>
      <c r="F57" s="69">
        <f>+PEP!N53</f>
        <v>71641.791044776124</v>
      </c>
      <c r="G57" s="69">
        <f>+PEP!O53</f>
        <v>71641.791044776124</v>
      </c>
      <c r="H57" s="69">
        <f>+PEP!P53</f>
        <v>0</v>
      </c>
      <c r="I57" s="69">
        <f>+PEP!Q53</f>
        <v>71641.791044776124</v>
      </c>
      <c r="J57" s="69">
        <f>+PEP!R53</f>
        <v>71641.791044776124</v>
      </c>
      <c r="K57" s="69">
        <f>+PEP!S53</f>
        <v>0</v>
      </c>
      <c r="L57" s="69">
        <f>+PEP!T53</f>
        <v>71641.791044776124</v>
      </c>
      <c r="M57" s="69">
        <f>+PEP!U53</f>
        <v>71641.791044776124</v>
      </c>
      <c r="N57" s="69">
        <f>+PEP!V53</f>
        <v>0</v>
      </c>
      <c r="O57" s="69">
        <f>+PEP!W53</f>
        <v>71641.791044776124</v>
      </c>
      <c r="P57" s="69">
        <f>+PEP!X53</f>
        <v>71641.791044776124</v>
      </c>
      <c r="Q57" s="69">
        <f>+PEP!Y53</f>
        <v>0</v>
      </c>
      <c r="R57" s="69">
        <f>+PEP!Z53</f>
        <v>358208.95522388059</v>
      </c>
      <c r="S57" s="69">
        <f>+PEP!AA53</f>
        <v>358208.95522388059</v>
      </c>
    </row>
    <row r="58" spans="1:19" hidden="1">
      <c r="A58" s="171" t="s">
        <v>63</v>
      </c>
      <c r="B58" s="69">
        <f>+PEP!J54</f>
        <v>0</v>
      </c>
      <c r="C58" s="69">
        <f>+PEP!K54</f>
        <v>35820.895522388062</v>
      </c>
      <c r="D58" s="69">
        <f>+PEP!L54</f>
        <v>35820.895522388062</v>
      </c>
      <c r="E58" s="69">
        <f>+PEP!M54</f>
        <v>0</v>
      </c>
      <c r="F58" s="69">
        <f>+PEP!N54</f>
        <v>35820.895522388062</v>
      </c>
      <c r="G58" s="69">
        <f>+PEP!O54</f>
        <v>35820.895522388062</v>
      </c>
      <c r="H58" s="69">
        <f>+PEP!P54</f>
        <v>0</v>
      </c>
      <c r="I58" s="69">
        <f>+PEP!Q54</f>
        <v>35820.895522388062</v>
      </c>
      <c r="J58" s="69">
        <f>+PEP!R54</f>
        <v>35820.895522388062</v>
      </c>
      <c r="K58" s="69">
        <f>+PEP!S54</f>
        <v>0</v>
      </c>
      <c r="L58" s="69">
        <f>+PEP!T54</f>
        <v>35820.895522388062</v>
      </c>
      <c r="M58" s="69">
        <f>+PEP!U54</f>
        <v>35820.895522388062</v>
      </c>
      <c r="N58" s="69">
        <f>+PEP!V54</f>
        <v>0</v>
      </c>
      <c r="O58" s="69">
        <f>+PEP!W54</f>
        <v>35820.895522388062</v>
      </c>
      <c r="P58" s="69">
        <f>+PEP!X54</f>
        <v>35820.895522388062</v>
      </c>
      <c r="Q58" s="69">
        <f>+PEP!Y54</f>
        <v>0</v>
      </c>
      <c r="R58" s="69">
        <f>+PEP!Z54</f>
        <v>179104.4776119403</v>
      </c>
      <c r="S58" s="69">
        <f>+PEP!AA54</f>
        <v>179104.4776119403</v>
      </c>
    </row>
    <row r="59" spans="1:19" hidden="1">
      <c r="A59" s="171" t="s">
        <v>64</v>
      </c>
      <c r="B59" s="69">
        <f>+PEP!J55</f>
        <v>0</v>
      </c>
      <c r="C59" s="69">
        <f>+PEP!K55</f>
        <v>35820.895522388062</v>
      </c>
      <c r="D59" s="69">
        <f>+PEP!L55</f>
        <v>35820.895522388062</v>
      </c>
      <c r="E59" s="69">
        <f>+PEP!M55</f>
        <v>0</v>
      </c>
      <c r="F59" s="69">
        <f>+PEP!N55</f>
        <v>35820.895522388062</v>
      </c>
      <c r="G59" s="69">
        <f>+PEP!O55</f>
        <v>35820.895522388062</v>
      </c>
      <c r="H59" s="69">
        <f>+PEP!P55</f>
        <v>0</v>
      </c>
      <c r="I59" s="69">
        <f>+PEP!Q55</f>
        <v>35820.895522388062</v>
      </c>
      <c r="J59" s="69">
        <f>+PEP!R55</f>
        <v>35820.895522388062</v>
      </c>
      <c r="K59" s="69">
        <f>+PEP!S55</f>
        <v>0</v>
      </c>
      <c r="L59" s="69">
        <f>+PEP!T55</f>
        <v>35820.895522388062</v>
      </c>
      <c r="M59" s="69">
        <f>+PEP!U55</f>
        <v>35820.895522388062</v>
      </c>
      <c r="N59" s="69">
        <f>+PEP!V55</f>
        <v>0</v>
      </c>
      <c r="O59" s="69">
        <f>+PEP!W55</f>
        <v>35820.895522388062</v>
      </c>
      <c r="P59" s="69">
        <f>+PEP!X55</f>
        <v>35820.895522388062</v>
      </c>
      <c r="Q59" s="69">
        <f>+PEP!Y55</f>
        <v>0</v>
      </c>
      <c r="R59" s="69">
        <f>+PEP!Z55</f>
        <v>179104.4776119403</v>
      </c>
      <c r="S59" s="69">
        <f>+PEP!AA55</f>
        <v>179104.4776119403</v>
      </c>
    </row>
    <row r="60" spans="1:19" hidden="1">
      <c r="A60" s="171" t="s">
        <v>65</v>
      </c>
      <c r="B60" s="69">
        <f>+PEP!J56</f>
        <v>0</v>
      </c>
      <c r="C60" s="69">
        <f>+PEP!K56</f>
        <v>35820.895522388062</v>
      </c>
      <c r="D60" s="69">
        <f>+PEP!L56</f>
        <v>35820.895522388062</v>
      </c>
      <c r="E60" s="69">
        <f>+PEP!M56</f>
        <v>0</v>
      </c>
      <c r="F60" s="69">
        <f>+PEP!N56</f>
        <v>35820.895522388062</v>
      </c>
      <c r="G60" s="69">
        <f>+PEP!O56</f>
        <v>35820.895522388062</v>
      </c>
      <c r="H60" s="69">
        <f>+PEP!P56</f>
        <v>0</v>
      </c>
      <c r="I60" s="69">
        <f>+PEP!Q56</f>
        <v>35820.895522388062</v>
      </c>
      <c r="J60" s="69">
        <f>+PEP!R56</f>
        <v>35820.895522388062</v>
      </c>
      <c r="K60" s="69">
        <f>+PEP!S56</f>
        <v>0</v>
      </c>
      <c r="L60" s="69">
        <f>+PEP!T56</f>
        <v>35820.895522388062</v>
      </c>
      <c r="M60" s="69">
        <f>+PEP!U56</f>
        <v>35820.895522388062</v>
      </c>
      <c r="N60" s="69">
        <f>+PEP!V56</f>
        <v>0</v>
      </c>
      <c r="O60" s="69">
        <f>+PEP!W56</f>
        <v>35820.895522388062</v>
      </c>
      <c r="P60" s="69">
        <f>+PEP!X56</f>
        <v>35820.895522388062</v>
      </c>
      <c r="Q60" s="69">
        <f>+PEP!Y56</f>
        <v>0</v>
      </c>
      <c r="R60" s="69">
        <f>+PEP!Z56</f>
        <v>179104.4776119403</v>
      </c>
      <c r="S60" s="69">
        <f>+PEP!AA56</f>
        <v>179104.4776119403</v>
      </c>
    </row>
    <row r="61" spans="1:19" hidden="1">
      <c r="A61" s="171" t="s">
        <v>66</v>
      </c>
      <c r="B61" s="69">
        <f>+PEP!J57</f>
        <v>0</v>
      </c>
      <c r="C61" s="69">
        <f>+PEP!K57</f>
        <v>21492.537313432837</v>
      </c>
      <c r="D61" s="69">
        <f>+PEP!L57</f>
        <v>21492.537313432837</v>
      </c>
      <c r="E61" s="69">
        <f>+PEP!M57</f>
        <v>0</v>
      </c>
      <c r="F61" s="69">
        <f>+PEP!N57</f>
        <v>21492.537313432837</v>
      </c>
      <c r="G61" s="69">
        <f>+PEP!O57</f>
        <v>21492.537313432837</v>
      </c>
      <c r="H61" s="69">
        <f>+PEP!P57</f>
        <v>0</v>
      </c>
      <c r="I61" s="69">
        <f>+PEP!Q57</f>
        <v>21492.537313432837</v>
      </c>
      <c r="J61" s="69">
        <f>+PEP!R57</f>
        <v>21492.537313432837</v>
      </c>
      <c r="K61" s="69">
        <f>+PEP!S57</f>
        <v>0</v>
      </c>
      <c r="L61" s="69">
        <f>+PEP!T57</f>
        <v>21492.537313432837</v>
      </c>
      <c r="M61" s="69">
        <f>+PEP!U57</f>
        <v>21492.537313432837</v>
      </c>
      <c r="N61" s="69">
        <f>+PEP!V57</f>
        <v>0</v>
      </c>
      <c r="O61" s="69">
        <f>+PEP!W57</f>
        <v>21492.537313432837</v>
      </c>
      <c r="P61" s="69">
        <f>+PEP!X57</f>
        <v>21492.537313432837</v>
      </c>
      <c r="Q61" s="69">
        <f>+PEP!Y57</f>
        <v>0</v>
      </c>
      <c r="R61" s="69">
        <f>+PEP!Z57</f>
        <v>107462.68656716419</v>
      </c>
      <c r="S61" s="69">
        <f>+PEP!AA57</f>
        <v>107462.68656716419</v>
      </c>
    </row>
    <row r="62" spans="1:19" hidden="1">
      <c r="A62" s="171" t="s">
        <v>59</v>
      </c>
      <c r="B62" s="69">
        <f>+PEP!J58</f>
        <v>0</v>
      </c>
      <c r="C62" s="69">
        <f>+PEP!K58</f>
        <v>14328.358208955224</v>
      </c>
      <c r="D62" s="69">
        <f>+PEP!L58</f>
        <v>14328.358208955224</v>
      </c>
      <c r="E62" s="69">
        <f>+PEP!M58</f>
        <v>0</v>
      </c>
      <c r="F62" s="69">
        <f>+PEP!N58</f>
        <v>14328.358208955224</v>
      </c>
      <c r="G62" s="69">
        <f>+PEP!O58</f>
        <v>14328.358208955224</v>
      </c>
      <c r="H62" s="69">
        <f>+PEP!P58</f>
        <v>0</v>
      </c>
      <c r="I62" s="69">
        <f>+PEP!Q58</f>
        <v>14328.358208955224</v>
      </c>
      <c r="J62" s="69">
        <f>+PEP!R58</f>
        <v>14328.358208955224</v>
      </c>
      <c r="K62" s="69">
        <f>+PEP!S58</f>
        <v>0</v>
      </c>
      <c r="L62" s="69">
        <f>+PEP!T58</f>
        <v>14328.358208955224</v>
      </c>
      <c r="M62" s="69">
        <f>+PEP!U58</f>
        <v>14328.358208955224</v>
      </c>
      <c r="N62" s="69">
        <f>+PEP!V58</f>
        <v>0</v>
      </c>
      <c r="O62" s="69">
        <f>+PEP!W58</f>
        <v>14328.358208955224</v>
      </c>
      <c r="P62" s="69">
        <f>+PEP!X58</f>
        <v>14328.358208955224</v>
      </c>
      <c r="Q62" s="69">
        <f>+PEP!Y58</f>
        <v>0</v>
      </c>
      <c r="R62" s="69">
        <f>+PEP!Z58</f>
        <v>71641.791044776124</v>
      </c>
      <c r="S62" s="69">
        <f>+PEP!AA58</f>
        <v>71641.791044776124</v>
      </c>
    </row>
    <row r="63" spans="1:19" s="111" customFormat="1" hidden="1">
      <c r="A63" s="169" t="s">
        <v>67</v>
      </c>
      <c r="B63" s="139">
        <f>+PEP!J59</f>
        <v>0</v>
      </c>
      <c r="C63" s="139">
        <f>+PEP!K59</f>
        <v>773731.34328358201</v>
      </c>
      <c r="D63" s="139">
        <f>+PEP!L59</f>
        <v>773731.34328358201</v>
      </c>
      <c r="E63" s="139">
        <f>+PEP!M59</f>
        <v>0</v>
      </c>
      <c r="F63" s="139">
        <f>+PEP!N59</f>
        <v>773731.34328358201</v>
      </c>
      <c r="G63" s="139">
        <f>+PEP!O59</f>
        <v>773731.34328358201</v>
      </c>
      <c r="H63" s="139">
        <f>+PEP!P59</f>
        <v>0</v>
      </c>
      <c r="I63" s="139">
        <f>+PEP!Q59</f>
        <v>773731.34328358201</v>
      </c>
      <c r="J63" s="139">
        <f>+PEP!R59</f>
        <v>773731.34328358201</v>
      </c>
      <c r="K63" s="139">
        <f>+PEP!S59</f>
        <v>0</v>
      </c>
      <c r="L63" s="139">
        <f>+PEP!T59</f>
        <v>773731.34328358201</v>
      </c>
      <c r="M63" s="139">
        <f>+PEP!U59</f>
        <v>773731.34328358201</v>
      </c>
      <c r="N63" s="139">
        <f>+PEP!V59</f>
        <v>0</v>
      </c>
      <c r="O63" s="139">
        <f>+PEP!W59</f>
        <v>773731.34328358201</v>
      </c>
      <c r="P63" s="139">
        <f>+PEP!X59</f>
        <v>773731.34328358201</v>
      </c>
      <c r="Q63" s="139">
        <f>+PEP!Y59</f>
        <v>0</v>
      </c>
      <c r="R63" s="139">
        <f>+PEP!Z59</f>
        <v>3868656.7164179105</v>
      </c>
      <c r="S63" s="139">
        <f>+PEP!AA59</f>
        <v>3868656.7164179105</v>
      </c>
    </row>
    <row r="64" spans="1:19" hidden="1">
      <c r="A64" s="171" t="s">
        <v>68</v>
      </c>
      <c r="B64" s="69">
        <f>+PEP!J60</f>
        <v>0</v>
      </c>
      <c r="C64" s="69">
        <f>+PEP!K60</f>
        <v>32238.805970149253</v>
      </c>
      <c r="D64" s="69">
        <f>+PEP!L60</f>
        <v>32238.805970149253</v>
      </c>
      <c r="E64" s="69">
        <f>+PEP!M60</f>
        <v>0</v>
      </c>
      <c r="F64" s="69">
        <f>+PEP!N60</f>
        <v>32238.805970149253</v>
      </c>
      <c r="G64" s="69">
        <f>+PEP!O60</f>
        <v>32238.805970149253</v>
      </c>
      <c r="H64" s="69">
        <f>+PEP!P60</f>
        <v>0</v>
      </c>
      <c r="I64" s="69">
        <f>+PEP!Q60</f>
        <v>32238.805970149253</v>
      </c>
      <c r="J64" s="69">
        <f>+PEP!R60</f>
        <v>32238.805970149253</v>
      </c>
      <c r="K64" s="69">
        <f>+PEP!S60</f>
        <v>0</v>
      </c>
      <c r="L64" s="69">
        <f>+PEP!T60</f>
        <v>32238.805970149253</v>
      </c>
      <c r="M64" s="69">
        <f>+PEP!U60</f>
        <v>32238.805970149253</v>
      </c>
      <c r="N64" s="69">
        <f>+PEP!V60</f>
        <v>0</v>
      </c>
      <c r="O64" s="69">
        <f>+PEP!W60</f>
        <v>32238.805970149253</v>
      </c>
      <c r="P64" s="69">
        <f>+PEP!X60</f>
        <v>32238.805970149253</v>
      </c>
      <c r="Q64" s="69">
        <f>+PEP!Y60</f>
        <v>0</v>
      </c>
      <c r="R64" s="69">
        <f>+PEP!Z60</f>
        <v>161194.02985074627</v>
      </c>
      <c r="S64" s="69">
        <f>+PEP!AA60</f>
        <v>161194.02985074627</v>
      </c>
    </row>
    <row r="65" spans="1:19" hidden="1">
      <c r="A65" s="171" t="s">
        <v>69</v>
      </c>
      <c r="B65" s="69">
        <f>+PEP!J61</f>
        <v>0</v>
      </c>
      <c r="C65" s="69">
        <f>+PEP!K61</f>
        <v>32238.805970149253</v>
      </c>
      <c r="D65" s="69">
        <f>+PEP!L61</f>
        <v>32238.805970149253</v>
      </c>
      <c r="E65" s="69">
        <f>+PEP!M61</f>
        <v>0</v>
      </c>
      <c r="F65" s="69">
        <f>+PEP!N61</f>
        <v>32238.805970149253</v>
      </c>
      <c r="G65" s="69">
        <f>+PEP!O61</f>
        <v>32238.805970149253</v>
      </c>
      <c r="H65" s="69">
        <f>+PEP!P61</f>
        <v>0</v>
      </c>
      <c r="I65" s="69">
        <f>+PEP!Q61</f>
        <v>32238.805970149253</v>
      </c>
      <c r="J65" s="69">
        <f>+PEP!R61</f>
        <v>32238.805970149253</v>
      </c>
      <c r="K65" s="69">
        <f>+PEP!S61</f>
        <v>0</v>
      </c>
      <c r="L65" s="69">
        <f>+PEP!T61</f>
        <v>32238.805970149253</v>
      </c>
      <c r="M65" s="69">
        <f>+PEP!U61</f>
        <v>32238.805970149253</v>
      </c>
      <c r="N65" s="69">
        <f>+PEP!V61</f>
        <v>0</v>
      </c>
      <c r="O65" s="69">
        <f>+PEP!W61</f>
        <v>32238.805970149253</v>
      </c>
      <c r="P65" s="69">
        <f>+PEP!X61</f>
        <v>32238.805970149253</v>
      </c>
      <c r="Q65" s="69">
        <f>+PEP!Y61</f>
        <v>0</v>
      </c>
      <c r="R65" s="69">
        <f>+PEP!Z61</f>
        <v>161194.02985074627</v>
      </c>
      <c r="S65" s="69">
        <f>+PEP!AA61</f>
        <v>161194.02985074627</v>
      </c>
    </row>
    <row r="66" spans="1:19" hidden="1">
      <c r="A66" s="171" t="s">
        <v>70</v>
      </c>
      <c r="B66" s="69">
        <f>+PEP!J62</f>
        <v>0</v>
      </c>
      <c r="C66" s="69">
        <f>+PEP!K62</f>
        <v>32238.805970149253</v>
      </c>
      <c r="D66" s="69">
        <f>+PEP!L62</f>
        <v>32238.805970149253</v>
      </c>
      <c r="E66" s="69">
        <f>+PEP!M62</f>
        <v>0</v>
      </c>
      <c r="F66" s="69">
        <f>+PEP!N62</f>
        <v>32238.805970149253</v>
      </c>
      <c r="G66" s="69">
        <f>+PEP!O62</f>
        <v>32238.805970149253</v>
      </c>
      <c r="H66" s="69">
        <f>+PEP!P62</f>
        <v>0</v>
      </c>
      <c r="I66" s="69">
        <f>+PEP!Q62</f>
        <v>32238.805970149253</v>
      </c>
      <c r="J66" s="69">
        <f>+PEP!R62</f>
        <v>32238.805970149253</v>
      </c>
      <c r="K66" s="69">
        <f>+PEP!S62</f>
        <v>0</v>
      </c>
      <c r="L66" s="69">
        <f>+PEP!T62</f>
        <v>32238.805970149253</v>
      </c>
      <c r="M66" s="69">
        <f>+PEP!U62</f>
        <v>32238.805970149253</v>
      </c>
      <c r="N66" s="69">
        <f>+PEP!V62</f>
        <v>0</v>
      </c>
      <c r="O66" s="69">
        <f>+PEP!W62</f>
        <v>32238.805970149253</v>
      </c>
      <c r="P66" s="69">
        <f>+PEP!X62</f>
        <v>32238.805970149253</v>
      </c>
      <c r="Q66" s="69">
        <f>+PEP!Y62</f>
        <v>0</v>
      </c>
      <c r="R66" s="69">
        <f>+PEP!Z62</f>
        <v>161194.02985074627</v>
      </c>
      <c r="S66" s="69">
        <f>+PEP!AA62</f>
        <v>161194.02985074627</v>
      </c>
    </row>
    <row r="67" spans="1:19" hidden="1">
      <c r="A67" s="171" t="s">
        <v>71</v>
      </c>
      <c r="B67" s="69">
        <f>+PEP!J63</f>
        <v>0</v>
      </c>
      <c r="C67" s="69">
        <f>+PEP!K63</f>
        <v>32238.805970149253</v>
      </c>
      <c r="D67" s="69">
        <f>+PEP!L63</f>
        <v>32238.805970149253</v>
      </c>
      <c r="E67" s="69">
        <f>+PEP!M63</f>
        <v>0</v>
      </c>
      <c r="F67" s="69">
        <f>+PEP!N63</f>
        <v>32238.805970149253</v>
      </c>
      <c r="G67" s="69">
        <f>+PEP!O63</f>
        <v>32238.805970149253</v>
      </c>
      <c r="H67" s="69">
        <f>+PEP!P63</f>
        <v>0</v>
      </c>
      <c r="I67" s="69">
        <f>+PEP!Q63</f>
        <v>32238.805970149253</v>
      </c>
      <c r="J67" s="69">
        <f>+PEP!R63</f>
        <v>32238.805970149253</v>
      </c>
      <c r="K67" s="69">
        <f>+PEP!S63</f>
        <v>0</v>
      </c>
      <c r="L67" s="69">
        <f>+PEP!T63</f>
        <v>32238.805970149253</v>
      </c>
      <c r="M67" s="69">
        <f>+PEP!U63</f>
        <v>32238.805970149253</v>
      </c>
      <c r="N67" s="69">
        <f>+PEP!V63</f>
        <v>0</v>
      </c>
      <c r="O67" s="69">
        <f>+PEP!W63</f>
        <v>32238.805970149253</v>
      </c>
      <c r="P67" s="69">
        <f>+PEP!X63</f>
        <v>32238.805970149253</v>
      </c>
      <c r="Q67" s="69">
        <f>+PEP!Y63</f>
        <v>0</v>
      </c>
      <c r="R67" s="69">
        <f>+PEP!Z63</f>
        <v>161194.02985074627</v>
      </c>
      <c r="S67" s="69">
        <f>+PEP!AA63</f>
        <v>161194.02985074627</v>
      </c>
    </row>
    <row r="68" spans="1:19" hidden="1">
      <c r="A68" s="171" t="s">
        <v>72</v>
      </c>
      <c r="B68" s="69">
        <f>+PEP!J64</f>
        <v>0</v>
      </c>
      <c r="C68" s="69">
        <f>+PEP!K64</f>
        <v>143283.58208955225</v>
      </c>
      <c r="D68" s="69">
        <f>+PEP!L64</f>
        <v>143283.58208955225</v>
      </c>
      <c r="E68" s="69">
        <f>+PEP!M64</f>
        <v>0</v>
      </c>
      <c r="F68" s="69">
        <f>+PEP!N64</f>
        <v>143283.58208955225</v>
      </c>
      <c r="G68" s="69">
        <f>+PEP!O64</f>
        <v>143283.58208955225</v>
      </c>
      <c r="H68" s="69">
        <f>+PEP!P64</f>
        <v>0</v>
      </c>
      <c r="I68" s="69">
        <f>+PEP!Q64</f>
        <v>143283.58208955225</v>
      </c>
      <c r="J68" s="69">
        <f>+PEP!R64</f>
        <v>143283.58208955225</v>
      </c>
      <c r="K68" s="69">
        <f>+PEP!S64</f>
        <v>0</v>
      </c>
      <c r="L68" s="69">
        <f>+PEP!T64</f>
        <v>143283.58208955225</v>
      </c>
      <c r="M68" s="69">
        <f>+PEP!U64</f>
        <v>143283.58208955225</v>
      </c>
      <c r="N68" s="69">
        <f>+PEP!V64</f>
        <v>0</v>
      </c>
      <c r="O68" s="69">
        <f>+PEP!W64</f>
        <v>143283.58208955225</v>
      </c>
      <c r="P68" s="69">
        <f>+PEP!X64</f>
        <v>143283.58208955225</v>
      </c>
      <c r="Q68" s="69">
        <f>+PEP!Y64</f>
        <v>0</v>
      </c>
      <c r="R68" s="69">
        <f>+PEP!Z64</f>
        <v>716417.91044776118</v>
      </c>
      <c r="S68" s="69">
        <f>+PEP!AA64</f>
        <v>716417.91044776118</v>
      </c>
    </row>
    <row r="69" spans="1:19" hidden="1">
      <c r="A69" s="171" t="s">
        <v>73</v>
      </c>
      <c r="B69" s="69">
        <f>+PEP!J65</f>
        <v>0</v>
      </c>
      <c r="C69" s="69">
        <f>+PEP!K65</f>
        <v>143283.58208955225</v>
      </c>
      <c r="D69" s="69">
        <f>+PEP!L65</f>
        <v>143283.58208955225</v>
      </c>
      <c r="E69" s="69">
        <f>+PEP!M65</f>
        <v>0</v>
      </c>
      <c r="F69" s="69">
        <f>+PEP!N65</f>
        <v>143283.58208955225</v>
      </c>
      <c r="G69" s="69">
        <f>+PEP!O65</f>
        <v>143283.58208955225</v>
      </c>
      <c r="H69" s="69">
        <f>+PEP!P65</f>
        <v>0</v>
      </c>
      <c r="I69" s="69">
        <f>+PEP!Q65</f>
        <v>143283.58208955225</v>
      </c>
      <c r="J69" s="69">
        <f>+PEP!R65</f>
        <v>143283.58208955225</v>
      </c>
      <c r="K69" s="69">
        <f>+PEP!S65</f>
        <v>0</v>
      </c>
      <c r="L69" s="69">
        <f>+PEP!T65</f>
        <v>143283.58208955225</v>
      </c>
      <c r="M69" s="69">
        <f>+PEP!U65</f>
        <v>143283.58208955225</v>
      </c>
      <c r="N69" s="69">
        <f>+PEP!V65</f>
        <v>0</v>
      </c>
      <c r="O69" s="69">
        <f>+PEP!W65</f>
        <v>143283.58208955225</v>
      </c>
      <c r="P69" s="69">
        <f>+PEP!X65</f>
        <v>143283.58208955225</v>
      </c>
      <c r="Q69" s="69">
        <f>+PEP!Y65</f>
        <v>0</v>
      </c>
      <c r="R69" s="69">
        <f>+PEP!Z65</f>
        <v>716417.91044776118</v>
      </c>
      <c r="S69" s="69">
        <f>+PEP!AA65</f>
        <v>716417.91044776118</v>
      </c>
    </row>
    <row r="70" spans="1:19" hidden="1">
      <c r="A70" s="171" t="s">
        <v>74</v>
      </c>
      <c r="B70" s="69">
        <f>+PEP!J66</f>
        <v>0</v>
      </c>
      <c r="C70" s="69">
        <f>+PEP!K66</f>
        <v>179104.4776119403</v>
      </c>
      <c r="D70" s="69">
        <f>+PEP!L66</f>
        <v>179104.4776119403</v>
      </c>
      <c r="E70" s="69">
        <f>+PEP!M66</f>
        <v>0</v>
      </c>
      <c r="F70" s="69">
        <f>+PEP!N66</f>
        <v>179104.4776119403</v>
      </c>
      <c r="G70" s="69">
        <f>+PEP!O66</f>
        <v>179104.4776119403</v>
      </c>
      <c r="H70" s="69">
        <f>+PEP!P66</f>
        <v>0</v>
      </c>
      <c r="I70" s="69">
        <f>+PEP!Q66</f>
        <v>179104.4776119403</v>
      </c>
      <c r="J70" s="69">
        <f>+PEP!R66</f>
        <v>179104.4776119403</v>
      </c>
      <c r="K70" s="69">
        <f>+PEP!S66</f>
        <v>0</v>
      </c>
      <c r="L70" s="69">
        <f>+PEP!T66</f>
        <v>179104.4776119403</v>
      </c>
      <c r="M70" s="69">
        <f>+PEP!U66</f>
        <v>179104.4776119403</v>
      </c>
      <c r="N70" s="69">
        <f>+PEP!V66</f>
        <v>0</v>
      </c>
      <c r="O70" s="69">
        <f>+PEP!W66</f>
        <v>179104.4776119403</v>
      </c>
      <c r="P70" s="69">
        <f>+PEP!X66</f>
        <v>179104.4776119403</v>
      </c>
      <c r="Q70" s="69">
        <f>+PEP!Y66</f>
        <v>0</v>
      </c>
      <c r="R70" s="69">
        <f>+PEP!Z66</f>
        <v>895522.38805970154</v>
      </c>
      <c r="S70" s="69">
        <f>+PEP!AA66</f>
        <v>895522.38805970154</v>
      </c>
    </row>
    <row r="71" spans="1:19" hidden="1">
      <c r="A71" s="171" t="s">
        <v>75</v>
      </c>
      <c r="B71" s="69">
        <f>+PEP!J67</f>
        <v>0</v>
      </c>
      <c r="C71" s="69">
        <f>+PEP!K67</f>
        <v>179104.4776119403</v>
      </c>
      <c r="D71" s="69">
        <f>+PEP!L67</f>
        <v>179104.4776119403</v>
      </c>
      <c r="E71" s="69">
        <f>+PEP!M67</f>
        <v>0</v>
      </c>
      <c r="F71" s="69">
        <f>+PEP!N67</f>
        <v>179104.4776119403</v>
      </c>
      <c r="G71" s="69">
        <f>+PEP!O67</f>
        <v>179104.4776119403</v>
      </c>
      <c r="H71" s="69">
        <f>+PEP!P67</f>
        <v>0</v>
      </c>
      <c r="I71" s="69">
        <f>+PEP!Q67</f>
        <v>179104.4776119403</v>
      </c>
      <c r="J71" s="69">
        <f>+PEP!R67</f>
        <v>179104.4776119403</v>
      </c>
      <c r="K71" s="69">
        <f>+PEP!S67</f>
        <v>0</v>
      </c>
      <c r="L71" s="69">
        <f>+PEP!T67</f>
        <v>179104.4776119403</v>
      </c>
      <c r="M71" s="69">
        <f>+PEP!U67</f>
        <v>179104.4776119403</v>
      </c>
      <c r="N71" s="69">
        <f>+PEP!V67</f>
        <v>0</v>
      </c>
      <c r="O71" s="69">
        <f>+PEP!W67</f>
        <v>179104.4776119403</v>
      </c>
      <c r="P71" s="69">
        <f>+PEP!X67</f>
        <v>179104.4776119403</v>
      </c>
      <c r="Q71" s="69">
        <f>+PEP!Y67</f>
        <v>0</v>
      </c>
      <c r="R71" s="69">
        <f>+PEP!Z67</f>
        <v>895522.38805970154</v>
      </c>
      <c r="S71" s="69">
        <f>+PEP!AA67</f>
        <v>895522.38805970154</v>
      </c>
    </row>
    <row r="72" spans="1:19">
      <c r="A72" s="168" t="s">
        <v>76</v>
      </c>
      <c r="B72" s="122">
        <f>+PEP!J68</f>
        <v>0</v>
      </c>
      <c r="C72" s="122">
        <f>+PEP!K68</f>
        <v>168358.2089552239</v>
      </c>
      <c r="D72" s="122">
        <f>+PEP!L68</f>
        <v>168358.2089552239</v>
      </c>
      <c r="E72" s="122">
        <f>+PEP!M68</f>
        <v>0</v>
      </c>
      <c r="F72" s="122">
        <f>+PEP!N68</f>
        <v>168358.2089552239</v>
      </c>
      <c r="G72" s="122">
        <f>+PEP!O68</f>
        <v>168358.2089552239</v>
      </c>
      <c r="H72" s="122">
        <f>+PEP!P68</f>
        <v>0</v>
      </c>
      <c r="I72" s="122">
        <f>+PEP!Q68</f>
        <v>168358.2089552239</v>
      </c>
      <c r="J72" s="122">
        <f>+PEP!R68</f>
        <v>168358.2089552239</v>
      </c>
      <c r="K72" s="122">
        <f>+PEP!S68</f>
        <v>0</v>
      </c>
      <c r="L72" s="122">
        <f>+PEP!T68</f>
        <v>168358.2089552239</v>
      </c>
      <c r="M72" s="122">
        <f>+PEP!U68</f>
        <v>168358.2089552239</v>
      </c>
      <c r="N72" s="122">
        <f>+PEP!V68</f>
        <v>0</v>
      </c>
      <c r="O72" s="122">
        <f>+PEP!W68</f>
        <v>168358.2089552239</v>
      </c>
      <c r="P72" s="122">
        <f>+PEP!X68</f>
        <v>168358.2089552239</v>
      </c>
      <c r="Q72" s="122">
        <f>+PEP!Y68</f>
        <v>0</v>
      </c>
      <c r="R72" s="122">
        <f>+PEP!Z68</f>
        <v>841791.04477611929</v>
      </c>
      <c r="S72" s="122">
        <f>+PEP!AA68</f>
        <v>841791.04477611929</v>
      </c>
    </row>
    <row r="73" spans="1:19" hidden="1">
      <c r="A73" s="172" t="s">
        <v>77</v>
      </c>
      <c r="B73" s="69">
        <f>+PEP!J69</f>
        <v>0</v>
      </c>
      <c r="C73" s="69">
        <f>+PEP!K69</f>
        <v>78805.970149253728</v>
      </c>
      <c r="D73" s="69">
        <f>+PEP!L69</f>
        <v>78805.970149253728</v>
      </c>
      <c r="E73" s="69">
        <f>+PEP!M69</f>
        <v>0</v>
      </c>
      <c r="F73" s="69">
        <f>+PEP!N69</f>
        <v>78805.970149253728</v>
      </c>
      <c r="G73" s="69">
        <f>+PEP!O69</f>
        <v>78805.970149253728</v>
      </c>
      <c r="H73" s="69">
        <f>+PEP!P69</f>
        <v>0</v>
      </c>
      <c r="I73" s="69">
        <f>+PEP!Q69</f>
        <v>78805.970149253728</v>
      </c>
      <c r="J73" s="69">
        <f>+PEP!R69</f>
        <v>78805.970149253728</v>
      </c>
      <c r="K73" s="69">
        <f>+PEP!S69</f>
        <v>0</v>
      </c>
      <c r="L73" s="69">
        <f>+PEP!T69</f>
        <v>78805.970149253728</v>
      </c>
      <c r="M73" s="69">
        <f>+PEP!U69</f>
        <v>78805.970149253728</v>
      </c>
      <c r="N73" s="69">
        <f>+PEP!V69</f>
        <v>0</v>
      </c>
      <c r="O73" s="69">
        <f>+PEP!W69</f>
        <v>78805.970149253728</v>
      </c>
      <c r="P73" s="69">
        <f>+PEP!X69</f>
        <v>78805.970149253728</v>
      </c>
      <c r="Q73" s="69">
        <f>+PEP!Y69</f>
        <v>0</v>
      </c>
      <c r="R73" s="69">
        <f>+PEP!Z69</f>
        <v>394029.85074626864</v>
      </c>
      <c r="S73" s="69">
        <f>+PEP!AA69</f>
        <v>394029.85074626864</v>
      </c>
    </row>
    <row r="74" spans="1:19" hidden="1">
      <c r="A74" s="172" t="s">
        <v>78</v>
      </c>
      <c r="B74" s="69">
        <f>+PEP!J70</f>
        <v>0</v>
      </c>
      <c r="C74" s="69">
        <f>+PEP!K70</f>
        <v>1432.8358208955224</v>
      </c>
      <c r="D74" s="69">
        <f>+PEP!L70</f>
        <v>1432.8358208955224</v>
      </c>
      <c r="E74" s="69">
        <f>+PEP!M70</f>
        <v>0</v>
      </c>
      <c r="F74" s="69">
        <f>+PEP!N70</f>
        <v>1432.8358208955224</v>
      </c>
      <c r="G74" s="69">
        <f>+PEP!O70</f>
        <v>1432.8358208955224</v>
      </c>
      <c r="H74" s="69">
        <f>+PEP!P70</f>
        <v>0</v>
      </c>
      <c r="I74" s="69">
        <f>+PEP!Q70</f>
        <v>1432.8358208955224</v>
      </c>
      <c r="J74" s="69">
        <f>+PEP!R70</f>
        <v>1432.8358208955224</v>
      </c>
      <c r="K74" s="69">
        <f>+PEP!S70</f>
        <v>0</v>
      </c>
      <c r="L74" s="69">
        <f>+PEP!T70</f>
        <v>1432.8358208955224</v>
      </c>
      <c r="M74" s="69">
        <f>+PEP!U70</f>
        <v>1432.8358208955224</v>
      </c>
      <c r="N74" s="69">
        <f>+PEP!V70</f>
        <v>0</v>
      </c>
      <c r="O74" s="69">
        <f>+PEP!W70</f>
        <v>1432.8358208955224</v>
      </c>
      <c r="P74" s="69">
        <f>+PEP!X70</f>
        <v>1432.8358208955224</v>
      </c>
      <c r="Q74" s="69">
        <f>+PEP!Y70</f>
        <v>0</v>
      </c>
      <c r="R74" s="69">
        <f>+PEP!Z70</f>
        <v>7164.1791044776119</v>
      </c>
      <c r="S74" s="69">
        <f>+PEP!AA70</f>
        <v>7164.1791044776119</v>
      </c>
    </row>
    <row r="75" spans="1:19" hidden="1">
      <c r="A75" s="172" t="s">
        <v>79</v>
      </c>
      <c r="B75" s="69">
        <f>+PEP!J71</f>
        <v>0</v>
      </c>
      <c r="C75" s="69">
        <f>+PEP!K71</f>
        <v>358.20895522388059</v>
      </c>
      <c r="D75" s="69">
        <f>+PEP!L71</f>
        <v>358.20895522388059</v>
      </c>
      <c r="E75" s="69">
        <f>+PEP!M71</f>
        <v>0</v>
      </c>
      <c r="F75" s="69">
        <f>+PEP!N71</f>
        <v>358.20895522388059</v>
      </c>
      <c r="G75" s="69">
        <f>+PEP!O71</f>
        <v>358.20895522388059</v>
      </c>
      <c r="H75" s="69">
        <f>+PEP!P71</f>
        <v>0</v>
      </c>
      <c r="I75" s="69">
        <f>+PEP!Q71</f>
        <v>358.20895522388059</v>
      </c>
      <c r="J75" s="69">
        <f>+PEP!R71</f>
        <v>358.20895522388059</v>
      </c>
      <c r="K75" s="69">
        <f>+PEP!S71</f>
        <v>0</v>
      </c>
      <c r="L75" s="69">
        <f>+PEP!T71</f>
        <v>358.20895522388059</v>
      </c>
      <c r="M75" s="69">
        <f>+PEP!U71</f>
        <v>358.20895522388059</v>
      </c>
      <c r="N75" s="69">
        <f>+PEP!V71</f>
        <v>0</v>
      </c>
      <c r="O75" s="69">
        <f>+PEP!W71</f>
        <v>358.20895522388059</v>
      </c>
      <c r="P75" s="69">
        <f>+PEP!X71</f>
        <v>358.20895522388059</v>
      </c>
      <c r="Q75" s="69">
        <f>+PEP!Y71</f>
        <v>0</v>
      </c>
      <c r="R75" s="69">
        <f>+PEP!Z71</f>
        <v>1791.044776119403</v>
      </c>
      <c r="S75" s="69">
        <f>+PEP!AA71</f>
        <v>1791.044776119403</v>
      </c>
    </row>
    <row r="76" spans="1:19" hidden="1">
      <c r="A76" s="172" t="s">
        <v>80</v>
      </c>
      <c r="B76" s="69">
        <f>+PEP!J72</f>
        <v>0</v>
      </c>
      <c r="C76" s="69">
        <f>+PEP!K72</f>
        <v>17910.447761194031</v>
      </c>
      <c r="D76" s="69">
        <f>+PEP!L72</f>
        <v>17910.447761194031</v>
      </c>
      <c r="E76" s="69">
        <f>+PEP!M72</f>
        <v>0</v>
      </c>
      <c r="F76" s="69">
        <f>+PEP!N72</f>
        <v>17910.447761194031</v>
      </c>
      <c r="G76" s="69">
        <f>+PEP!O72</f>
        <v>17910.447761194031</v>
      </c>
      <c r="H76" s="69">
        <f>+PEP!P72</f>
        <v>0</v>
      </c>
      <c r="I76" s="69">
        <f>+PEP!Q72</f>
        <v>17910.447761194031</v>
      </c>
      <c r="J76" s="69">
        <f>+PEP!R72</f>
        <v>17910.447761194031</v>
      </c>
      <c r="K76" s="69">
        <f>+PEP!S72</f>
        <v>0</v>
      </c>
      <c r="L76" s="69">
        <f>+PEP!T72</f>
        <v>17910.447761194031</v>
      </c>
      <c r="M76" s="69">
        <f>+PEP!U72</f>
        <v>17910.447761194031</v>
      </c>
      <c r="N76" s="69">
        <f>+PEP!V72</f>
        <v>0</v>
      </c>
      <c r="O76" s="69">
        <f>+PEP!W72</f>
        <v>17910.447761194031</v>
      </c>
      <c r="P76" s="69">
        <f>+PEP!X72</f>
        <v>17910.447761194031</v>
      </c>
      <c r="Q76" s="69">
        <f>+PEP!Y72</f>
        <v>0</v>
      </c>
      <c r="R76" s="69">
        <f>+PEP!Z72</f>
        <v>89552.238805970148</v>
      </c>
      <c r="S76" s="69">
        <f>+PEP!AA72</f>
        <v>89552.238805970148</v>
      </c>
    </row>
    <row r="77" spans="1:19" hidden="1">
      <c r="A77" s="172" t="s">
        <v>81</v>
      </c>
      <c r="B77" s="69">
        <f>+PEP!J73</f>
        <v>0</v>
      </c>
      <c r="C77" s="69">
        <f>+PEP!K73</f>
        <v>7164.1791044776119</v>
      </c>
      <c r="D77" s="69">
        <f>+PEP!L73</f>
        <v>7164.1791044776119</v>
      </c>
      <c r="E77" s="69">
        <f>+PEP!M73</f>
        <v>0</v>
      </c>
      <c r="F77" s="69">
        <f>+PEP!N73</f>
        <v>7164.1791044776119</v>
      </c>
      <c r="G77" s="69">
        <f>+PEP!O73</f>
        <v>7164.1791044776119</v>
      </c>
      <c r="H77" s="69">
        <f>+PEP!P73</f>
        <v>0</v>
      </c>
      <c r="I77" s="69">
        <f>+PEP!Q73</f>
        <v>7164.1791044776119</v>
      </c>
      <c r="J77" s="69">
        <f>+PEP!R73</f>
        <v>7164.1791044776119</v>
      </c>
      <c r="K77" s="69">
        <f>+PEP!S73</f>
        <v>0</v>
      </c>
      <c r="L77" s="69">
        <f>+PEP!T73</f>
        <v>7164.1791044776119</v>
      </c>
      <c r="M77" s="69">
        <f>+PEP!U73</f>
        <v>7164.1791044776119</v>
      </c>
      <c r="N77" s="69">
        <f>+PEP!V73</f>
        <v>0</v>
      </c>
      <c r="O77" s="69">
        <f>+PEP!W73</f>
        <v>7164.1791044776119</v>
      </c>
      <c r="P77" s="69">
        <f>+PEP!X73</f>
        <v>7164.1791044776119</v>
      </c>
      <c r="Q77" s="69">
        <f>+PEP!Y73</f>
        <v>0</v>
      </c>
      <c r="R77" s="69">
        <f>+PEP!Z73</f>
        <v>35820.895522388062</v>
      </c>
      <c r="S77" s="69">
        <f>+PEP!AA73</f>
        <v>35820.895522388062</v>
      </c>
    </row>
    <row r="78" spans="1:19" hidden="1">
      <c r="A78" s="172" t="s">
        <v>82</v>
      </c>
      <c r="B78" s="69">
        <f>+PEP!J74</f>
        <v>0</v>
      </c>
      <c r="C78" s="69">
        <f>+PEP!K74</f>
        <v>8059.7014925373132</v>
      </c>
      <c r="D78" s="69">
        <f>+PEP!L74</f>
        <v>8059.7014925373132</v>
      </c>
      <c r="E78" s="69">
        <f>+PEP!M74</f>
        <v>0</v>
      </c>
      <c r="F78" s="69">
        <f>+PEP!N74</f>
        <v>8059.7014925373132</v>
      </c>
      <c r="G78" s="69">
        <f>+PEP!O74</f>
        <v>8059.7014925373132</v>
      </c>
      <c r="H78" s="69">
        <f>+PEP!P74</f>
        <v>0</v>
      </c>
      <c r="I78" s="69">
        <f>+PEP!Q74</f>
        <v>8059.7014925373132</v>
      </c>
      <c r="J78" s="69">
        <f>+PEP!R74</f>
        <v>8059.7014925373132</v>
      </c>
      <c r="K78" s="69">
        <f>+PEP!S74</f>
        <v>0</v>
      </c>
      <c r="L78" s="69">
        <f>+PEP!T74</f>
        <v>8059.7014925373132</v>
      </c>
      <c r="M78" s="69">
        <f>+PEP!U74</f>
        <v>8059.7014925373132</v>
      </c>
      <c r="N78" s="69">
        <f>+PEP!V74</f>
        <v>0</v>
      </c>
      <c r="O78" s="69">
        <f>+PEP!W74</f>
        <v>8059.7014925373132</v>
      </c>
      <c r="P78" s="69">
        <f>+PEP!X74</f>
        <v>8059.7014925373132</v>
      </c>
      <c r="Q78" s="69">
        <f>+PEP!Y74</f>
        <v>0</v>
      </c>
      <c r="R78" s="69">
        <f>+PEP!Z74</f>
        <v>40298.507462686568</v>
      </c>
      <c r="S78" s="69">
        <f>+PEP!AA74</f>
        <v>40298.507462686568</v>
      </c>
    </row>
    <row r="79" spans="1:19" hidden="1">
      <c r="A79" s="172" t="s">
        <v>83</v>
      </c>
      <c r="B79" s="69">
        <f>+PEP!J75</f>
        <v>0</v>
      </c>
      <c r="C79" s="69">
        <f>+PEP!K75</f>
        <v>5373.1343283582091</v>
      </c>
      <c r="D79" s="69">
        <f>+PEP!L75</f>
        <v>5373.1343283582091</v>
      </c>
      <c r="E79" s="69">
        <f>+PEP!M75</f>
        <v>0</v>
      </c>
      <c r="F79" s="69">
        <f>+PEP!N75</f>
        <v>5373.1343283582091</v>
      </c>
      <c r="G79" s="69">
        <f>+PEP!O75</f>
        <v>5373.1343283582091</v>
      </c>
      <c r="H79" s="69">
        <f>+PEP!P75</f>
        <v>0</v>
      </c>
      <c r="I79" s="69">
        <f>+PEP!Q75</f>
        <v>5373.1343283582091</v>
      </c>
      <c r="J79" s="69">
        <f>+PEP!R75</f>
        <v>5373.1343283582091</v>
      </c>
      <c r="K79" s="69">
        <f>+PEP!S75</f>
        <v>0</v>
      </c>
      <c r="L79" s="69">
        <f>+PEP!T75</f>
        <v>5373.1343283582091</v>
      </c>
      <c r="M79" s="69">
        <f>+PEP!U75</f>
        <v>5373.1343283582091</v>
      </c>
      <c r="N79" s="69">
        <f>+PEP!V75</f>
        <v>0</v>
      </c>
      <c r="O79" s="69">
        <f>+PEP!W75</f>
        <v>5373.1343283582091</v>
      </c>
      <c r="P79" s="69">
        <f>+PEP!X75</f>
        <v>5373.1343283582091</v>
      </c>
      <c r="Q79" s="69">
        <f>+PEP!Y75</f>
        <v>0</v>
      </c>
      <c r="R79" s="69">
        <f>+PEP!Z75</f>
        <v>26865.671641791047</v>
      </c>
      <c r="S79" s="69">
        <f>+PEP!AA75</f>
        <v>26865.671641791047</v>
      </c>
    </row>
    <row r="80" spans="1:19" hidden="1">
      <c r="A80" s="172" t="s">
        <v>84</v>
      </c>
      <c r="B80" s="69">
        <f>+PEP!J76</f>
        <v>0</v>
      </c>
      <c r="C80" s="69">
        <f>+PEP!K76</f>
        <v>12537.313432835821</v>
      </c>
      <c r="D80" s="69">
        <f>+PEP!L76</f>
        <v>12537.313432835821</v>
      </c>
      <c r="E80" s="69">
        <f>+PEP!M76</f>
        <v>0</v>
      </c>
      <c r="F80" s="69">
        <f>+PEP!N76</f>
        <v>12537.313432835821</v>
      </c>
      <c r="G80" s="69">
        <f>+PEP!O76</f>
        <v>12537.313432835821</v>
      </c>
      <c r="H80" s="69">
        <f>+PEP!P76</f>
        <v>0</v>
      </c>
      <c r="I80" s="69">
        <f>+PEP!Q76</f>
        <v>12537.313432835821</v>
      </c>
      <c r="J80" s="69">
        <f>+PEP!R76</f>
        <v>12537.313432835821</v>
      </c>
      <c r="K80" s="69">
        <f>+PEP!S76</f>
        <v>0</v>
      </c>
      <c r="L80" s="69">
        <f>+PEP!T76</f>
        <v>12537.313432835821</v>
      </c>
      <c r="M80" s="69">
        <f>+PEP!U76</f>
        <v>12537.313432835821</v>
      </c>
      <c r="N80" s="69">
        <f>+PEP!V76</f>
        <v>0</v>
      </c>
      <c r="O80" s="69">
        <f>+PEP!W76</f>
        <v>12537.313432835821</v>
      </c>
      <c r="P80" s="69">
        <f>+PEP!X76</f>
        <v>12537.313432835821</v>
      </c>
      <c r="Q80" s="69">
        <f>+PEP!Y76</f>
        <v>0</v>
      </c>
      <c r="R80" s="69">
        <f>+PEP!Z76</f>
        <v>62686.567164179105</v>
      </c>
      <c r="S80" s="69">
        <f>+PEP!AA76</f>
        <v>62686.567164179105</v>
      </c>
    </row>
    <row r="81" spans="1:19" hidden="1">
      <c r="A81" s="172" t="s">
        <v>85</v>
      </c>
      <c r="B81" s="69">
        <f>+PEP!J77</f>
        <v>0</v>
      </c>
      <c r="C81" s="69">
        <f>+PEP!K77</f>
        <v>35820.895522388062</v>
      </c>
      <c r="D81" s="69">
        <f>+PEP!L77</f>
        <v>35820.895522388062</v>
      </c>
      <c r="E81" s="69">
        <f>+PEP!M77</f>
        <v>0</v>
      </c>
      <c r="F81" s="69">
        <f>+PEP!N77</f>
        <v>35820.895522388062</v>
      </c>
      <c r="G81" s="69">
        <f>+PEP!O77</f>
        <v>35820.895522388062</v>
      </c>
      <c r="H81" s="69">
        <f>+PEP!P77</f>
        <v>0</v>
      </c>
      <c r="I81" s="69">
        <f>+PEP!Q77</f>
        <v>35820.895522388062</v>
      </c>
      <c r="J81" s="69">
        <f>+PEP!R77</f>
        <v>35820.895522388062</v>
      </c>
      <c r="K81" s="69">
        <f>+PEP!S77</f>
        <v>0</v>
      </c>
      <c r="L81" s="69">
        <f>+PEP!T77</f>
        <v>35820.895522388062</v>
      </c>
      <c r="M81" s="69">
        <f>+PEP!U77</f>
        <v>35820.895522388062</v>
      </c>
      <c r="N81" s="69">
        <f>+PEP!V77</f>
        <v>0</v>
      </c>
      <c r="O81" s="69">
        <f>+PEP!W77</f>
        <v>35820.895522388062</v>
      </c>
      <c r="P81" s="69">
        <f>+PEP!X77</f>
        <v>35820.895522388062</v>
      </c>
      <c r="Q81" s="69">
        <f>+PEP!Y77</f>
        <v>0</v>
      </c>
      <c r="R81" s="69">
        <f>+PEP!Z77</f>
        <v>179104.4776119403</v>
      </c>
      <c r="S81" s="69">
        <f>+PEP!AA77</f>
        <v>179104.4776119403</v>
      </c>
    </row>
    <row r="82" spans="1:19" hidden="1">
      <c r="A82" s="172" t="s">
        <v>86</v>
      </c>
      <c r="B82" s="69">
        <f>+PEP!J78</f>
        <v>0</v>
      </c>
      <c r="C82" s="69">
        <f>+PEP!K78</f>
        <v>895.52238805970148</v>
      </c>
      <c r="D82" s="69">
        <f>+PEP!L78</f>
        <v>895.52238805970148</v>
      </c>
      <c r="E82" s="69">
        <f>+PEP!M78</f>
        <v>0</v>
      </c>
      <c r="F82" s="69">
        <f>+PEP!N78</f>
        <v>895.52238805970148</v>
      </c>
      <c r="G82" s="69">
        <f>+PEP!O78</f>
        <v>895.52238805970148</v>
      </c>
      <c r="H82" s="69">
        <f>+PEP!P78</f>
        <v>0</v>
      </c>
      <c r="I82" s="69">
        <f>+PEP!Q78</f>
        <v>895.52238805970148</v>
      </c>
      <c r="J82" s="69">
        <f>+PEP!R78</f>
        <v>895.52238805970148</v>
      </c>
      <c r="K82" s="69">
        <f>+PEP!S78</f>
        <v>0</v>
      </c>
      <c r="L82" s="69">
        <f>+PEP!T78</f>
        <v>895.52238805970148</v>
      </c>
      <c r="M82" s="69">
        <f>+PEP!U78</f>
        <v>895.52238805970148</v>
      </c>
      <c r="N82" s="69">
        <f>+PEP!V78</f>
        <v>0</v>
      </c>
      <c r="O82" s="69">
        <f>+PEP!W78</f>
        <v>895.52238805970148</v>
      </c>
      <c r="P82" s="69">
        <f>+PEP!X78</f>
        <v>895.52238805970148</v>
      </c>
      <c r="Q82" s="69">
        <f>+PEP!Y78</f>
        <v>0</v>
      </c>
      <c r="R82" s="69">
        <f>+PEP!Z78</f>
        <v>4477.6119402985078</v>
      </c>
      <c r="S82" s="69">
        <f>+PEP!AA78</f>
        <v>4477.6119402985078</v>
      </c>
    </row>
    <row r="83" spans="1:19" ht="28.5" customHeight="1">
      <c r="A83" s="168" t="s">
        <v>87</v>
      </c>
      <c r="B83" s="122">
        <f>+PEP!J79</f>
        <v>0</v>
      </c>
      <c r="C83" s="122">
        <f>+PEP!K79</f>
        <v>165283.58208955225</v>
      </c>
      <c r="D83" s="122">
        <f>+PEP!L79</f>
        <v>165283.58208955225</v>
      </c>
      <c r="E83" s="122">
        <f>+PEP!M79</f>
        <v>0</v>
      </c>
      <c r="F83" s="122">
        <f>+PEP!N79</f>
        <v>0</v>
      </c>
      <c r="G83" s="122">
        <f>+PEP!O79</f>
        <v>0</v>
      </c>
      <c r="H83" s="122">
        <f>+PEP!P79</f>
        <v>0</v>
      </c>
      <c r="I83" s="122">
        <f>+PEP!Q79</f>
        <v>0</v>
      </c>
      <c r="J83" s="122">
        <f>+PEP!R79</f>
        <v>0</v>
      </c>
      <c r="K83" s="122">
        <f>+PEP!S79</f>
        <v>0</v>
      </c>
      <c r="L83" s="122">
        <f>+PEP!T79</f>
        <v>0</v>
      </c>
      <c r="M83" s="122">
        <f>+PEP!U79</f>
        <v>0</v>
      </c>
      <c r="N83" s="122">
        <f>+PEP!V79</f>
        <v>0</v>
      </c>
      <c r="O83" s="122">
        <f>+PEP!W79</f>
        <v>0</v>
      </c>
      <c r="P83" s="122">
        <f>+PEP!X79</f>
        <v>0</v>
      </c>
      <c r="Q83" s="122">
        <f>+PEP!Y79</f>
        <v>0</v>
      </c>
      <c r="R83" s="122">
        <f>+PEP!Z79</f>
        <v>165283.58208955225</v>
      </c>
      <c r="S83" s="122">
        <f>+PEP!AA79</f>
        <v>165283.58208955225</v>
      </c>
    </row>
    <row r="84" spans="1:19" hidden="1">
      <c r="A84" s="172" t="s">
        <v>88</v>
      </c>
      <c r="B84" s="69">
        <f>+PEP!J80</f>
        <v>0</v>
      </c>
      <c r="C84" s="69">
        <f>+PEP!K80</f>
        <v>51492.537313432833</v>
      </c>
      <c r="D84" s="69">
        <f>+PEP!L80</f>
        <v>51492.537313432833</v>
      </c>
      <c r="E84" s="69">
        <f>+PEP!M80</f>
        <v>0</v>
      </c>
      <c r="F84" s="69">
        <f>+PEP!N80</f>
        <v>0</v>
      </c>
      <c r="G84" s="69">
        <f>+PEP!O80</f>
        <v>0</v>
      </c>
      <c r="H84" s="69">
        <f>+PEP!P80</f>
        <v>0</v>
      </c>
      <c r="I84" s="69">
        <f>+PEP!Q80</f>
        <v>0</v>
      </c>
      <c r="J84" s="69">
        <f>+PEP!R80</f>
        <v>0</v>
      </c>
      <c r="K84" s="69">
        <f>+PEP!S80</f>
        <v>0</v>
      </c>
      <c r="L84" s="69">
        <f>+PEP!T80</f>
        <v>0</v>
      </c>
      <c r="M84" s="69">
        <f>+PEP!U80</f>
        <v>0</v>
      </c>
      <c r="N84" s="69">
        <f>+PEP!V80</f>
        <v>0</v>
      </c>
      <c r="O84" s="69">
        <f>+PEP!W80</f>
        <v>0</v>
      </c>
      <c r="P84" s="69">
        <f>+PEP!X80</f>
        <v>0</v>
      </c>
      <c r="Q84" s="69">
        <f>+PEP!Y80</f>
        <v>0</v>
      </c>
      <c r="R84" s="69">
        <f>+PEP!Z80</f>
        <v>51492.537313432833</v>
      </c>
      <c r="S84" s="69">
        <f>+PEP!AA80</f>
        <v>51492.537313432833</v>
      </c>
    </row>
    <row r="85" spans="1:19" hidden="1">
      <c r="A85" s="172" t="s">
        <v>89</v>
      </c>
      <c r="B85" s="69">
        <f>+PEP!J81</f>
        <v>0</v>
      </c>
      <c r="C85" s="69">
        <f>+PEP!K81</f>
        <v>4477.6119402985078</v>
      </c>
      <c r="D85" s="69">
        <f>+PEP!L81</f>
        <v>4477.6119402985078</v>
      </c>
      <c r="E85" s="69">
        <f>+PEP!M81</f>
        <v>0</v>
      </c>
      <c r="F85" s="69">
        <f>+PEP!N81</f>
        <v>0</v>
      </c>
      <c r="G85" s="69">
        <f>+PEP!O81</f>
        <v>0</v>
      </c>
      <c r="H85" s="69">
        <f>+PEP!P81</f>
        <v>0</v>
      </c>
      <c r="I85" s="69">
        <f>+PEP!Q81</f>
        <v>0</v>
      </c>
      <c r="J85" s="69">
        <f>+PEP!R81</f>
        <v>0</v>
      </c>
      <c r="K85" s="69">
        <f>+PEP!S81</f>
        <v>0</v>
      </c>
      <c r="L85" s="69">
        <f>+PEP!T81</f>
        <v>0</v>
      </c>
      <c r="M85" s="69">
        <f>+PEP!U81</f>
        <v>0</v>
      </c>
      <c r="N85" s="69">
        <f>+PEP!V81</f>
        <v>0</v>
      </c>
      <c r="O85" s="69">
        <f>+PEP!W81</f>
        <v>0</v>
      </c>
      <c r="P85" s="69">
        <f>+PEP!X81</f>
        <v>0</v>
      </c>
      <c r="Q85" s="69">
        <f>+PEP!Y81</f>
        <v>0</v>
      </c>
      <c r="R85" s="69">
        <f>+PEP!Z81</f>
        <v>4477.6119402985078</v>
      </c>
      <c r="S85" s="69">
        <f>+PEP!AA81</f>
        <v>4477.6119402985078</v>
      </c>
    </row>
    <row r="86" spans="1:19" hidden="1">
      <c r="A86" s="172" t="s">
        <v>90</v>
      </c>
      <c r="B86" s="69">
        <f>+PEP!J82</f>
        <v>0</v>
      </c>
      <c r="C86" s="69">
        <f>+PEP!K82</f>
        <v>5970.1492537313434</v>
      </c>
      <c r="D86" s="69">
        <f>+PEP!L82</f>
        <v>5970.1492537313434</v>
      </c>
      <c r="E86" s="69">
        <f>+PEP!M82</f>
        <v>0</v>
      </c>
      <c r="F86" s="69">
        <f>+PEP!N82</f>
        <v>0</v>
      </c>
      <c r="G86" s="69">
        <f>+PEP!O82</f>
        <v>0</v>
      </c>
      <c r="H86" s="69">
        <f>+PEP!P82</f>
        <v>0</v>
      </c>
      <c r="I86" s="69">
        <f>+PEP!Q82</f>
        <v>0</v>
      </c>
      <c r="J86" s="69">
        <f>+PEP!R82</f>
        <v>0</v>
      </c>
      <c r="K86" s="69">
        <f>+PEP!S82</f>
        <v>0</v>
      </c>
      <c r="L86" s="69">
        <f>+PEP!T82</f>
        <v>0</v>
      </c>
      <c r="M86" s="69">
        <f>+PEP!U82</f>
        <v>0</v>
      </c>
      <c r="N86" s="69">
        <f>+PEP!V82</f>
        <v>0</v>
      </c>
      <c r="O86" s="69">
        <f>+PEP!W82</f>
        <v>0</v>
      </c>
      <c r="P86" s="69">
        <f>+PEP!X82</f>
        <v>0</v>
      </c>
      <c r="Q86" s="69">
        <f>+PEP!Y82</f>
        <v>0</v>
      </c>
      <c r="R86" s="69">
        <f>+PEP!Z82</f>
        <v>5970.1492537313434</v>
      </c>
      <c r="S86" s="69">
        <f>+PEP!AA82</f>
        <v>5970.1492537313434</v>
      </c>
    </row>
    <row r="87" spans="1:19" hidden="1">
      <c r="A87" s="172" t="s">
        <v>91</v>
      </c>
      <c r="B87" s="69">
        <f>+PEP!J83</f>
        <v>0</v>
      </c>
      <c r="C87" s="69">
        <f>+PEP!K83</f>
        <v>5970.1492537313434</v>
      </c>
      <c r="D87" s="69">
        <f>+PEP!L83</f>
        <v>5970.1492537313434</v>
      </c>
      <c r="E87" s="69">
        <f>+PEP!M83</f>
        <v>0</v>
      </c>
      <c r="F87" s="69">
        <f>+PEP!N83</f>
        <v>0</v>
      </c>
      <c r="G87" s="69">
        <f>+PEP!O83</f>
        <v>0</v>
      </c>
      <c r="H87" s="69">
        <f>+PEP!P83</f>
        <v>0</v>
      </c>
      <c r="I87" s="69">
        <f>+PEP!Q83</f>
        <v>0</v>
      </c>
      <c r="J87" s="69">
        <f>+PEP!R83</f>
        <v>0</v>
      </c>
      <c r="K87" s="69">
        <f>+PEP!S83</f>
        <v>0</v>
      </c>
      <c r="L87" s="69">
        <f>+PEP!T83</f>
        <v>0</v>
      </c>
      <c r="M87" s="69">
        <f>+PEP!U83</f>
        <v>0</v>
      </c>
      <c r="N87" s="69">
        <f>+PEP!V83</f>
        <v>0</v>
      </c>
      <c r="O87" s="69">
        <f>+PEP!W83</f>
        <v>0</v>
      </c>
      <c r="P87" s="69">
        <f>+PEP!X83</f>
        <v>0</v>
      </c>
      <c r="Q87" s="69">
        <f>+PEP!Y83</f>
        <v>0</v>
      </c>
      <c r="R87" s="69">
        <f>+PEP!Z83</f>
        <v>5970.1492537313434</v>
      </c>
      <c r="S87" s="69">
        <f>+PEP!AA83</f>
        <v>5970.1492537313434</v>
      </c>
    </row>
    <row r="88" spans="1:19" hidden="1">
      <c r="A88" s="172" t="s">
        <v>92</v>
      </c>
      <c r="B88" s="69">
        <f>+PEP!J84</f>
        <v>0</v>
      </c>
      <c r="C88" s="69">
        <f>+PEP!K84</f>
        <v>2238.8059701492539</v>
      </c>
      <c r="D88" s="69">
        <f>+PEP!L84</f>
        <v>2238.8059701492539</v>
      </c>
      <c r="E88" s="69">
        <f>+PEP!M84</f>
        <v>0</v>
      </c>
      <c r="F88" s="69">
        <f>+PEP!N84</f>
        <v>0</v>
      </c>
      <c r="G88" s="69">
        <f>+PEP!O84</f>
        <v>0</v>
      </c>
      <c r="H88" s="69">
        <f>+PEP!P84</f>
        <v>0</v>
      </c>
      <c r="I88" s="69">
        <f>+PEP!Q84</f>
        <v>0</v>
      </c>
      <c r="J88" s="69">
        <f>+PEP!R84</f>
        <v>0</v>
      </c>
      <c r="K88" s="69">
        <f>+PEP!S84</f>
        <v>0</v>
      </c>
      <c r="L88" s="69">
        <f>+PEP!T84</f>
        <v>0</v>
      </c>
      <c r="M88" s="69">
        <f>+PEP!U84</f>
        <v>0</v>
      </c>
      <c r="N88" s="69">
        <f>+PEP!V84</f>
        <v>0</v>
      </c>
      <c r="O88" s="69">
        <f>+PEP!W84</f>
        <v>0</v>
      </c>
      <c r="P88" s="69">
        <f>+PEP!X84</f>
        <v>0</v>
      </c>
      <c r="Q88" s="69">
        <f>+PEP!Y84</f>
        <v>0</v>
      </c>
      <c r="R88" s="69">
        <f>+PEP!Z84</f>
        <v>2238.8059701492539</v>
      </c>
      <c r="S88" s="69">
        <f>+PEP!AA84</f>
        <v>2238.8059701492539</v>
      </c>
    </row>
    <row r="89" spans="1:19" hidden="1">
      <c r="A89" s="172" t="s">
        <v>93</v>
      </c>
      <c r="B89" s="69">
        <f>+PEP!J85</f>
        <v>0</v>
      </c>
      <c r="C89" s="69">
        <f>+PEP!K85</f>
        <v>5373.1343283582091</v>
      </c>
      <c r="D89" s="69">
        <f>+PEP!L85</f>
        <v>5373.1343283582091</v>
      </c>
      <c r="E89" s="69">
        <f>+PEP!M85</f>
        <v>0</v>
      </c>
      <c r="F89" s="69">
        <f>+PEP!N85</f>
        <v>0</v>
      </c>
      <c r="G89" s="69">
        <f>+PEP!O85</f>
        <v>0</v>
      </c>
      <c r="H89" s="69">
        <f>+PEP!P85</f>
        <v>0</v>
      </c>
      <c r="I89" s="69">
        <f>+PEP!Q85</f>
        <v>0</v>
      </c>
      <c r="J89" s="69">
        <f>+PEP!R85</f>
        <v>0</v>
      </c>
      <c r="K89" s="69">
        <f>+PEP!S85</f>
        <v>0</v>
      </c>
      <c r="L89" s="69">
        <f>+PEP!T85</f>
        <v>0</v>
      </c>
      <c r="M89" s="69">
        <f>+PEP!U85</f>
        <v>0</v>
      </c>
      <c r="N89" s="69">
        <f>+PEP!V85</f>
        <v>0</v>
      </c>
      <c r="O89" s="69">
        <f>+PEP!W85</f>
        <v>0</v>
      </c>
      <c r="P89" s="69">
        <f>+PEP!X85</f>
        <v>0</v>
      </c>
      <c r="Q89" s="69">
        <f>+PEP!Y85</f>
        <v>0</v>
      </c>
      <c r="R89" s="69">
        <f>+PEP!Z85</f>
        <v>5373.1343283582091</v>
      </c>
      <c r="S89" s="69">
        <f>+PEP!AA85</f>
        <v>5373.1343283582091</v>
      </c>
    </row>
    <row r="90" spans="1:19" hidden="1">
      <c r="A90" s="172" t="s">
        <v>94</v>
      </c>
      <c r="B90" s="69">
        <f>+PEP!J86</f>
        <v>0</v>
      </c>
      <c r="C90" s="69">
        <f>+PEP!K86</f>
        <v>4776.1194029850749</v>
      </c>
      <c r="D90" s="69">
        <f>+PEP!L86</f>
        <v>4776.1194029850749</v>
      </c>
      <c r="E90" s="69">
        <f>+PEP!M86</f>
        <v>0</v>
      </c>
      <c r="F90" s="69">
        <f>+PEP!N86</f>
        <v>0</v>
      </c>
      <c r="G90" s="69">
        <f>+PEP!O86</f>
        <v>0</v>
      </c>
      <c r="H90" s="69">
        <f>+PEP!P86</f>
        <v>0</v>
      </c>
      <c r="I90" s="69">
        <f>+PEP!Q86</f>
        <v>0</v>
      </c>
      <c r="J90" s="69">
        <f>+PEP!R86</f>
        <v>0</v>
      </c>
      <c r="K90" s="69">
        <f>+PEP!S86</f>
        <v>0</v>
      </c>
      <c r="L90" s="69">
        <f>+PEP!T86</f>
        <v>0</v>
      </c>
      <c r="M90" s="69">
        <f>+PEP!U86</f>
        <v>0</v>
      </c>
      <c r="N90" s="69">
        <f>+PEP!V86</f>
        <v>0</v>
      </c>
      <c r="O90" s="69">
        <f>+PEP!W86</f>
        <v>0</v>
      </c>
      <c r="P90" s="69">
        <f>+PEP!X86</f>
        <v>0</v>
      </c>
      <c r="Q90" s="69">
        <f>+PEP!Y86</f>
        <v>0</v>
      </c>
      <c r="R90" s="69">
        <f>+PEP!Z86</f>
        <v>4776.1194029850749</v>
      </c>
      <c r="S90" s="69">
        <f>+PEP!AA86</f>
        <v>4776.1194029850749</v>
      </c>
    </row>
    <row r="91" spans="1:19" hidden="1">
      <c r="A91" s="172" t="s">
        <v>95</v>
      </c>
      <c r="B91" s="69">
        <f>+PEP!J87</f>
        <v>0</v>
      </c>
      <c r="C91" s="69">
        <f>+PEP!K87</f>
        <v>1194.0298507462687</v>
      </c>
      <c r="D91" s="69">
        <f>+PEP!L87</f>
        <v>1194.0298507462687</v>
      </c>
      <c r="E91" s="69">
        <f>+PEP!M87</f>
        <v>0</v>
      </c>
      <c r="F91" s="69">
        <f>+PEP!N87</f>
        <v>0</v>
      </c>
      <c r="G91" s="69">
        <f>+PEP!O87</f>
        <v>0</v>
      </c>
      <c r="H91" s="69">
        <f>+PEP!P87</f>
        <v>0</v>
      </c>
      <c r="I91" s="69">
        <f>+PEP!Q87</f>
        <v>0</v>
      </c>
      <c r="J91" s="69">
        <f>+PEP!R87</f>
        <v>0</v>
      </c>
      <c r="K91" s="69">
        <f>+PEP!S87</f>
        <v>0</v>
      </c>
      <c r="L91" s="69">
        <f>+PEP!T87</f>
        <v>0</v>
      </c>
      <c r="M91" s="69">
        <f>+PEP!U87</f>
        <v>0</v>
      </c>
      <c r="N91" s="69">
        <f>+PEP!V87</f>
        <v>0</v>
      </c>
      <c r="O91" s="69">
        <f>+PEP!W87</f>
        <v>0</v>
      </c>
      <c r="P91" s="69">
        <f>+PEP!X87</f>
        <v>0</v>
      </c>
      <c r="Q91" s="69">
        <f>+PEP!Y87</f>
        <v>0</v>
      </c>
      <c r="R91" s="69">
        <f>+PEP!Z87</f>
        <v>1194.0298507462687</v>
      </c>
      <c r="S91" s="69">
        <f>+PEP!AA87</f>
        <v>1194.0298507462687</v>
      </c>
    </row>
    <row r="92" spans="1:19" hidden="1">
      <c r="A92" s="172" t="s">
        <v>96</v>
      </c>
      <c r="B92" s="69">
        <f>+PEP!J88</f>
        <v>0</v>
      </c>
      <c r="C92" s="69">
        <f>+PEP!K88</f>
        <v>36044.776119402981</v>
      </c>
      <c r="D92" s="69">
        <f>+PEP!L88</f>
        <v>36044.776119402981</v>
      </c>
      <c r="E92" s="69">
        <f>+PEP!M88</f>
        <v>0</v>
      </c>
      <c r="F92" s="69">
        <f>+PEP!N88</f>
        <v>0</v>
      </c>
      <c r="G92" s="69">
        <f>+PEP!O88</f>
        <v>0</v>
      </c>
      <c r="H92" s="69">
        <f>+PEP!P88</f>
        <v>0</v>
      </c>
      <c r="I92" s="69">
        <f>+PEP!Q88</f>
        <v>0</v>
      </c>
      <c r="J92" s="69">
        <f>+PEP!R88</f>
        <v>0</v>
      </c>
      <c r="K92" s="69">
        <f>+PEP!S88</f>
        <v>0</v>
      </c>
      <c r="L92" s="69">
        <f>+PEP!T88</f>
        <v>0</v>
      </c>
      <c r="M92" s="69">
        <f>+PEP!U88</f>
        <v>0</v>
      </c>
      <c r="N92" s="69">
        <f>+PEP!V88</f>
        <v>0</v>
      </c>
      <c r="O92" s="69">
        <f>+PEP!W88</f>
        <v>0</v>
      </c>
      <c r="P92" s="69">
        <f>+PEP!X88</f>
        <v>0</v>
      </c>
      <c r="Q92" s="69">
        <f>+PEP!Y88</f>
        <v>0</v>
      </c>
      <c r="R92" s="69">
        <f>+PEP!Z88</f>
        <v>36044.776119402981</v>
      </c>
      <c r="S92" s="69">
        <f>+PEP!AA88</f>
        <v>36044.776119402981</v>
      </c>
    </row>
    <row r="93" spans="1:19" hidden="1">
      <c r="A93" s="172" t="s">
        <v>97</v>
      </c>
      <c r="B93" s="69">
        <f>+PEP!J89</f>
        <v>0</v>
      </c>
      <c r="C93" s="69">
        <f>+PEP!K89</f>
        <v>11328.358208955224</v>
      </c>
      <c r="D93" s="69">
        <f>+PEP!L89</f>
        <v>11328.358208955224</v>
      </c>
      <c r="E93" s="69">
        <f>+PEP!M89</f>
        <v>0</v>
      </c>
      <c r="F93" s="69">
        <f>+PEP!N89</f>
        <v>0</v>
      </c>
      <c r="G93" s="69">
        <f>+PEP!O89</f>
        <v>0</v>
      </c>
      <c r="H93" s="69">
        <f>+PEP!P89</f>
        <v>0</v>
      </c>
      <c r="I93" s="69">
        <f>+PEP!Q89</f>
        <v>0</v>
      </c>
      <c r="J93" s="69">
        <f>+PEP!R89</f>
        <v>0</v>
      </c>
      <c r="K93" s="69">
        <f>+PEP!S89</f>
        <v>0</v>
      </c>
      <c r="L93" s="69">
        <f>+PEP!T89</f>
        <v>0</v>
      </c>
      <c r="M93" s="69">
        <f>+PEP!U89</f>
        <v>0</v>
      </c>
      <c r="N93" s="69">
        <f>+PEP!V89</f>
        <v>0</v>
      </c>
      <c r="O93" s="69">
        <f>+PEP!W89</f>
        <v>0</v>
      </c>
      <c r="P93" s="69">
        <f>+PEP!X89</f>
        <v>0</v>
      </c>
      <c r="Q93" s="69">
        <f>+PEP!Y89</f>
        <v>0</v>
      </c>
      <c r="R93" s="69">
        <f>+PEP!Z89</f>
        <v>11328.358208955224</v>
      </c>
      <c r="S93" s="69">
        <f>+PEP!AA89</f>
        <v>11328.358208955224</v>
      </c>
    </row>
    <row r="94" spans="1:19" hidden="1">
      <c r="A94" s="172" t="s">
        <v>98</v>
      </c>
      <c r="B94" s="69">
        <f>+PEP!J90</f>
        <v>0</v>
      </c>
      <c r="C94" s="69">
        <f>+PEP!K90</f>
        <v>1194.0298507462687</v>
      </c>
      <c r="D94" s="69">
        <f>+PEP!L90</f>
        <v>1194.0298507462687</v>
      </c>
      <c r="E94" s="69">
        <f>+PEP!M90</f>
        <v>0</v>
      </c>
      <c r="F94" s="69">
        <f>+PEP!N90</f>
        <v>0</v>
      </c>
      <c r="G94" s="69">
        <f>+PEP!O90</f>
        <v>0</v>
      </c>
      <c r="H94" s="69">
        <f>+PEP!P90</f>
        <v>0</v>
      </c>
      <c r="I94" s="69">
        <f>+PEP!Q90</f>
        <v>0</v>
      </c>
      <c r="J94" s="69">
        <f>+PEP!R90</f>
        <v>0</v>
      </c>
      <c r="K94" s="69">
        <f>+PEP!S90</f>
        <v>0</v>
      </c>
      <c r="L94" s="69">
        <f>+PEP!T90</f>
        <v>0</v>
      </c>
      <c r="M94" s="69">
        <f>+PEP!U90</f>
        <v>0</v>
      </c>
      <c r="N94" s="69">
        <f>+PEP!V90</f>
        <v>0</v>
      </c>
      <c r="O94" s="69">
        <f>+PEP!W90</f>
        <v>0</v>
      </c>
      <c r="P94" s="69">
        <f>+PEP!X90</f>
        <v>0</v>
      </c>
      <c r="Q94" s="69">
        <f>+PEP!Y90</f>
        <v>0</v>
      </c>
      <c r="R94" s="69">
        <f>+PEP!Z90</f>
        <v>1194.0298507462687</v>
      </c>
      <c r="S94" s="69">
        <f>+PEP!AA90</f>
        <v>1194.0298507462687</v>
      </c>
    </row>
    <row r="95" spans="1:19" hidden="1">
      <c r="A95" s="172" t="s">
        <v>99</v>
      </c>
      <c r="B95" s="69">
        <f>+PEP!J91</f>
        <v>0</v>
      </c>
      <c r="C95" s="69">
        <f>+PEP!K91</f>
        <v>8358.2089552238813</v>
      </c>
      <c r="D95" s="69">
        <f>+PEP!L91</f>
        <v>8358.2089552238813</v>
      </c>
      <c r="E95" s="69">
        <f>+PEP!M91</f>
        <v>0</v>
      </c>
      <c r="F95" s="69">
        <f>+PEP!N91</f>
        <v>0</v>
      </c>
      <c r="G95" s="69">
        <f>+PEP!O91</f>
        <v>0</v>
      </c>
      <c r="H95" s="69">
        <f>+PEP!P91</f>
        <v>0</v>
      </c>
      <c r="I95" s="69">
        <f>+PEP!Q91</f>
        <v>0</v>
      </c>
      <c r="J95" s="69">
        <f>+PEP!R91</f>
        <v>0</v>
      </c>
      <c r="K95" s="69">
        <f>+PEP!S91</f>
        <v>0</v>
      </c>
      <c r="L95" s="69">
        <f>+PEP!T91</f>
        <v>0</v>
      </c>
      <c r="M95" s="69">
        <f>+PEP!U91</f>
        <v>0</v>
      </c>
      <c r="N95" s="69">
        <f>+PEP!V91</f>
        <v>0</v>
      </c>
      <c r="O95" s="69">
        <f>+PEP!W91</f>
        <v>0</v>
      </c>
      <c r="P95" s="69">
        <f>+PEP!X91</f>
        <v>0</v>
      </c>
      <c r="Q95" s="69">
        <f>+PEP!Y91</f>
        <v>0</v>
      </c>
      <c r="R95" s="69">
        <f>+PEP!Z91</f>
        <v>8358.2089552238813</v>
      </c>
      <c r="S95" s="69">
        <f>+PEP!AA91</f>
        <v>8358.2089552238813</v>
      </c>
    </row>
    <row r="96" spans="1:19" hidden="1">
      <c r="A96" s="172" t="s">
        <v>100</v>
      </c>
      <c r="B96" s="69">
        <f>+PEP!J92</f>
        <v>0</v>
      </c>
      <c r="C96" s="69">
        <f>+PEP!K92</f>
        <v>4477.6119402985078</v>
      </c>
      <c r="D96" s="69">
        <f>+PEP!L92</f>
        <v>4477.6119402985078</v>
      </c>
      <c r="E96" s="69">
        <f>+PEP!M92</f>
        <v>0</v>
      </c>
      <c r="F96" s="69">
        <f>+PEP!N92</f>
        <v>0</v>
      </c>
      <c r="G96" s="69">
        <f>+PEP!O92</f>
        <v>0</v>
      </c>
      <c r="H96" s="69">
        <f>+PEP!P92</f>
        <v>0</v>
      </c>
      <c r="I96" s="69">
        <f>+PEP!Q92</f>
        <v>0</v>
      </c>
      <c r="J96" s="69">
        <f>+PEP!R92</f>
        <v>0</v>
      </c>
      <c r="K96" s="69">
        <f>+PEP!S92</f>
        <v>0</v>
      </c>
      <c r="L96" s="69">
        <f>+PEP!T92</f>
        <v>0</v>
      </c>
      <c r="M96" s="69">
        <f>+PEP!U92</f>
        <v>0</v>
      </c>
      <c r="N96" s="69">
        <f>+PEP!V92</f>
        <v>0</v>
      </c>
      <c r="O96" s="69">
        <f>+PEP!W92</f>
        <v>0</v>
      </c>
      <c r="P96" s="69">
        <f>+PEP!X92</f>
        <v>0</v>
      </c>
      <c r="Q96" s="69">
        <f>+PEP!Y92</f>
        <v>0</v>
      </c>
      <c r="R96" s="69">
        <f>+PEP!Z92</f>
        <v>4477.6119402985078</v>
      </c>
      <c r="S96" s="69">
        <f>+PEP!AA92</f>
        <v>4477.6119402985078</v>
      </c>
    </row>
    <row r="97" spans="1:19" hidden="1">
      <c r="A97" s="172" t="s">
        <v>101</v>
      </c>
      <c r="B97" s="69">
        <f>+PEP!J93</f>
        <v>0</v>
      </c>
      <c r="C97" s="69">
        <f>+PEP!K93</f>
        <v>7462.686567164179</v>
      </c>
      <c r="D97" s="69">
        <f>+PEP!L93</f>
        <v>7462.686567164179</v>
      </c>
      <c r="E97" s="69">
        <f>+PEP!M93</f>
        <v>0</v>
      </c>
      <c r="F97" s="69">
        <f>+PEP!N93</f>
        <v>0</v>
      </c>
      <c r="G97" s="69">
        <f>+PEP!O93</f>
        <v>0</v>
      </c>
      <c r="H97" s="69">
        <f>+PEP!P93</f>
        <v>0</v>
      </c>
      <c r="I97" s="69">
        <f>+PEP!Q93</f>
        <v>0</v>
      </c>
      <c r="J97" s="69">
        <f>+PEP!R93</f>
        <v>0</v>
      </c>
      <c r="K97" s="69">
        <f>+PEP!S93</f>
        <v>0</v>
      </c>
      <c r="L97" s="69">
        <f>+PEP!T93</f>
        <v>0</v>
      </c>
      <c r="M97" s="69">
        <f>+PEP!U93</f>
        <v>0</v>
      </c>
      <c r="N97" s="69">
        <f>+PEP!V93</f>
        <v>0</v>
      </c>
      <c r="O97" s="69">
        <f>+PEP!W93</f>
        <v>0</v>
      </c>
      <c r="P97" s="69">
        <f>+PEP!X93</f>
        <v>0</v>
      </c>
      <c r="Q97" s="69">
        <f>+PEP!Y93</f>
        <v>0</v>
      </c>
      <c r="R97" s="69">
        <f>+PEP!Z93</f>
        <v>7462.686567164179</v>
      </c>
      <c r="S97" s="69">
        <f>+PEP!AA93</f>
        <v>7462.686567164179</v>
      </c>
    </row>
    <row r="98" spans="1:19" hidden="1">
      <c r="A98" s="172" t="s">
        <v>102</v>
      </c>
      <c r="B98" s="69">
        <f>+PEP!J94</f>
        <v>0</v>
      </c>
      <c r="C98" s="69">
        <f>+PEP!K94</f>
        <v>14925.373134328358</v>
      </c>
      <c r="D98" s="69">
        <f>+PEP!L94</f>
        <v>14925.373134328358</v>
      </c>
      <c r="E98" s="69">
        <f>+PEP!M94</f>
        <v>0</v>
      </c>
      <c r="F98" s="69">
        <f>+PEP!N94</f>
        <v>0</v>
      </c>
      <c r="G98" s="69">
        <f>+PEP!O94</f>
        <v>0</v>
      </c>
      <c r="H98" s="69">
        <f>+PEP!P94</f>
        <v>0</v>
      </c>
      <c r="I98" s="69">
        <f>+PEP!Q94</f>
        <v>0</v>
      </c>
      <c r="J98" s="69">
        <f>+PEP!R94</f>
        <v>0</v>
      </c>
      <c r="K98" s="69">
        <f>+PEP!S94</f>
        <v>0</v>
      </c>
      <c r="L98" s="69">
        <f>+PEP!T94</f>
        <v>0</v>
      </c>
      <c r="M98" s="69">
        <f>+PEP!U94</f>
        <v>0</v>
      </c>
      <c r="N98" s="69">
        <f>+PEP!V94</f>
        <v>0</v>
      </c>
      <c r="O98" s="69">
        <f>+PEP!W94</f>
        <v>0</v>
      </c>
      <c r="P98" s="69">
        <f>+PEP!X94</f>
        <v>0</v>
      </c>
      <c r="Q98" s="69">
        <f>+PEP!Y94</f>
        <v>0</v>
      </c>
      <c r="R98" s="69">
        <f>+PEP!Z94</f>
        <v>14925.373134328358</v>
      </c>
      <c r="S98" s="116">
        <f>+PEP!AA94</f>
        <v>14925.373134328358</v>
      </c>
    </row>
    <row r="99" spans="1:19" s="215" customFormat="1" ht="23.25" customHeight="1" thickBot="1">
      <c r="A99" s="222" t="s">
        <v>175</v>
      </c>
      <c r="B99" s="220">
        <v>1</v>
      </c>
      <c r="C99" s="220">
        <v>0</v>
      </c>
      <c r="D99" s="220">
        <f>+B99+C99</f>
        <v>1</v>
      </c>
      <c r="E99" s="220">
        <v>1</v>
      </c>
      <c r="F99" s="220">
        <v>0</v>
      </c>
      <c r="G99" s="220">
        <f>+E99+F99</f>
        <v>1</v>
      </c>
      <c r="H99" s="220">
        <v>1</v>
      </c>
      <c r="I99" s="220">
        <v>0</v>
      </c>
      <c r="J99" s="220">
        <f>+H99+I99</f>
        <v>1</v>
      </c>
      <c r="K99" s="220">
        <v>1</v>
      </c>
      <c r="L99" s="220">
        <v>0</v>
      </c>
      <c r="M99" s="220">
        <f>+K99+L99</f>
        <v>1</v>
      </c>
      <c r="N99" s="220">
        <v>1</v>
      </c>
      <c r="O99" s="220">
        <v>0</v>
      </c>
      <c r="P99" s="220">
        <f>+N99+O99</f>
        <v>1</v>
      </c>
      <c r="Q99" s="220">
        <f>+Q100/S100</f>
        <v>1</v>
      </c>
      <c r="R99" s="220">
        <f>+R100/S100</f>
        <v>0</v>
      </c>
      <c r="S99" s="221">
        <f>+S100/S100</f>
        <v>1</v>
      </c>
    </row>
    <row r="100" spans="1:19" s="123" customFormat="1" ht="20.25" customHeight="1" thickBot="1">
      <c r="A100" s="162" t="s">
        <v>103</v>
      </c>
      <c r="B100" s="146">
        <f>+PEP!J95</f>
        <v>800000</v>
      </c>
      <c r="C100" s="146">
        <f>+PEP!K95</f>
        <v>0</v>
      </c>
      <c r="D100" s="146">
        <f>+PEP!L95</f>
        <v>800000</v>
      </c>
      <c r="E100" s="146">
        <f>+PEP!M95</f>
        <v>50000</v>
      </c>
      <c r="F100" s="146">
        <f>+PEP!N95</f>
        <v>0</v>
      </c>
      <c r="G100" s="146">
        <f>+PEP!O95</f>
        <v>50000</v>
      </c>
      <c r="H100" s="146">
        <f>+PEP!P95</f>
        <v>50000</v>
      </c>
      <c r="I100" s="146">
        <f>+PEP!Q95</f>
        <v>0</v>
      </c>
      <c r="J100" s="146">
        <f>+PEP!R95</f>
        <v>50000</v>
      </c>
      <c r="K100" s="146">
        <f>+PEP!S95</f>
        <v>50000</v>
      </c>
      <c r="L100" s="146">
        <f>+PEP!T95</f>
        <v>0</v>
      </c>
      <c r="M100" s="146">
        <f>+PEP!U95</f>
        <v>50000</v>
      </c>
      <c r="N100" s="146">
        <f>+PEP!V95</f>
        <v>800000</v>
      </c>
      <c r="O100" s="146">
        <f>+PEP!W95</f>
        <v>0</v>
      </c>
      <c r="P100" s="146">
        <f>+PEP!X95</f>
        <v>800000</v>
      </c>
      <c r="Q100" s="146">
        <f>+PEP!Y95</f>
        <v>1750000</v>
      </c>
      <c r="R100" s="147">
        <f>+PEP!Z95</f>
        <v>0</v>
      </c>
      <c r="S100" s="148">
        <f>+PEP!AA95</f>
        <v>1750000</v>
      </c>
    </row>
    <row r="101" spans="1:19">
      <c r="A101" s="172" t="s">
        <v>104</v>
      </c>
      <c r="B101" s="69">
        <f>+PEP!J96</f>
        <v>50000</v>
      </c>
      <c r="C101" s="69">
        <f>+PEP!K96</f>
        <v>0</v>
      </c>
      <c r="D101" s="69">
        <f>+PEP!L96</f>
        <v>50000</v>
      </c>
      <c r="E101" s="69">
        <f>+PEP!M96</f>
        <v>50000</v>
      </c>
      <c r="F101" s="69">
        <f>+PEP!N96</f>
        <v>0</v>
      </c>
      <c r="G101" s="69">
        <f>+PEP!O96</f>
        <v>50000</v>
      </c>
      <c r="H101" s="69">
        <f>+PEP!P96</f>
        <v>50000</v>
      </c>
      <c r="I101" s="69">
        <f>+PEP!Q96</f>
        <v>0</v>
      </c>
      <c r="J101" s="69">
        <f>+PEP!R96</f>
        <v>50000</v>
      </c>
      <c r="K101" s="69">
        <f>+PEP!S96</f>
        <v>50000</v>
      </c>
      <c r="L101" s="69">
        <f>+PEP!T96</f>
        <v>0</v>
      </c>
      <c r="M101" s="69">
        <f>+PEP!U96</f>
        <v>50000</v>
      </c>
      <c r="N101" s="69">
        <f>+PEP!V96</f>
        <v>50000</v>
      </c>
      <c r="O101" s="69">
        <f>+PEP!W96</f>
        <v>0</v>
      </c>
      <c r="P101" s="69">
        <f>+PEP!X96</f>
        <v>50000</v>
      </c>
      <c r="Q101" s="69">
        <f>+PEP!Y96</f>
        <v>250000</v>
      </c>
      <c r="R101" s="69">
        <f>+PEP!Z96</f>
        <v>0</v>
      </c>
      <c r="S101" s="143">
        <f>+PEP!AA96</f>
        <v>250000</v>
      </c>
    </row>
    <row r="102" spans="1:19">
      <c r="A102" s="172" t="s">
        <v>176</v>
      </c>
      <c r="B102" s="69">
        <f>+PEP!J97</f>
        <v>100000</v>
      </c>
      <c r="C102" s="69">
        <f>+PEP!K97</f>
        <v>0</v>
      </c>
      <c r="D102" s="69">
        <f>+PEP!L97</f>
        <v>100000</v>
      </c>
      <c r="E102" s="69">
        <f>+PEP!M97</f>
        <v>0</v>
      </c>
      <c r="F102" s="69">
        <f>+PEP!N97</f>
        <v>0</v>
      </c>
      <c r="G102" s="69">
        <f>+PEP!O97</f>
        <v>0</v>
      </c>
      <c r="H102" s="69">
        <f>+PEP!P97</f>
        <v>0</v>
      </c>
      <c r="I102" s="69">
        <f>+PEP!Q97</f>
        <v>0</v>
      </c>
      <c r="J102" s="69">
        <f>+PEP!R97</f>
        <v>0</v>
      </c>
      <c r="K102" s="69">
        <f>+PEP!S97</f>
        <v>0</v>
      </c>
      <c r="L102" s="69">
        <f>+PEP!T97</f>
        <v>0</v>
      </c>
      <c r="M102" s="69">
        <f>+PEP!U97</f>
        <v>0</v>
      </c>
      <c r="N102" s="69">
        <f>+PEP!V97</f>
        <v>0</v>
      </c>
      <c r="O102" s="69">
        <f>+PEP!W97</f>
        <v>0</v>
      </c>
      <c r="P102" s="69">
        <f>+PEP!X97</f>
        <v>0</v>
      </c>
      <c r="Q102" s="69">
        <f>+PEP!Y97</f>
        <v>100000</v>
      </c>
      <c r="R102" s="69">
        <f>+PEP!Z97</f>
        <v>0</v>
      </c>
      <c r="S102" s="69">
        <f>+PEP!AA97</f>
        <v>100000</v>
      </c>
    </row>
    <row r="103" spans="1:19">
      <c r="A103" s="172" t="s">
        <v>177</v>
      </c>
      <c r="B103" s="69">
        <f>+PEP!J98</f>
        <v>500000</v>
      </c>
      <c r="C103" s="69">
        <f>+PEP!K98</f>
        <v>0</v>
      </c>
      <c r="D103" s="69">
        <f>+PEP!L98</f>
        <v>500000</v>
      </c>
      <c r="E103" s="69">
        <f>+PEP!M98</f>
        <v>0</v>
      </c>
      <c r="F103" s="69">
        <f>+PEP!N98</f>
        <v>0</v>
      </c>
      <c r="G103" s="69">
        <f>+PEP!O98</f>
        <v>0</v>
      </c>
      <c r="H103" s="69">
        <f>+PEP!P98</f>
        <v>0</v>
      </c>
      <c r="I103" s="69">
        <f>+PEP!Q98</f>
        <v>0</v>
      </c>
      <c r="J103" s="69">
        <f>+PEP!R98</f>
        <v>0</v>
      </c>
      <c r="K103" s="69">
        <f>+PEP!S98</f>
        <v>0</v>
      </c>
      <c r="L103" s="69">
        <f>+PEP!T98</f>
        <v>0</v>
      </c>
      <c r="M103" s="69">
        <f>+PEP!U98</f>
        <v>0</v>
      </c>
      <c r="N103" s="69">
        <f>+PEP!V98</f>
        <v>500000</v>
      </c>
      <c r="O103" s="69">
        <f>+PEP!W98</f>
        <v>0</v>
      </c>
      <c r="P103" s="69">
        <f>+PEP!X98</f>
        <v>500000</v>
      </c>
      <c r="Q103" s="69">
        <f>+PEP!Y98</f>
        <v>1000000</v>
      </c>
      <c r="R103" s="69">
        <f>+PEP!Z98</f>
        <v>0</v>
      </c>
      <c r="S103" s="69">
        <f>+PEP!AA98</f>
        <v>1000000</v>
      </c>
    </row>
    <row r="104" spans="1:19" ht="16.149999999999999" thickBot="1">
      <c r="A104" s="172" t="s">
        <v>108</v>
      </c>
      <c r="B104" s="69">
        <f>+PEP!J99</f>
        <v>150000</v>
      </c>
      <c r="C104" s="69">
        <f>+PEP!K99</f>
        <v>0</v>
      </c>
      <c r="D104" s="69">
        <f>+PEP!L99</f>
        <v>150000</v>
      </c>
      <c r="E104" s="69">
        <f>+PEP!M99</f>
        <v>0</v>
      </c>
      <c r="F104" s="69">
        <f>+PEP!N99</f>
        <v>0</v>
      </c>
      <c r="G104" s="69">
        <f>+PEP!O99</f>
        <v>0</v>
      </c>
      <c r="H104" s="69">
        <f>+PEP!P99</f>
        <v>0</v>
      </c>
      <c r="I104" s="69">
        <f>+PEP!Q99</f>
        <v>0</v>
      </c>
      <c r="J104" s="69">
        <f>+PEP!R99</f>
        <v>0</v>
      </c>
      <c r="K104" s="69">
        <f>+PEP!S99</f>
        <v>0</v>
      </c>
      <c r="L104" s="69">
        <f>+PEP!T99</f>
        <v>0</v>
      </c>
      <c r="M104" s="69">
        <f>+PEP!U99</f>
        <v>0</v>
      </c>
      <c r="N104" s="69">
        <f>+PEP!V99</f>
        <v>0</v>
      </c>
      <c r="O104" s="69">
        <f>+PEP!W99</f>
        <v>0</v>
      </c>
      <c r="P104" s="69">
        <f>+PEP!X99</f>
        <v>0</v>
      </c>
      <c r="Q104" s="69">
        <f>+PEP!Y99</f>
        <v>150000</v>
      </c>
      <c r="R104" s="69">
        <f>+PEP!Z99</f>
        <v>0</v>
      </c>
      <c r="S104" s="116">
        <f>+PEP!AA99</f>
        <v>150000</v>
      </c>
    </row>
    <row r="105" spans="1:19" s="277" customFormat="1" ht="18.600000000000001" thickBot="1">
      <c r="A105" s="173" t="s">
        <v>109</v>
      </c>
      <c r="B105" s="274">
        <f>+PEP!J101</f>
        <v>957440</v>
      </c>
      <c r="C105" s="274">
        <f>+PEP!K101</f>
        <v>1596858.5074626864</v>
      </c>
      <c r="D105" s="274">
        <f>+PEP!L101</f>
        <v>2554298.5074626864</v>
      </c>
      <c r="E105" s="274">
        <f>+PEP!M101</f>
        <v>4222730.4091045875</v>
      </c>
      <c r="F105" s="274">
        <f>+PEP!N101</f>
        <v>2312980.1371277999</v>
      </c>
      <c r="G105" s="274">
        <f>+PEP!O101</f>
        <v>6535710.5462323874</v>
      </c>
      <c r="H105" s="274">
        <f>+PEP!P101</f>
        <v>36161390.056103252</v>
      </c>
      <c r="I105" s="274">
        <f>+PEP!Q101</f>
        <v>9323905.4254933596</v>
      </c>
      <c r="J105" s="274">
        <f>+PEP!R101</f>
        <v>45485295.481596619</v>
      </c>
      <c r="K105" s="274">
        <f>+PEP!S101</f>
        <v>43584110.16586829</v>
      </c>
      <c r="L105" s="274">
        <f>+PEP!T101</f>
        <v>10953283.010563735</v>
      </c>
      <c r="M105" s="274">
        <f>+PEP!U101</f>
        <v>54537393.176432028</v>
      </c>
      <c r="N105" s="274">
        <f>+PEP!V101</f>
        <v>32526035.637580574</v>
      </c>
      <c r="O105" s="274">
        <f>+PEP!W101</f>
        <v>8361266.6506956993</v>
      </c>
      <c r="P105" s="274">
        <f>+PEP!X101</f>
        <v>40887302.28827627</v>
      </c>
      <c r="Q105" s="274">
        <f>+PEP!Y101</f>
        <v>117451706.2686567</v>
      </c>
      <c r="R105" s="275">
        <f>+PEP!Z101</f>
        <v>32548293.731343281</v>
      </c>
      <c r="S105" s="276">
        <f>+PEP!AA101</f>
        <v>150000000</v>
      </c>
    </row>
    <row r="107" spans="1:19">
      <c r="B107" s="309" t="s">
        <v>11</v>
      </c>
      <c r="C107" s="309"/>
      <c r="D107" s="309"/>
      <c r="E107" s="309" t="s">
        <v>12</v>
      </c>
      <c r="F107" s="309"/>
      <c r="G107" s="309"/>
      <c r="H107" s="309" t="s">
        <v>13</v>
      </c>
      <c r="I107" s="309"/>
      <c r="J107" s="309"/>
      <c r="K107" s="309" t="s">
        <v>14</v>
      </c>
      <c r="L107" s="309"/>
      <c r="M107" s="309"/>
      <c r="N107" s="309" t="s">
        <v>15</v>
      </c>
      <c r="O107" s="309"/>
      <c r="P107" s="309"/>
      <c r="Q107" s="309" t="s">
        <v>178</v>
      </c>
      <c r="R107" s="309"/>
      <c r="S107" s="309"/>
    </row>
    <row r="108" spans="1:19">
      <c r="B108" s="287" t="s">
        <v>179</v>
      </c>
      <c r="C108" s="287" t="s">
        <v>17</v>
      </c>
      <c r="D108" s="287" t="s">
        <v>18</v>
      </c>
      <c r="E108" s="287" t="s">
        <v>179</v>
      </c>
      <c r="F108" s="287" t="s">
        <v>17</v>
      </c>
      <c r="G108" s="287" t="s">
        <v>18</v>
      </c>
      <c r="H108" s="287" t="s">
        <v>179</v>
      </c>
      <c r="I108" s="287" t="s">
        <v>17</v>
      </c>
      <c r="J108" s="287" t="s">
        <v>18</v>
      </c>
      <c r="K108" s="287" t="s">
        <v>179</v>
      </c>
      <c r="L108" s="287" t="s">
        <v>17</v>
      </c>
      <c r="M108" s="287" t="s">
        <v>18</v>
      </c>
      <c r="N108" s="287" t="s">
        <v>179</v>
      </c>
      <c r="O108" s="287" t="s">
        <v>17</v>
      </c>
      <c r="P108" s="287" t="s">
        <v>18</v>
      </c>
      <c r="Q108" s="287" t="s">
        <v>179</v>
      </c>
      <c r="R108" s="287" t="s">
        <v>17</v>
      </c>
      <c r="S108" s="287" t="s">
        <v>18</v>
      </c>
    </row>
    <row r="109" spans="1:19" ht="18">
      <c r="A109" s="223" t="s">
        <v>180</v>
      </c>
      <c r="B109" s="224">
        <f>+B105/D105</f>
        <v>0.37483481167245147</v>
      </c>
      <c r="C109" s="224">
        <f>+C105/D105</f>
        <v>0.62516518832754853</v>
      </c>
      <c r="D109" s="225">
        <f>+C109+B109</f>
        <v>1</v>
      </c>
      <c r="E109" s="224">
        <f>+E105/G105</f>
        <v>0.64610119729657345</v>
      </c>
      <c r="F109" s="224">
        <f>+F105/G105</f>
        <v>0.35389880270342655</v>
      </c>
      <c r="G109" s="225">
        <f>+F109+E109</f>
        <v>1</v>
      </c>
      <c r="H109" s="224">
        <f>+H105/J105</f>
        <v>0.7950127546326301</v>
      </c>
      <c r="I109" s="224">
        <f>+I105/J105</f>
        <v>0.20498724536736973</v>
      </c>
      <c r="J109" s="225">
        <f>+I109+H109</f>
        <v>0.99999999999999978</v>
      </c>
      <c r="K109" s="224">
        <f>+K105/M105</f>
        <v>0.79916012899389688</v>
      </c>
      <c r="L109" s="224">
        <f>+L105/M105</f>
        <v>0.20083987100610309</v>
      </c>
      <c r="M109" s="225">
        <f>+L109+K109</f>
        <v>1</v>
      </c>
      <c r="N109" s="224">
        <f>+N105/P105</f>
        <v>0.7955045654089743</v>
      </c>
      <c r="O109" s="224">
        <f>+O105/P105</f>
        <v>0.20449543459102579</v>
      </c>
      <c r="P109" s="225">
        <f>+O109+N109</f>
        <v>1</v>
      </c>
      <c r="Q109" s="224">
        <f>+Q105/S105</f>
        <v>0.78301137512437802</v>
      </c>
      <c r="R109" s="224">
        <f>+R105/S105</f>
        <v>0.21698862487562187</v>
      </c>
      <c r="S109" s="225">
        <f>+R109+Q109</f>
        <v>0.99999999999999989</v>
      </c>
    </row>
  </sheetData>
  <mergeCells count="17">
    <mergeCell ref="Q107:S107"/>
    <mergeCell ref="H8:J8"/>
    <mergeCell ref="K8:M8"/>
    <mergeCell ref="N8:P8"/>
    <mergeCell ref="B107:D107"/>
    <mergeCell ref="E107:G107"/>
    <mergeCell ref="H107:J107"/>
    <mergeCell ref="K107:M107"/>
    <mergeCell ref="N107:P107"/>
    <mergeCell ref="B7:P7"/>
    <mergeCell ref="Q7:S8"/>
    <mergeCell ref="B8:D8"/>
    <mergeCell ref="E8:G8"/>
    <mergeCell ref="A2:S2"/>
    <mergeCell ref="A4:S4"/>
    <mergeCell ref="A3:S3"/>
    <mergeCell ref="A7:A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CED93C-2AE9-4DFC-851A-7A77B3350371}">
  <sheetPr>
    <tabColor theme="4"/>
  </sheetPr>
  <dimension ref="B2:N45"/>
  <sheetViews>
    <sheetView topLeftCell="B1" zoomScale="70" zoomScaleNormal="70" workbookViewId="0" xr3:uid="{72AD33F6-06D0-58D4-B438-CDE2DCFFC86F}">
      <selection activeCell="F50" sqref="F50"/>
    </sheetView>
  </sheetViews>
  <sheetFormatPr defaultColWidth="11" defaultRowHeight="13.9"/>
  <cols>
    <col min="1" max="1" width="2.125" style="64" customWidth="1"/>
    <col min="2" max="2" width="11" style="64"/>
    <col min="3" max="3" width="13.625" style="64" customWidth="1"/>
    <col min="4" max="4" width="15.25" style="64" customWidth="1"/>
    <col min="5" max="5" width="71.875" style="64" customWidth="1"/>
    <col min="6" max="6" width="17.75" style="64" customWidth="1"/>
    <col min="7" max="7" width="12.625" style="64" customWidth="1"/>
    <col min="8" max="8" width="11" style="64"/>
    <col min="9" max="9" width="11.875" style="64" customWidth="1"/>
    <col min="10" max="10" width="11.375" style="64" customWidth="1"/>
    <col min="11" max="11" width="17.125" style="64" customWidth="1"/>
    <col min="12" max="13" width="15.875" style="64" customWidth="1"/>
    <col min="14" max="14" width="15.75" style="64" customWidth="1"/>
    <col min="15" max="16384" width="11" style="64"/>
  </cols>
  <sheetData>
    <row r="2" spans="2:14" ht="21">
      <c r="B2" s="308" t="s">
        <v>181</v>
      </c>
      <c r="C2" s="308"/>
      <c r="D2" s="308"/>
      <c r="E2" s="308"/>
      <c r="F2" s="308"/>
      <c r="G2" s="308"/>
      <c r="H2" s="308"/>
      <c r="I2" s="308"/>
      <c r="J2" s="308"/>
      <c r="K2" s="308"/>
      <c r="L2" s="308"/>
      <c r="M2" s="308"/>
      <c r="N2" s="308"/>
    </row>
    <row r="3" spans="2:14" ht="15.6">
      <c r="B3" s="295" t="s">
        <v>1</v>
      </c>
      <c r="C3" s="295"/>
      <c r="D3" s="295"/>
      <c r="E3" s="295"/>
      <c r="F3" s="295"/>
      <c r="G3" s="295"/>
      <c r="H3" s="295"/>
      <c r="I3" s="295"/>
      <c r="J3" s="295"/>
      <c r="K3" s="295"/>
      <c r="L3" s="295"/>
      <c r="M3" s="295"/>
      <c r="N3" s="295"/>
    </row>
    <row r="4" spans="2:14" ht="15.6">
      <c r="B4" s="295" t="s">
        <v>182</v>
      </c>
      <c r="C4" s="295"/>
      <c r="D4" s="295"/>
      <c r="E4" s="295"/>
      <c r="F4" s="295"/>
      <c r="G4" s="295"/>
      <c r="H4" s="295"/>
      <c r="I4" s="295"/>
      <c r="J4" s="295"/>
      <c r="K4" s="295"/>
      <c r="L4" s="295"/>
      <c r="M4" s="295"/>
      <c r="N4" s="295"/>
    </row>
    <row r="5" spans="2:14" ht="15.6">
      <c r="B5" s="284"/>
      <c r="C5" s="284"/>
      <c r="D5" s="284"/>
      <c r="E5" s="284"/>
      <c r="F5" s="284"/>
      <c r="G5" s="284"/>
      <c r="H5" s="284"/>
      <c r="I5" s="284"/>
      <c r="J5" s="284"/>
      <c r="K5" s="284"/>
      <c r="L5" s="284"/>
      <c r="M5" s="284"/>
      <c r="N5" s="284"/>
    </row>
    <row r="8" spans="2:14">
      <c r="B8" s="300" t="s">
        <v>183</v>
      </c>
      <c r="C8" s="300" t="s">
        <v>184</v>
      </c>
      <c r="D8" s="300" t="s">
        <v>185</v>
      </c>
      <c r="E8" s="300" t="s">
        <v>186</v>
      </c>
      <c r="F8" s="300" t="s">
        <v>187</v>
      </c>
      <c r="G8" s="300" t="s">
        <v>188</v>
      </c>
      <c r="H8" s="300" t="s">
        <v>189</v>
      </c>
      <c r="I8" s="300" t="s">
        <v>190</v>
      </c>
      <c r="J8" s="300"/>
      <c r="K8" s="300" t="s">
        <v>191</v>
      </c>
      <c r="L8" s="299" t="s">
        <v>192</v>
      </c>
      <c r="M8" s="299"/>
      <c r="N8" s="300" t="s">
        <v>193</v>
      </c>
    </row>
    <row r="9" spans="2:14" ht="28.9" customHeight="1">
      <c r="B9" s="300"/>
      <c r="C9" s="300" t="s">
        <v>184</v>
      </c>
      <c r="D9" s="300"/>
      <c r="E9" s="300"/>
      <c r="F9" s="300"/>
      <c r="G9" s="300"/>
      <c r="H9" s="300"/>
      <c r="I9" s="286" t="s">
        <v>194</v>
      </c>
      <c r="J9" s="286" t="s">
        <v>195</v>
      </c>
      <c r="K9" s="300"/>
      <c r="L9" s="135" t="s">
        <v>196</v>
      </c>
      <c r="M9" s="135" t="s">
        <v>197</v>
      </c>
      <c r="N9" s="300"/>
    </row>
    <row r="10" spans="2:14">
      <c r="B10" s="68" t="s">
        <v>198</v>
      </c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</row>
    <row r="11" spans="2:14">
      <c r="B11" s="68"/>
      <c r="C11" s="68"/>
      <c r="D11" s="68"/>
      <c r="E11" s="266" t="s">
        <v>199</v>
      </c>
      <c r="F11" s="79">
        <v>0</v>
      </c>
      <c r="G11" s="79">
        <v>0</v>
      </c>
      <c r="H11" s="79">
        <v>0</v>
      </c>
      <c r="I11" s="79">
        <v>0</v>
      </c>
      <c r="J11" s="79">
        <v>0</v>
      </c>
      <c r="K11" s="79">
        <v>0</v>
      </c>
      <c r="L11" s="79">
        <v>0</v>
      </c>
      <c r="M11" s="79">
        <v>0</v>
      </c>
      <c r="N11" s="79">
        <v>0</v>
      </c>
    </row>
    <row r="12" spans="2:14">
      <c r="B12" s="68"/>
      <c r="C12" s="68"/>
      <c r="D12" s="68"/>
      <c r="E12" s="68"/>
      <c r="F12" s="68"/>
      <c r="G12" s="68"/>
      <c r="H12" s="67"/>
      <c r="I12" s="68"/>
      <c r="J12" s="68"/>
      <c r="K12" s="67"/>
      <c r="L12" s="265"/>
      <c r="M12" s="265"/>
      <c r="N12" s="67"/>
    </row>
    <row r="13" spans="2:14">
      <c r="B13" s="68" t="s">
        <v>200</v>
      </c>
      <c r="C13" s="68"/>
      <c r="D13" s="68"/>
      <c r="E13" s="68"/>
      <c r="F13" s="68"/>
      <c r="G13" s="68"/>
      <c r="H13" s="67"/>
      <c r="I13" s="68"/>
      <c r="J13" s="68"/>
      <c r="K13" s="67"/>
      <c r="L13" s="265"/>
      <c r="M13" s="265"/>
      <c r="N13" s="67"/>
    </row>
    <row r="14" spans="2:14">
      <c r="B14" s="68"/>
      <c r="C14" s="68"/>
      <c r="D14" s="68"/>
      <c r="E14" s="266" t="s">
        <v>201</v>
      </c>
      <c r="F14" s="79">
        <v>0</v>
      </c>
      <c r="G14" s="79">
        <v>0</v>
      </c>
      <c r="H14" s="79">
        <v>0</v>
      </c>
      <c r="I14" s="79">
        <v>0</v>
      </c>
      <c r="J14" s="79">
        <v>0</v>
      </c>
      <c r="K14" s="79">
        <v>0</v>
      </c>
      <c r="L14" s="79">
        <v>0</v>
      </c>
      <c r="M14" s="79">
        <v>0</v>
      </c>
      <c r="N14" s="79">
        <v>0</v>
      </c>
    </row>
    <row r="15" spans="2:14">
      <c r="B15" s="68"/>
      <c r="C15" s="68"/>
      <c r="D15" s="68"/>
      <c r="E15" s="68"/>
      <c r="F15" s="68"/>
      <c r="G15" s="68"/>
      <c r="H15" s="68"/>
      <c r="I15" s="68"/>
      <c r="J15" s="68"/>
      <c r="K15" s="67"/>
      <c r="L15" s="265"/>
      <c r="M15" s="265"/>
      <c r="N15" s="67"/>
    </row>
    <row r="16" spans="2:14">
      <c r="B16" s="68" t="s">
        <v>202</v>
      </c>
      <c r="C16" s="68"/>
      <c r="D16" s="68"/>
      <c r="E16" s="68"/>
      <c r="F16" s="68"/>
      <c r="G16" s="68"/>
      <c r="H16" s="68"/>
      <c r="I16" s="68"/>
      <c r="J16" s="68"/>
      <c r="K16" s="67"/>
      <c r="L16" s="265"/>
      <c r="M16" s="265"/>
      <c r="N16" s="67"/>
    </row>
    <row r="17" spans="2:14">
      <c r="B17" s="67" t="s">
        <v>203</v>
      </c>
      <c r="C17" s="70" t="s">
        <v>204</v>
      </c>
      <c r="D17" s="70">
        <v>8</v>
      </c>
      <c r="E17" s="68" t="s">
        <v>205</v>
      </c>
      <c r="F17" s="263">
        <f>(+'Componente 1'!O14/5)*5/6</f>
        <v>1041666.6666666666</v>
      </c>
      <c r="G17" s="67" t="s">
        <v>206</v>
      </c>
      <c r="H17" s="67" t="s">
        <v>207</v>
      </c>
      <c r="I17" s="264">
        <v>0.82</v>
      </c>
      <c r="J17" s="264">
        <v>0.18</v>
      </c>
      <c r="K17" s="67" t="s">
        <v>208</v>
      </c>
      <c r="L17" s="265">
        <v>43678</v>
      </c>
      <c r="M17" s="265">
        <v>45261</v>
      </c>
      <c r="N17" s="67" t="s">
        <v>209</v>
      </c>
    </row>
    <row r="18" spans="2:14">
      <c r="B18" s="68"/>
      <c r="C18" s="68"/>
      <c r="D18" s="68"/>
      <c r="E18" s="266" t="s">
        <v>210</v>
      </c>
      <c r="F18" s="79">
        <f>+SUM(F17:F17)</f>
        <v>1041666.6666666666</v>
      </c>
      <c r="G18" s="68"/>
      <c r="H18" s="68"/>
      <c r="I18" s="68"/>
      <c r="J18" s="68"/>
      <c r="K18" s="67"/>
      <c r="L18" s="265"/>
      <c r="M18" s="265"/>
      <c r="N18" s="67"/>
    </row>
    <row r="19" spans="2:14">
      <c r="B19" s="68"/>
      <c r="C19" s="68"/>
      <c r="D19" s="68"/>
      <c r="E19" s="68"/>
      <c r="F19" s="68"/>
      <c r="G19" s="68"/>
      <c r="H19" s="68"/>
      <c r="I19" s="68"/>
      <c r="J19" s="68"/>
      <c r="K19" s="67"/>
      <c r="L19" s="265"/>
      <c r="M19" s="265"/>
      <c r="N19" s="67"/>
    </row>
    <row r="20" spans="2:14">
      <c r="B20" s="68" t="s">
        <v>211</v>
      </c>
      <c r="C20" s="68"/>
      <c r="D20" s="68"/>
      <c r="E20" s="68"/>
      <c r="F20" s="68"/>
      <c r="G20" s="68"/>
      <c r="H20" s="68"/>
      <c r="I20" s="68"/>
      <c r="J20" s="68"/>
      <c r="K20" s="67"/>
      <c r="L20" s="265"/>
      <c r="M20" s="265"/>
      <c r="N20" s="67"/>
    </row>
    <row r="21" spans="2:14">
      <c r="B21" s="67" t="s">
        <v>212</v>
      </c>
      <c r="C21" s="70" t="s">
        <v>213</v>
      </c>
      <c r="D21" s="70">
        <v>9</v>
      </c>
      <c r="E21" s="68" t="s">
        <v>214</v>
      </c>
      <c r="F21" s="263">
        <f>+'Componente 2'!N7/2</f>
        <v>175000</v>
      </c>
      <c r="G21" s="67" t="s">
        <v>215</v>
      </c>
      <c r="H21" s="67" t="s">
        <v>207</v>
      </c>
      <c r="I21" s="264">
        <v>0.82</v>
      </c>
      <c r="J21" s="264">
        <v>0.18</v>
      </c>
      <c r="K21" s="67" t="s">
        <v>208</v>
      </c>
      <c r="L21" s="265">
        <v>43678</v>
      </c>
      <c r="M21" s="265">
        <v>44105</v>
      </c>
      <c r="N21" s="67" t="s">
        <v>209</v>
      </c>
    </row>
    <row r="22" spans="2:14">
      <c r="B22" s="67" t="s">
        <v>216</v>
      </c>
      <c r="C22" s="70" t="s">
        <v>213</v>
      </c>
      <c r="D22" s="70">
        <v>13</v>
      </c>
      <c r="E22" s="68" t="s">
        <v>217</v>
      </c>
      <c r="F22" s="263">
        <f>+'Componente 2'!N8/2</f>
        <v>350000</v>
      </c>
      <c r="G22" s="67" t="s">
        <v>215</v>
      </c>
      <c r="H22" s="67" t="s">
        <v>207</v>
      </c>
      <c r="I22" s="264">
        <v>0.82</v>
      </c>
      <c r="J22" s="264">
        <v>0.18</v>
      </c>
      <c r="K22" s="67" t="s">
        <v>208</v>
      </c>
      <c r="L22" s="265">
        <v>43678</v>
      </c>
      <c r="M22" s="265">
        <v>44105</v>
      </c>
      <c r="N22" s="67" t="s">
        <v>209</v>
      </c>
    </row>
    <row r="23" spans="2:14">
      <c r="B23" s="67" t="s">
        <v>218</v>
      </c>
      <c r="C23" s="70" t="s">
        <v>219</v>
      </c>
      <c r="D23" s="70">
        <v>17</v>
      </c>
      <c r="E23" s="68" t="s">
        <v>220</v>
      </c>
      <c r="F23" s="263">
        <f>+'Componente 3'!R16/2</f>
        <v>511782.60376411903</v>
      </c>
      <c r="G23" s="67" t="s">
        <v>215</v>
      </c>
      <c r="H23" s="67" t="s">
        <v>207</v>
      </c>
      <c r="I23" s="264">
        <v>0.82</v>
      </c>
      <c r="J23" s="264">
        <v>0.18</v>
      </c>
      <c r="K23" s="67" t="s">
        <v>208</v>
      </c>
      <c r="L23" s="265">
        <v>43678</v>
      </c>
      <c r="M23" s="265">
        <v>44136</v>
      </c>
      <c r="N23" s="67" t="s">
        <v>209</v>
      </c>
    </row>
    <row r="24" spans="2:14">
      <c r="B24" s="67" t="s">
        <v>221</v>
      </c>
      <c r="C24" s="70" t="s">
        <v>213</v>
      </c>
      <c r="D24" s="70">
        <v>9</v>
      </c>
      <c r="E24" s="68" t="s">
        <v>222</v>
      </c>
      <c r="F24" s="263">
        <f>+'Componente 2'!N13/2</f>
        <v>87500</v>
      </c>
      <c r="G24" s="67" t="s">
        <v>215</v>
      </c>
      <c r="H24" s="67" t="s">
        <v>223</v>
      </c>
      <c r="I24" s="264">
        <v>0.82</v>
      </c>
      <c r="J24" s="264">
        <v>0.18</v>
      </c>
      <c r="K24" s="67" t="s">
        <v>208</v>
      </c>
      <c r="L24" s="265">
        <v>43678</v>
      </c>
      <c r="M24" s="265">
        <v>44105</v>
      </c>
      <c r="N24" s="67" t="s">
        <v>209</v>
      </c>
    </row>
    <row r="25" spans="2:14">
      <c r="B25" s="67" t="s">
        <v>224</v>
      </c>
      <c r="C25" s="70" t="s">
        <v>213</v>
      </c>
      <c r="D25" s="70">
        <v>13</v>
      </c>
      <c r="E25" s="68" t="s">
        <v>225</v>
      </c>
      <c r="F25" s="263">
        <f>+'Componente 2'!N14/2</f>
        <v>175000</v>
      </c>
      <c r="G25" s="67" t="s">
        <v>215</v>
      </c>
      <c r="H25" s="67" t="s">
        <v>223</v>
      </c>
      <c r="I25" s="264">
        <v>0.82</v>
      </c>
      <c r="J25" s="264">
        <v>0.18</v>
      </c>
      <c r="K25" s="67" t="s">
        <v>208</v>
      </c>
      <c r="L25" s="265">
        <v>43678</v>
      </c>
      <c r="M25" s="265">
        <v>44105</v>
      </c>
      <c r="N25" s="67" t="s">
        <v>209</v>
      </c>
    </row>
    <row r="26" spans="2:14">
      <c r="B26" s="67" t="s">
        <v>226</v>
      </c>
      <c r="C26" s="70" t="s">
        <v>219</v>
      </c>
      <c r="D26" s="70">
        <v>17</v>
      </c>
      <c r="E26" s="68" t="s">
        <v>227</v>
      </c>
      <c r="F26" s="263">
        <f>+'Componente 3'!N22/2</f>
        <v>44230</v>
      </c>
      <c r="G26" s="67" t="s">
        <v>215</v>
      </c>
      <c r="H26" s="67" t="s">
        <v>223</v>
      </c>
      <c r="I26" s="264">
        <v>0.82</v>
      </c>
      <c r="J26" s="264">
        <v>0.18</v>
      </c>
      <c r="K26" s="67" t="s">
        <v>208</v>
      </c>
      <c r="L26" s="265">
        <v>43678</v>
      </c>
      <c r="M26" s="265">
        <v>44136</v>
      </c>
      <c r="N26" s="67" t="s">
        <v>209</v>
      </c>
    </row>
    <row r="27" spans="2:14">
      <c r="B27" s="67" t="s">
        <v>228</v>
      </c>
      <c r="C27" s="70" t="s">
        <v>219</v>
      </c>
      <c r="D27" s="70">
        <v>17</v>
      </c>
      <c r="E27" s="68" t="s">
        <v>229</v>
      </c>
      <c r="F27" s="263">
        <f>+'Componente 3'!R17/2</f>
        <v>102356.52075282381</v>
      </c>
      <c r="G27" s="67" t="s">
        <v>230</v>
      </c>
      <c r="H27" s="67" t="s">
        <v>207</v>
      </c>
      <c r="I27" s="264">
        <v>0.82</v>
      </c>
      <c r="J27" s="264">
        <v>0.18</v>
      </c>
      <c r="K27" s="67" t="s">
        <v>208</v>
      </c>
      <c r="L27" s="265">
        <v>43678</v>
      </c>
      <c r="M27" s="265">
        <v>44136</v>
      </c>
      <c r="N27" s="67" t="s">
        <v>209</v>
      </c>
    </row>
    <row r="28" spans="2:14">
      <c r="B28" s="67" t="s">
        <v>231</v>
      </c>
      <c r="C28" s="70" t="s">
        <v>204</v>
      </c>
      <c r="D28" s="70">
        <v>1</v>
      </c>
      <c r="E28" s="68" t="s">
        <v>20</v>
      </c>
      <c r="F28" s="263">
        <f>+'Componente 1'!O7/2</f>
        <v>119478.68591268361</v>
      </c>
      <c r="G28" s="67" t="s">
        <v>230</v>
      </c>
      <c r="H28" s="67" t="s">
        <v>207</v>
      </c>
      <c r="I28" s="264">
        <v>0.82</v>
      </c>
      <c r="J28" s="264">
        <v>0.18</v>
      </c>
      <c r="K28" s="67" t="s">
        <v>208</v>
      </c>
      <c r="L28" s="265">
        <v>43739</v>
      </c>
      <c r="M28" s="265">
        <v>44075</v>
      </c>
      <c r="N28" s="67" t="s">
        <v>209</v>
      </c>
    </row>
    <row r="29" spans="2:14">
      <c r="B29" s="67" t="s">
        <v>232</v>
      </c>
      <c r="C29" s="70" t="s">
        <v>204</v>
      </c>
      <c r="D29" s="70">
        <v>2</v>
      </c>
      <c r="E29" s="68" t="s">
        <v>21</v>
      </c>
      <c r="F29" s="263">
        <f>+'Componente 1'!O8*(1/4)</f>
        <v>160000</v>
      </c>
      <c r="G29" s="67" t="s">
        <v>230</v>
      </c>
      <c r="H29" s="67" t="s">
        <v>207</v>
      </c>
      <c r="I29" s="264">
        <v>0.82</v>
      </c>
      <c r="J29" s="264">
        <v>0.18</v>
      </c>
      <c r="K29" s="67" t="s">
        <v>208</v>
      </c>
      <c r="L29" s="265">
        <v>43739</v>
      </c>
      <c r="M29" s="265">
        <v>44713</v>
      </c>
      <c r="N29" s="67" t="s">
        <v>209</v>
      </c>
    </row>
    <row r="30" spans="2:14">
      <c r="B30" s="67" t="s">
        <v>233</v>
      </c>
      <c r="C30" s="70" t="s">
        <v>234</v>
      </c>
      <c r="D30" s="70" t="s">
        <v>234</v>
      </c>
      <c r="E30" s="68" t="s">
        <v>235</v>
      </c>
      <c r="F30" s="263">
        <f>+PEP!AA96/5</f>
        <v>50000</v>
      </c>
      <c r="G30" s="67" t="s">
        <v>215</v>
      </c>
      <c r="H30" s="67" t="s">
        <v>207</v>
      </c>
      <c r="I30" s="264">
        <v>1</v>
      </c>
      <c r="J30" s="264">
        <v>0</v>
      </c>
      <c r="K30" s="67" t="s">
        <v>208</v>
      </c>
      <c r="L30" s="265">
        <v>43617</v>
      </c>
      <c r="M30" s="265">
        <v>45261</v>
      </c>
      <c r="N30" s="67" t="s">
        <v>209</v>
      </c>
    </row>
    <row r="31" spans="2:14">
      <c r="B31" s="67" t="s">
        <v>236</v>
      </c>
      <c r="C31" s="70" t="s">
        <v>234</v>
      </c>
      <c r="D31" s="70" t="s">
        <v>234</v>
      </c>
      <c r="E31" s="68" t="s">
        <v>105</v>
      </c>
      <c r="F31" s="263">
        <f>+PEP!AA97</f>
        <v>100000</v>
      </c>
      <c r="G31" s="67" t="s">
        <v>237</v>
      </c>
      <c r="H31" s="67" t="s">
        <v>223</v>
      </c>
      <c r="I31" s="264">
        <v>1</v>
      </c>
      <c r="J31" s="264">
        <v>0</v>
      </c>
      <c r="K31" s="67" t="s">
        <v>208</v>
      </c>
      <c r="L31" s="265">
        <v>43586</v>
      </c>
      <c r="M31" s="265">
        <v>43800</v>
      </c>
      <c r="N31" s="67" t="s">
        <v>209</v>
      </c>
    </row>
    <row r="32" spans="2:14">
      <c r="B32" s="67" t="s">
        <v>238</v>
      </c>
      <c r="C32" s="70" t="s">
        <v>234</v>
      </c>
      <c r="D32" s="70" t="s">
        <v>234</v>
      </c>
      <c r="E32" s="68" t="s">
        <v>106</v>
      </c>
      <c r="F32" s="263">
        <f>+PEP!AA98/2</f>
        <v>500000</v>
      </c>
      <c r="G32" s="67" t="s">
        <v>215</v>
      </c>
      <c r="H32" s="67" t="s">
        <v>207</v>
      </c>
      <c r="I32" s="264">
        <v>1</v>
      </c>
      <c r="J32" s="264">
        <v>0</v>
      </c>
      <c r="K32" s="67" t="s">
        <v>208</v>
      </c>
      <c r="L32" s="265">
        <v>43586</v>
      </c>
      <c r="M32" s="265">
        <v>45170</v>
      </c>
      <c r="N32" s="67" t="s">
        <v>209</v>
      </c>
    </row>
    <row r="33" spans="2:14">
      <c r="B33" s="67" t="s">
        <v>239</v>
      </c>
      <c r="C33" s="70" t="s">
        <v>234</v>
      </c>
      <c r="D33" s="70" t="s">
        <v>234</v>
      </c>
      <c r="E33" s="68" t="s">
        <v>169</v>
      </c>
      <c r="F33" s="263">
        <f>+PEP!AA99</f>
        <v>150000</v>
      </c>
      <c r="G33" s="67" t="s">
        <v>230</v>
      </c>
      <c r="H33" s="67" t="s">
        <v>207</v>
      </c>
      <c r="I33" s="264"/>
      <c r="J33" s="264"/>
      <c r="K33" s="67"/>
      <c r="L33" s="265">
        <v>43647</v>
      </c>
      <c r="M33" s="265">
        <v>43800</v>
      </c>
      <c r="N33" s="67"/>
    </row>
    <row r="34" spans="2:14">
      <c r="B34" s="68"/>
      <c r="C34" s="68"/>
      <c r="D34" s="68"/>
      <c r="E34" s="266" t="s">
        <v>240</v>
      </c>
      <c r="F34" s="267">
        <f>+SUM(F21:F33)</f>
        <v>2525347.8104296266</v>
      </c>
      <c r="G34" s="67"/>
      <c r="H34" s="68"/>
      <c r="I34" s="68"/>
      <c r="J34" s="68"/>
      <c r="K34" s="67"/>
      <c r="L34" s="265"/>
      <c r="M34" s="265"/>
      <c r="N34" s="67"/>
    </row>
    <row r="35" spans="2:14">
      <c r="B35" s="68"/>
      <c r="C35" s="68"/>
      <c r="D35" s="68"/>
      <c r="E35" s="68"/>
      <c r="F35" s="263"/>
      <c r="G35" s="67"/>
      <c r="H35" s="68"/>
      <c r="I35" s="68"/>
      <c r="J35" s="68"/>
      <c r="K35" s="67"/>
      <c r="L35" s="265"/>
      <c r="M35" s="265"/>
      <c r="N35" s="67"/>
    </row>
    <row r="36" spans="2:14">
      <c r="B36" s="68" t="s">
        <v>241</v>
      </c>
      <c r="C36" s="68"/>
      <c r="D36" s="68"/>
      <c r="E36" s="68"/>
      <c r="F36" s="263"/>
      <c r="G36" s="67"/>
      <c r="H36" s="68"/>
      <c r="I36" s="68"/>
      <c r="J36" s="68"/>
      <c r="K36" s="67"/>
      <c r="L36" s="265"/>
      <c r="M36" s="265"/>
      <c r="N36" s="67"/>
    </row>
    <row r="37" spans="2:14">
      <c r="B37" s="67" t="s">
        <v>242</v>
      </c>
      <c r="C37" s="70" t="s">
        <v>204</v>
      </c>
      <c r="D37" s="70">
        <v>5</v>
      </c>
      <c r="E37" s="68" t="s">
        <v>24</v>
      </c>
      <c r="F37" s="263">
        <f>+'Componente 1'!O11</f>
        <v>300000</v>
      </c>
      <c r="G37" s="67" t="s">
        <v>243</v>
      </c>
      <c r="H37" s="67" t="s">
        <v>244</v>
      </c>
      <c r="I37" s="264">
        <v>0.82</v>
      </c>
      <c r="J37" s="264">
        <v>0.18</v>
      </c>
      <c r="K37" s="67" t="s">
        <v>208</v>
      </c>
      <c r="L37" s="265">
        <v>43922</v>
      </c>
      <c r="M37" s="265">
        <v>44986</v>
      </c>
      <c r="N37" s="67" t="s">
        <v>209</v>
      </c>
    </row>
    <row r="38" spans="2:14">
      <c r="B38" s="67" t="s">
        <v>245</v>
      </c>
      <c r="C38" s="70" t="s">
        <v>204</v>
      </c>
      <c r="D38" s="70">
        <v>6</v>
      </c>
      <c r="E38" s="68" t="s">
        <v>25</v>
      </c>
      <c r="F38" s="263">
        <f>+'Componente 1'!O12</f>
        <v>160000</v>
      </c>
      <c r="G38" s="67" t="s">
        <v>243</v>
      </c>
      <c r="H38" s="67" t="s">
        <v>244</v>
      </c>
      <c r="I38" s="264">
        <v>0.82</v>
      </c>
      <c r="J38" s="264">
        <v>0.18</v>
      </c>
      <c r="K38" s="67" t="s">
        <v>208</v>
      </c>
      <c r="L38" s="265">
        <v>43586</v>
      </c>
      <c r="M38" s="265">
        <v>43800</v>
      </c>
      <c r="N38" s="67" t="s">
        <v>209</v>
      </c>
    </row>
    <row r="39" spans="2:14">
      <c r="B39" s="67" t="s">
        <v>246</v>
      </c>
      <c r="C39" s="70" t="s">
        <v>204</v>
      </c>
      <c r="D39" s="70">
        <v>7</v>
      </c>
      <c r="E39" s="68" t="s">
        <v>26</v>
      </c>
      <c r="F39" s="263">
        <f>+'Componente 1'!O13</f>
        <v>160000</v>
      </c>
      <c r="G39" s="67" t="s">
        <v>243</v>
      </c>
      <c r="H39" s="67" t="s">
        <v>247</v>
      </c>
      <c r="I39" s="264">
        <v>0.82</v>
      </c>
      <c r="J39" s="264">
        <v>0.18</v>
      </c>
      <c r="K39" s="67" t="s">
        <v>208</v>
      </c>
      <c r="L39" s="265">
        <v>43739</v>
      </c>
      <c r="M39" s="265">
        <v>43952</v>
      </c>
      <c r="N39" s="67" t="s">
        <v>209</v>
      </c>
    </row>
    <row r="40" spans="2:14">
      <c r="B40" s="68"/>
      <c r="C40" s="68"/>
      <c r="D40" s="68"/>
      <c r="E40" s="266" t="s">
        <v>248</v>
      </c>
      <c r="F40" s="267">
        <f>+SUM(F37:F39)</f>
        <v>620000</v>
      </c>
      <c r="G40" s="67"/>
      <c r="H40" s="68"/>
      <c r="I40" s="68"/>
      <c r="J40" s="68"/>
      <c r="K40" s="68"/>
      <c r="L40" s="265"/>
      <c r="M40" s="265"/>
      <c r="N40" s="68"/>
    </row>
    <row r="41" spans="2:14">
      <c r="G41" s="66"/>
    </row>
    <row r="42" spans="2:14">
      <c r="E42" s="266" t="s">
        <v>249</v>
      </c>
      <c r="F42" s="79">
        <f>+F40+F34+F18+F14+F11</f>
        <v>4187014.4770962931</v>
      </c>
      <c r="G42" s="66"/>
    </row>
    <row r="43" spans="2:14">
      <c r="G43" s="66"/>
    </row>
    <row r="44" spans="2:14">
      <c r="B44" s="310" t="s">
        <v>250</v>
      </c>
      <c r="C44" s="310"/>
      <c r="D44" s="310"/>
      <c r="E44" s="310"/>
      <c r="F44" s="310"/>
      <c r="G44" s="310"/>
      <c r="H44" s="310"/>
      <c r="I44" s="310"/>
      <c r="J44" s="310"/>
      <c r="K44" s="310"/>
      <c r="L44" s="310"/>
      <c r="M44" s="310"/>
      <c r="N44" s="310"/>
    </row>
    <row r="45" spans="2:14">
      <c r="B45" s="310" t="s">
        <v>251</v>
      </c>
      <c r="C45" s="310"/>
      <c r="D45" s="310"/>
      <c r="E45" s="310"/>
      <c r="F45" s="310"/>
      <c r="G45" s="310"/>
      <c r="H45" s="310"/>
      <c r="I45" s="310"/>
      <c r="J45" s="310"/>
      <c r="K45" s="310"/>
      <c r="L45" s="310"/>
      <c r="M45" s="310"/>
      <c r="N45" s="310"/>
    </row>
  </sheetData>
  <mergeCells count="16">
    <mergeCell ref="B45:N45"/>
    <mergeCell ref="B2:N2"/>
    <mergeCell ref="B3:N3"/>
    <mergeCell ref="B4:N4"/>
    <mergeCell ref="B8:B9"/>
    <mergeCell ref="C8:C9"/>
    <mergeCell ref="D8:D9"/>
    <mergeCell ref="E8:E9"/>
    <mergeCell ref="F8:F9"/>
    <mergeCell ref="G8:G9"/>
    <mergeCell ref="H8:H9"/>
    <mergeCell ref="I8:J8"/>
    <mergeCell ref="K8:K9"/>
    <mergeCell ref="L8:M8"/>
    <mergeCell ref="N8:N9"/>
    <mergeCell ref="B44:N44"/>
  </mergeCells>
  <pageMargins left="0.7" right="0.7" top="0.75" bottom="0.75" header="0.3" footer="0.3"/>
  <pageSetup orientation="portrait" r:id="rId1"/>
  <headerFooter>
    <oddHeader>&amp;REER#5 - PE-L1228
Página &amp;P de 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43CD4B-A5E0-4FE6-B794-89D71AEE3EA6}">
  <sheetPr>
    <tabColor theme="4"/>
  </sheetPr>
  <dimension ref="B2:N84"/>
  <sheetViews>
    <sheetView topLeftCell="B1" zoomScale="70" zoomScaleNormal="70" workbookViewId="0" xr3:uid="{F3348102-2651-5C80-B5C4-58D12FDD43F7}">
      <pane ySplit="9" topLeftCell="A62" activePane="bottomLeft" state="frozen"/>
      <selection pane="bottomLeft" activeCell="E81" sqref="E81:F81"/>
    </sheetView>
  </sheetViews>
  <sheetFormatPr defaultColWidth="11" defaultRowHeight="13.9"/>
  <cols>
    <col min="1" max="1" width="2.125" style="64" customWidth="1"/>
    <col min="2" max="2" width="11" style="64"/>
    <col min="3" max="3" width="13.625" style="64" customWidth="1"/>
    <col min="4" max="4" width="12.875" style="64" customWidth="1"/>
    <col min="5" max="5" width="71.875" style="64" customWidth="1"/>
    <col min="6" max="6" width="12.875" style="64" customWidth="1"/>
    <col min="7" max="7" width="12.625" style="64" customWidth="1"/>
    <col min="8" max="8" width="11" style="64" customWidth="1"/>
    <col min="9" max="9" width="11.875" style="64" customWidth="1"/>
    <col min="10" max="10" width="11.375" style="64" customWidth="1"/>
    <col min="11" max="11" width="17.125" style="64" customWidth="1"/>
    <col min="12" max="13" width="15.875" style="64" customWidth="1"/>
    <col min="14" max="14" width="15.75" style="64" customWidth="1"/>
    <col min="15" max="16384" width="11" style="64"/>
  </cols>
  <sheetData>
    <row r="2" spans="2:14" ht="21">
      <c r="B2" s="308" t="s">
        <v>181</v>
      </c>
      <c r="C2" s="308"/>
      <c r="D2" s="308"/>
      <c r="E2" s="308"/>
      <c r="F2" s="308"/>
      <c r="G2" s="308"/>
      <c r="H2" s="308"/>
      <c r="I2" s="308"/>
      <c r="J2" s="308"/>
      <c r="K2" s="308"/>
      <c r="L2" s="308"/>
      <c r="M2" s="308"/>
      <c r="N2" s="308"/>
    </row>
    <row r="3" spans="2:14" ht="15.6">
      <c r="B3" s="295" t="s">
        <v>1</v>
      </c>
      <c r="C3" s="295"/>
      <c r="D3" s="295"/>
      <c r="E3" s="295"/>
      <c r="F3" s="295"/>
      <c r="G3" s="295"/>
      <c r="H3" s="295"/>
      <c r="I3" s="295"/>
      <c r="J3" s="295"/>
      <c r="K3" s="295"/>
      <c r="L3" s="295"/>
      <c r="M3" s="295"/>
      <c r="N3" s="295"/>
    </row>
    <row r="4" spans="2:14" ht="15.6">
      <c r="B4" s="295" t="s">
        <v>182</v>
      </c>
      <c r="C4" s="295"/>
      <c r="D4" s="295"/>
      <c r="E4" s="295"/>
      <c r="F4" s="295"/>
      <c r="G4" s="295"/>
      <c r="H4" s="295"/>
      <c r="I4" s="295"/>
      <c r="J4" s="295"/>
      <c r="K4" s="295"/>
      <c r="L4" s="295"/>
      <c r="M4" s="295"/>
      <c r="N4" s="295"/>
    </row>
    <row r="5" spans="2:14" ht="15.6">
      <c r="B5" s="284"/>
      <c r="C5" s="284"/>
      <c r="D5" s="284"/>
      <c r="E5" s="284"/>
      <c r="F5" s="284"/>
      <c r="G5" s="284"/>
      <c r="H5" s="284"/>
      <c r="I5" s="284"/>
      <c r="J5" s="284"/>
      <c r="K5" s="284"/>
      <c r="L5" s="284"/>
      <c r="M5" s="284"/>
      <c r="N5" s="284"/>
    </row>
    <row r="8" spans="2:14">
      <c r="B8" s="300" t="s">
        <v>183</v>
      </c>
      <c r="C8" s="300" t="s">
        <v>184</v>
      </c>
      <c r="D8" s="300" t="s">
        <v>185</v>
      </c>
      <c r="E8" s="300" t="s">
        <v>186</v>
      </c>
      <c r="F8" s="300" t="s">
        <v>187</v>
      </c>
      <c r="G8" s="300" t="s">
        <v>188</v>
      </c>
      <c r="H8" s="300" t="s">
        <v>189</v>
      </c>
      <c r="I8" s="300" t="s">
        <v>190</v>
      </c>
      <c r="J8" s="300"/>
      <c r="K8" s="300" t="s">
        <v>191</v>
      </c>
      <c r="L8" s="299" t="s">
        <v>192</v>
      </c>
      <c r="M8" s="299"/>
      <c r="N8" s="300" t="s">
        <v>193</v>
      </c>
    </row>
    <row r="9" spans="2:14" ht="19.149999999999999">
      <c r="B9" s="300"/>
      <c r="C9" s="300" t="s">
        <v>184</v>
      </c>
      <c r="D9" s="300"/>
      <c r="E9" s="300"/>
      <c r="F9" s="300"/>
      <c r="G9" s="300"/>
      <c r="H9" s="300"/>
      <c r="I9" s="286" t="s">
        <v>194</v>
      </c>
      <c r="J9" s="286" t="s">
        <v>195</v>
      </c>
      <c r="K9" s="300"/>
      <c r="L9" s="135" t="s">
        <v>196</v>
      </c>
      <c r="M9" s="135" t="s">
        <v>197</v>
      </c>
      <c r="N9" s="300"/>
    </row>
    <row r="10" spans="2:14">
      <c r="B10" s="68" t="s">
        <v>198</v>
      </c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</row>
    <row r="11" spans="2:14">
      <c r="B11" s="67" t="s">
        <v>252</v>
      </c>
      <c r="C11" s="70" t="s">
        <v>213</v>
      </c>
      <c r="D11" s="70">
        <v>11</v>
      </c>
      <c r="E11" s="68" t="s">
        <v>253</v>
      </c>
      <c r="F11" s="263">
        <f>+'Componente 2'!N15</f>
        <v>875000</v>
      </c>
      <c r="G11" s="67" t="s">
        <v>254</v>
      </c>
      <c r="H11" s="67" t="s">
        <v>207</v>
      </c>
      <c r="I11" s="264">
        <v>0.82</v>
      </c>
      <c r="J11" s="264">
        <v>0.18</v>
      </c>
      <c r="K11" s="67" t="s">
        <v>208</v>
      </c>
      <c r="L11" s="265">
        <v>44075</v>
      </c>
      <c r="M11" s="265">
        <v>44866</v>
      </c>
      <c r="N11" s="67" t="s">
        <v>209</v>
      </c>
    </row>
    <row r="12" spans="2:14">
      <c r="B12" s="67" t="s">
        <v>255</v>
      </c>
      <c r="C12" s="70" t="s">
        <v>213</v>
      </c>
      <c r="D12" s="70">
        <v>15</v>
      </c>
      <c r="E12" s="68" t="s">
        <v>256</v>
      </c>
      <c r="F12" s="263">
        <f>+'Componente 2'!N16</f>
        <v>2800000</v>
      </c>
      <c r="G12" s="67" t="s">
        <v>254</v>
      </c>
      <c r="H12" s="67" t="s">
        <v>207</v>
      </c>
      <c r="I12" s="264">
        <v>0.82</v>
      </c>
      <c r="J12" s="264">
        <v>0.18</v>
      </c>
      <c r="K12" s="67" t="s">
        <v>208</v>
      </c>
      <c r="L12" s="265">
        <v>44075</v>
      </c>
      <c r="M12" s="265">
        <v>45231</v>
      </c>
      <c r="N12" s="67" t="s">
        <v>209</v>
      </c>
    </row>
    <row r="13" spans="2:14">
      <c r="B13" s="67" t="s">
        <v>257</v>
      </c>
      <c r="C13" s="70" t="s">
        <v>219</v>
      </c>
      <c r="D13" s="70" t="s">
        <v>134</v>
      </c>
      <c r="E13" s="68" t="s">
        <v>258</v>
      </c>
      <c r="F13" s="263">
        <f>+'Componente 3'!R20</f>
        <v>18241442.744059678</v>
      </c>
      <c r="G13" s="67" t="s">
        <v>254</v>
      </c>
      <c r="H13" s="67" t="s">
        <v>207</v>
      </c>
      <c r="I13" s="264">
        <v>0.82</v>
      </c>
      <c r="J13" s="264">
        <v>0.18</v>
      </c>
      <c r="K13" s="67" t="s">
        <v>208</v>
      </c>
      <c r="L13" s="265">
        <v>44562</v>
      </c>
      <c r="M13" s="265">
        <v>45139</v>
      </c>
      <c r="N13" s="67" t="s">
        <v>209</v>
      </c>
    </row>
    <row r="14" spans="2:14">
      <c r="B14" s="67" t="s">
        <v>259</v>
      </c>
      <c r="C14" s="70" t="s">
        <v>219</v>
      </c>
      <c r="D14" s="70">
        <v>31</v>
      </c>
      <c r="E14" s="68" t="s">
        <v>260</v>
      </c>
      <c r="F14" s="263">
        <f>+'Componente 3'!R24</f>
        <v>6571474.1985074626</v>
      </c>
      <c r="G14" s="67" t="s">
        <v>254</v>
      </c>
      <c r="H14" s="67" t="s">
        <v>207</v>
      </c>
      <c r="I14" s="264">
        <v>0.82</v>
      </c>
      <c r="J14" s="264">
        <v>0.18</v>
      </c>
      <c r="K14" s="67" t="s">
        <v>208</v>
      </c>
      <c r="L14" s="265">
        <v>44256</v>
      </c>
      <c r="M14" s="265">
        <v>45200</v>
      </c>
      <c r="N14" s="67" t="s">
        <v>209</v>
      </c>
    </row>
    <row r="15" spans="2:14">
      <c r="B15" s="67" t="s">
        <v>261</v>
      </c>
      <c r="C15" s="70" t="s">
        <v>219</v>
      </c>
      <c r="D15" s="70">
        <v>31</v>
      </c>
      <c r="E15" s="68" t="s">
        <v>262</v>
      </c>
      <c r="F15" s="263">
        <f>+'Componente 3'!R25</f>
        <v>1703026.4179104478</v>
      </c>
      <c r="G15" s="67" t="s">
        <v>254</v>
      </c>
      <c r="H15" s="67" t="s">
        <v>207</v>
      </c>
      <c r="I15" s="264">
        <v>0.82</v>
      </c>
      <c r="J15" s="264">
        <v>0.18</v>
      </c>
      <c r="K15" s="67" t="s">
        <v>208</v>
      </c>
      <c r="L15" s="265">
        <v>44256</v>
      </c>
      <c r="M15" s="265">
        <v>44531</v>
      </c>
      <c r="N15" s="67" t="s">
        <v>209</v>
      </c>
    </row>
    <row r="16" spans="2:14">
      <c r="B16" s="67" t="s">
        <v>263</v>
      </c>
      <c r="C16" s="70" t="s">
        <v>219</v>
      </c>
      <c r="D16" s="70">
        <v>31</v>
      </c>
      <c r="E16" s="68" t="s">
        <v>264</v>
      </c>
      <c r="F16" s="263">
        <f>+'Componente 3'!R26</f>
        <v>1052143.4328358208</v>
      </c>
      <c r="G16" s="67" t="s">
        <v>254</v>
      </c>
      <c r="H16" s="67" t="s">
        <v>207</v>
      </c>
      <c r="I16" s="264">
        <v>0.82</v>
      </c>
      <c r="J16" s="264">
        <v>0.18</v>
      </c>
      <c r="K16" s="67" t="s">
        <v>208</v>
      </c>
      <c r="L16" s="265">
        <v>44256</v>
      </c>
      <c r="M16" s="265">
        <v>44531</v>
      </c>
      <c r="N16" s="67" t="s">
        <v>209</v>
      </c>
    </row>
    <row r="17" spans="2:14">
      <c r="B17" s="67" t="s">
        <v>265</v>
      </c>
      <c r="C17" s="70" t="s">
        <v>219</v>
      </c>
      <c r="D17" s="70">
        <v>31</v>
      </c>
      <c r="E17" s="68" t="s">
        <v>266</v>
      </c>
      <c r="F17" s="263">
        <f>+'Componente 3'!R27</f>
        <v>20209227.611940295</v>
      </c>
      <c r="G17" s="67" t="s">
        <v>254</v>
      </c>
      <c r="H17" s="67" t="s">
        <v>207</v>
      </c>
      <c r="I17" s="264">
        <v>0.82</v>
      </c>
      <c r="J17" s="264">
        <v>0.18</v>
      </c>
      <c r="K17" s="67" t="s">
        <v>208</v>
      </c>
      <c r="L17" s="265">
        <v>44256</v>
      </c>
      <c r="M17" s="265">
        <v>45200</v>
      </c>
      <c r="N17" s="67" t="s">
        <v>209</v>
      </c>
    </row>
    <row r="18" spans="2:14">
      <c r="B18" s="67" t="s">
        <v>267</v>
      </c>
      <c r="C18" s="70" t="s">
        <v>219</v>
      </c>
      <c r="D18" s="70">
        <v>25</v>
      </c>
      <c r="E18" s="68" t="s">
        <v>156</v>
      </c>
      <c r="F18" s="263">
        <f>+'Componente 3'!R39</f>
        <v>32000</v>
      </c>
      <c r="G18" s="67" t="s">
        <v>268</v>
      </c>
      <c r="H18" s="67" t="s">
        <v>223</v>
      </c>
      <c r="I18" s="264">
        <v>0.82</v>
      </c>
      <c r="J18" s="264">
        <v>0.18</v>
      </c>
      <c r="K18" s="67" t="s">
        <v>208</v>
      </c>
      <c r="L18" s="265"/>
      <c r="M18" s="265"/>
      <c r="N18" s="67" t="s">
        <v>209</v>
      </c>
    </row>
    <row r="19" spans="2:14">
      <c r="B19" s="68"/>
      <c r="C19" s="68"/>
      <c r="D19" s="68"/>
      <c r="E19" s="266" t="s">
        <v>199</v>
      </c>
      <c r="F19" s="79">
        <f>+SUM(F11:F18)</f>
        <v>51484314.405253708</v>
      </c>
      <c r="G19" s="67"/>
      <c r="H19" s="67"/>
      <c r="I19" s="68"/>
      <c r="J19" s="68"/>
      <c r="K19" s="67"/>
      <c r="L19" s="265"/>
      <c r="M19" s="265"/>
      <c r="N19" s="67"/>
    </row>
    <row r="20" spans="2:14">
      <c r="B20" s="68"/>
      <c r="C20" s="68"/>
      <c r="D20" s="68"/>
      <c r="E20" s="68"/>
      <c r="F20" s="68"/>
      <c r="G20" s="68"/>
      <c r="H20" s="67"/>
      <c r="I20" s="68"/>
      <c r="J20" s="68"/>
      <c r="K20" s="67"/>
      <c r="L20" s="265"/>
      <c r="M20" s="265"/>
      <c r="N20" s="67"/>
    </row>
    <row r="21" spans="2:14">
      <c r="B21" s="68" t="s">
        <v>200</v>
      </c>
      <c r="C21" s="68"/>
      <c r="D21" s="68"/>
      <c r="E21" s="68"/>
      <c r="F21" s="68"/>
      <c r="G21" s="68"/>
      <c r="H21" s="67"/>
      <c r="I21" s="68"/>
      <c r="J21" s="68"/>
      <c r="K21" s="67"/>
      <c r="L21" s="265"/>
      <c r="M21" s="265"/>
      <c r="N21" s="67"/>
    </row>
    <row r="22" spans="2:14">
      <c r="B22" s="67" t="s">
        <v>269</v>
      </c>
      <c r="C22" s="70" t="s">
        <v>213</v>
      </c>
      <c r="D22" s="70">
        <v>10</v>
      </c>
      <c r="E22" s="68" t="s">
        <v>270</v>
      </c>
      <c r="F22" s="263">
        <f>+'Componente 2'!N11</f>
        <v>15575000</v>
      </c>
      <c r="G22" s="67" t="s">
        <v>254</v>
      </c>
      <c r="H22" s="67" t="s">
        <v>207</v>
      </c>
      <c r="I22" s="264">
        <v>0.82</v>
      </c>
      <c r="J22" s="264">
        <v>0.18</v>
      </c>
      <c r="K22" s="67" t="s">
        <v>208</v>
      </c>
      <c r="L22" s="265">
        <v>43952</v>
      </c>
      <c r="M22" s="265">
        <v>44805</v>
      </c>
      <c r="N22" s="67" t="s">
        <v>209</v>
      </c>
    </row>
    <row r="23" spans="2:14">
      <c r="B23" s="67" t="s">
        <v>271</v>
      </c>
      <c r="C23" s="70" t="s">
        <v>213</v>
      </c>
      <c r="D23" s="70">
        <v>14</v>
      </c>
      <c r="E23" s="68" t="s">
        <v>272</v>
      </c>
      <c r="F23" s="263">
        <f>+'Componente 2'!N12</f>
        <v>30100000</v>
      </c>
      <c r="G23" s="67" t="s">
        <v>254</v>
      </c>
      <c r="H23" s="67" t="s">
        <v>207</v>
      </c>
      <c r="I23" s="264">
        <v>0.82</v>
      </c>
      <c r="J23" s="264">
        <v>0.18</v>
      </c>
      <c r="K23" s="67" t="s">
        <v>208</v>
      </c>
      <c r="L23" s="265">
        <v>43952</v>
      </c>
      <c r="M23" s="265">
        <v>45139</v>
      </c>
      <c r="N23" s="67" t="s">
        <v>209</v>
      </c>
    </row>
    <row r="24" spans="2:14">
      <c r="B24" s="67" t="s">
        <v>273</v>
      </c>
      <c r="C24" s="70" t="s">
        <v>219</v>
      </c>
      <c r="D24" s="70">
        <v>18</v>
      </c>
      <c r="E24" s="68" t="s">
        <v>274</v>
      </c>
      <c r="F24" s="263">
        <f>+'Componente 3'!R18+'Componente 3'!O22+'Componente 3'!P22+'Componente 3'!Q22</f>
        <v>20736684.15056476</v>
      </c>
      <c r="G24" s="67" t="s">
        <v>254</v>
      </c>
      <c r="H24" s="67" t="s">
        <v>207</v>
      </c>
      <c r="I24" s="264">
        <v>0.82</v>
      </c>
      <c r="J24" s="264">
        <v>0.18</v>
      </c>
      <c r="K24" s="67" t="s">
        <v>208</v>
      </c>
      <c r="L24" s="265">
        <v>43983</v>
      </c>
      <c r="M24" s="265">
        <v>44958</v>
      </c>
      <c r="N24" s="67" t="s">
        <v>209</v>
      </c>
    </row>
    <row r="25" spans="2:14">
      <c r="B25" s="68"/>
      <c r="C25" s="68"/>
      <c r="D25" s="68"/>
      <c r="E25" s="266" t="s">
        <v>201</v>
      </c>
      <c r="F25" s="79">
        <f>+SUM(F22:F24)</f>
        <v>66411684.15056476</v>
      </c>
      <c r="G25" s="68"/>
      <c r="H25" s="68"/>
      <c r="I25" s="68"/>
      <c r="J25" s="68"/>
      <c r="K25" s="67"/>
      <c r="L25" s="265"/>
      <c r="M25" s="265"/>
      <c r="N25" s="67"/>
    </row>
    <row r="26" spans="2:14">
      <c r="B26" s="68"/>
      <c r="C26" s="68"/>
      <c r="D26" s="68"/>
      <c r="E26" s="68"/>
      <c r="F26" s="68"/>
      <c r="G26" s="68"/>
      <c r="H26" s="68"/>
      <c r="I26" s="68"/>
      <c r="J26" s="68"/>
      <c r="K26" s="67"/>
      <c r="L26" s="265"/>
      <c r="M26" s="265"/>
      <c r="N26" s="67"/>
    </row>
    <row r="27" spans="2:14">
      <c r="B27" s="68" t="s">
        <v>202</v>
      </c>
      <c r="C27" s="68"/>
      <c r="D27" s="68"/>
      <c r="E27" s="68"/>
      <c r="F27" s="68"/>
      <c r="G27" s="68"/>
      <c r="H27" s="68"/>
      <c r="I27" s="68"/>
      <c r="J27" s="68"/>
      <c r="K27" s="67"/>
      <c r="L27" s="265"/>
      <c r="M27" s="265"/>
      <c r="N27" s="67"/>
    </row>
    <row r="28" spans="2:14">
      <c r="B28" s="67" t="s">
        <v>275</v>
      </c>
      <c r="C28" s="70" t="s">
        <v>219</v>
      </c>
      <c r="D28" s="70">
        <v>26</v>
      </c>
      <c r="E28" s="68" t="s">
        <v>146</v>
      </c>
      <c r="F28" s="263">
        <f>+'Componente 3'!R29</f>
        <v>120000</v>
      </c>
      <c r="G28" s="67" t="s">
        <v>230</v>
      </c>
      <c r="H28" s="67" t="s">
        <v>207</v>
      </c>
      <c r="I28" s="264">
        <v>0.82</v>
      </c>
      <c r="J28" s="264">
        <v>0.18</v>
      </c>
      <c r="K28" s="67" t="s">
        <v>208</v>
      </c>
      <c r="L28" s="265">
        <v>44713</v>
      </c>
      <c r="M28" s="265">
        <v>44986</v>
      </c>
      <c r="N28" s="67" t="s">
        <v>209</v>
      </c>
    </row>
    <row r="29" spans="2:14">
      <c r="B29" s="67" t="s">
        <v>276</v>
      </c>
      <c r="C29" s="70" t="s">
        <v>219</v>
      </c>
      <c r="D29" s="70">
        <v>26</v>
      </c>
      <c r="E29" s="68" t="s">
        <v>147</v>
      </c>
      <c r="F29" s="263">
        <f>+'Componente 3'!R30</f>
        <v>120000</v>
      </c>
      <c r="G29" s="67" t="s">
        <v>230</v>
      </c>
      <c r="H29" s="67" t="s">
        <v>207</v>
      </c>
      <c r="I29" s="264">
        <v>0.82</v>
      </c>
      <c r="J29" s="264">
        <v>0.18</v>
      </c>
      <c r="K29" s="67" t="s">
        <v>208</v>
      </c>
      <c r="L29" s="265">
        <v>44713</v>
      </c>
      <c r="M29" s="265">
        <v>44986</v>
      </c>
      <c r="N29" s="67" t="s">
        <v>209</v>
      </c>
    </row>
    <row r="30" spans="2:14">
      <c r="B30" s="67" t="s">
        <v>277</v>
      </c>
      <c r="C30" s="70" t="s">
        <v>219</v>
      </c>
      <c r="D30" s="70">
        <v>26</v>
      </c>
      <c r="E30" s="68" t="s">
        <v>148</v>
      </c>
      <c r="F30" s="263">
        <f>+'Componente 3'!R31</f>
        <v>120000</v>
      </c>
      <c r="G30" s="67" t="s">
        <v>230</v>
      </c>
      <c r="H30" s="67" t="s">
        <v>207</v>
      </c>
      <c r="I30" s="264">
        <v>0.82</v>
      </c>
      <c r="J30" s="264">
        <v>0.18</v>
      </c>
      <c r="K30" s="67" t="s">
        <v>208</v>
      </c>
      <c r="L30" s="265">
        <v>44713</v>
      </c>
      <c r="M30" s="265">
        <v>44986</v>
      </c>
      <c r="N30" s="67" t="s">
        <v>209</v>
      </c>
    </row>
    <row r="31" spans="2:14">
      <c r="B31" s="67" t="s">
        <v>278</v>
      </c>
      <c r="C31" s="70" t="s">
        <v>219</v>
      </c>
      <c r="D31" s="70">
        <v>26</v>
      </c>
      <c r="E31" s="68" t="s">
        <v>279</v>
      </c>
      <c r="F31" s="263">
        <f>+'Componente 3'!R32</f>
        <v>225000</v>
      </c>
      <c r="G31" s="67" t="s">
        <v>230</v>
      </c>
      <c r="H31" s="67" t="s">
        <v>207</v>
      </c>
      <c r="I31" s="264">
        <v>0.82</v>
      </c>
      <c r="J31" s="264">
        <v>0.18</v>
      </c>
      <c r="K31" s="67" t="s">
        <v>208</v>
      </c>
      <c r="L31" s="265">
        <v>44713</v>
      </c>
      <c r="M31" s="265">
        <v>44986</v>
      </c>
      <c r="N31" s="67" t="s">
        <v>209</v>
      </c>
    </row>
    <row r="32" spans="2:14">
      <c r="B32" s="67" t="s">
        <v>280</v>
      </c>
      <c r="C32" s="70" t="s">
        <v>219</v>
      </c>
      <c r="D32" s="70">
        <v>26</v>
      </c>
      <c r="E32" s="68" t="s">
        <v>150</v>
      </c>
      <c r="F32" s="263">
        <f>+'Componente 3'!R33</f>
        <v>128000</v>
      </c>
      <c r="G32" s="67" t="s">
        <v>230</v>
      </c>
      <c r="H32" s="67" t="s">
        <v>207</v>
      </c>
      <c r="I32" s="264">
        <v>0.82</v>
      </c>
      <c r="J32" s="264">
        <v>0.18</v>
      </c>
      <c r="K32" s="67" t="s">
        <v>208</v>
      </c>
      <c r="L32" s="265">
        <v>44621</v>
      </c>
      <c r="M32" s="265">
        <v>44986</v>
      </c>
      <c r="N32" s="67" t="s">
        <v>209</v>
      </c>
    </row>
    <row r="33" spans="2:14">
      <c r="B33" s="67" t="s">
        <v>281</v>
      </c>
      <c r="C33" s="70" t="s">
        <v>204</v>
      </c>
      <c r="D33" s="70">
        <v>3</v>
      </c>
      <c r="E33" s="68" t="s">
        <v>282</v>
      </c>
      <c r="F33" s="263">
        <f>+'Componente 1'!O9</f>
        <v>3125000</v>
      </c>
      <c r="G33" s="67" t="s">
        <v>206</v>
      </c>
      <c r="H33" s="67" t="s">
        <v>207</v>
      </c>
      <c r="I33" s="264">
        <v>0.82</v>
      </c>
      <c r="J33" s="264">
        <v>0.18</v>
      </c>
      <c r="K33" s="67" t="s">
        <v>208</v>
      </c>
      <c r="L33" s="265">
        <v>44317</v>
      </c>
      <c r="M33" s="265">
        <v>45261</v>
      </c>
      <c r="N33" s="67" t="s">
        <v>209</v>
      </c>
    </row>
    <row r="34" spans="2:14">
      <c r="B34" s="67" t="s">
        <v>203</v>
      </c>
      <c r="C34" s="70" t="s">
        <v>204</v>
      </c>
      <c r="D34" s="70">
        <v>8</v>
      </c>
      <c r="E34" s="68" t="s">
        <v>205</v>
      </c>
      <c r="F34" s="263">
        <f>+'Componente 1'!O14</f>
        <v>6250000</v>
      </c>
      <c r="G34" s="67" t="s">
        <v>206</v>
      </c>
      <c r="H34" s="67" t="s">
        <v>207</v>
      </c>
      <c r="I34" s="264">
        <v>0.82</v>
      </c>
      <c r="J34" s="264">
        <v>0.18</v>
      </c>
      <c r="K34" s="67" t="s">
        <v>208</v>
      </c>
      <c r="L34" s="265">
        <v>43678</v>
      </c>
      <c r="M34" s="265">
        <v>45261</v>
      </c>
      <c r="N34" s="67" t="s">
        <v>209</v>
      </c>
    </row>
    <row r="35" spans="2:14">
      <c r="B35" s="67" t="s">
        <v>283</v>
      </c>
      <c r="C35" s="70" t="s">
        <v>219</v>
      </c>
      <c r="D35" s="70">
        <v>27</v>
      </c>
      <c r="E35" s="68" t="s">
        <v>168</v>
      </c>
      <c r="F35" s="263">
        <f>+'Componente 3'!R51</f>
        <v>2500000</v>
      </c>
      <c r="G35" s="67" t="s">
        <v>206</v>
      </c>
      <c r="H35" s="67" t="s">
        <v>207</v>
      </c>
      <c r="I35" s="264">
        <v>0.82</v>
      </c>
      <c r="J35" s="264">
        <v>0.18</v>
      </c>
      <c r="K35" s="67" t="s">
        <v>208</v>
      </c>
      <c r="L35" s="265">
        <v>44621</v>
      </c>
      <c r="M35" s="265">
        <v>45261</v>
      </c>
      <c r="N35" s="67" t="s">
        <v>209</v>
      </c>
    </row>
    <row r="36" spans="2:14">
      <c r="B36" s="67" t="s">
        <v>284</v>
      </c>
      <c r="C36" s="70" t="s">
        <v>219</v>
      </c>
      <c r="D36" s="70">
        <v>26</v>
      </c>
      <c r="E36" s="68" t="s">
        <v>151</v>
      </c>
      <c r="F36" s="263">
        <f>+'Componente 3'!R34</f>
        <v>75000</v>
      </c>
      <c r="G36" s="67" t="s">
        <v>237</v>
      </c>
      <c r="H36" s="67" t="s">
        <v>223</v>
      </c>
      <c r="I36" s="264">
        <v>0.82</v>
      </c>
      <c r="J36" s="264">
        <v>0.18</v>
      </c>
      <c r="K36" s="67" t="s">
        <v>208</v>
      </c>
      <c r="L36" s="265">
        <v>44713</v>
      </c>
      <c r="M36" s="265">
        <v>44986</v>
      </c>
      <c r="N36" s="67" t="s">
        <v>209</v>
      </c>
    </row>
    <row r="37" spans="2:14">
      <c r="B37" s="67" t="s">
        <v>285</v>
      </c>
      <c r="C37" s="70" t="s">
        <v>219</v>
      </c>
      <c r="D37" s="70">
        <v>26</v>
      </c>
      <c r="E37" s="68" t="s">
        <v>152</v>
      </c>
      <c r="F37" s="263">
        <f>+'Componente 3'!R35</f>
        <v>75000</v>
      </c>
      <c r="G37" s="67" t="s">
        <v>237</v>
      </c>
      <c r="H37" s="67" t="s">
        <v>223</v>
      </c>
      <c r="I37" s="264">
        <v>0.82</v>
      </c>
      <c r="J37" s="264">
        <v>0.18</v>
      </c>
      <c r="K37" s="67" t="s">
        <v>208</v>
      </c>
      <c r="L37" s="265">
        <v>44713</v>
      </c>
      <c r="M37" s="265">
        <v>44986</v>
      </c>
      <c r="N37" s="67" t="s">
        <v>209</v>
      </c>
    </row>
    <row r="38" spans="2:14">
      <c r="B38" s="68"/>
      <c r="C38" s="68"/>
      <c r="D38" s="68"/>
      <c r="E38" s="266" t="s">
        <v>210</v>
      </c>
      <c r="F38" s="79">
        <f>+SUM(F28:F37)</f>
        <v>12738000</v>
      </c>
      <c r="G38" s="68"/>
      <c r="H38" s="68"/>
      <c r="I38" s="68"/>
      <c r="J38" s="68"/>
      <c r="K38" s="67"/>
      <c r="L38" s="265"/>
      <c r="M38" s="265"/>
      <c r="N38" s="67"/>
    </row>
    <row r="39" spans="2:14">
      <c r="B39" s="68"/>
      <c r="C39" s="68"/>
      <c r="D39" s="68"/>
      <c r="E39" s="68"/>
      <c r="F39" s="68"/>
      <c r="G39" s="68"/>
      <c r="H39" s="68"/>
      <c r="I39" s="68"/>
      <c r="J39" s="68"/>
      <c r="K39" s="67"/>
      <c r="L39" s="265"/>
      <c r="M39" s="265"/>
      <c r="N39" s="67"/>
    </row>
    <row r="40" spans="2:14">
      <c r="B40" s="68" t="s">
        <v>211</v>
      </c>
      <c r="C40" s="68"/>
      <c r="D40" s="68"/>
      <c r="E40" s="68"/>
      <c r="F40" s="68"/>
      <c r="G40" s="68"/>
      <c r="H40" s="68"/>
      <c r="I40" s="68"/>
      <c r="J40" s="68"/>
      <c r="K40" s="67"/>
      <c r="L40" s="265"/>
      <c r="M40" s="265"/>
      <c r="N40" s="67"/>
    </row>
    <row r="41" spans="2:14">
      <c r="B41" s="67" t="s">
        <v>212</v>
      </c>
      <c r="C41" s="70" t="s">
        <v>213</v>
      </c>
      <c r="D41" s="70">
        <v>9</v>
      </c>
      <c r="E41" s="68" t="s">
        <v>214</v>
      </c>
      <c r="F41" s="263">
        <f>+'Componente 2'!N7</f>
        <v>350000</v>
      </c>
      <c r="G41" s="67" t="s">
        <v>215</v>
      </c>
      <c r="H41" s="67" t="s">
        <v>207</v>
      </c>
      <c r="I41" s="264">
        <v>0.82</v>
      </c>
      <c r="J41" s="264">
        <v>0.18</v>
      </c>
      <c r="K41" s="67" t="s">
        <v>208</v>
      </c>
      <c r="L41" s="265">
        <v>43678</v>
      </c>
      <c r="M41" s="265">
        <v>44105</v>
      </c>
      <c r="N41" s="67" t="s">
        <v>209</v>
      </c>
    </row>
    <row r="42" spans="2:14">
      <c r="B42" s="67" t="s">
        <v>216</v>
      </c>
      <c r="C42" s="70" t="s">
        <v>213</v>
      </c>
      <c r="D42" s="70">
        <v>13</v>
      </c>
      <c r="E42" s="68" t="s">
        <v>217</v>
      </c>
      <c r="F42" s="263">
        <f>+'Componente 2'!N8</f>
        <v>700000</v>
      </c>
      <c r="G42" s="67" t="s">
        <v>215</v>
      </c>
      <c r="H42" s="67" t="s">
        <v>207</v>
      </c>
      <c r="I42" s="264">
        <v>0.82</v>
      </c>
      <c r="J42" s="264">
        <v>0.18</v>
      </c>
      <c r="K42" s="67" t="s">
        <v>208</v>
      </c>
      <c r="L42" s="265">
        <v>43678</v>
      </c>
      <c r="M42" s="265">
        <v>44105</v>
      </c>
      <c r="N42" s="67" t="s">
        <v>209</v>
      </c>
    </row>
    <row r="43" spans="2:14">
      <c r="B43" s="67" t="s">
        <v>218</v>
      </c>
      <c r="C43" s="70" t="s">
        <v>219</v>
      </c>
      <c r="D43" s="70">
        <v>17</v>
      </c>
      <c r="E43" s="68" t="s">
        <v>220</v>
      </c>
      <c r="F43" s="263">
        <f>+'Componente 3'!R16</f>
        <v>1023565.2075282381</v>
      </c>
      <c r="G43" s="67" t="s">
        <v>215</v>
      </c>
      <c r="H43" s="67" t="s">
        <v>207</v>
      </c>
      <c r="I43" s="264">
        <v>0.82</v>
      </c>
      <c r="J43" s="264">
        <v>0.18</v>
      </c>
      <c r="K43" s="67" t="s">
        <v>208</v>
      </c>
      <c r="L43" s="265">
        <v>43678</v>
      </c>
      <c r="M43" s="265">
        <v>44136</v>
      </c>
      <c r="N43" s="67" t="s">
        <v>209</v>
      </c>
    </row>
    <row r="44" spans="2:14">
      <c r="B44" s="67" t="s">
        <v>286</v>
      </c>
      <c r="C44" s="70" t="s">
        <v>213</v>
      </c>
      <c r="D44" s="70">
        <v>10</v>
      </c>
      <c r="E44" s="68" t="s">
        <v>287</v>
      </c>
      <c r="F44" s="263">
        <f>+'Componente 2'!N9</f>
        <v>525000</v>
      </c>
      <c r="G44" s="67" t="s">
        <v>215</v>
      </c>
      <c r="H44" s="67" t="s">
        <v>207</v>
      </c>
      <c r="I44" s="264">
        <v>0.82</v>
      </c>
      <c r="J44" s="264">
        <v>0.18</v>
      </c>
      <c r="K44" s="67" t="s">
        <v>208</v>
      </c>
      <c r="L44" s="265">
        <v>43952</v>
      </c>
      <c r="M44" s="265">
        <v>44805</v>
      </c>
      <c r="N44" s="67" t="s">
        <v>209</v>
      </c>
    </row>
    <row r="45" spans="2:14">
      <c r="B45" s="67" t="s">
        <v>288</v>
      </c>
      <c r="C45" s="70" t="s">
        <v>213</v>
      </c>
      <c r="D45" s="70">
        <v>14</v>
      </c>
      <c r="E45" s="68" t="s">
        <v>289</v>
      </c>
      <c r="F45" s="263">
        <f>+'Componente 2'!N10</f>
        <v>1050000</v>
      </c>
      <c r="G45" s="67" t="s">
        <v>215</v>
      </c>
      <c r="H45" s="67" t="s">
        <v>207</v>
      </c>
      <c r="I45" s="264">
        <v>0.82</v>
      </c>
      <c r="J45" s="264">
        <v>0.18</v>
      </c>
      <c r="K45" s="67" t="s">
        <v>208</v>
      </c>
      <c r="L45" s="265">
        <v>43952</v>
      </c>
      <c r="M45" s="265">
        <v>45139</v>
      </c>
      <c r="N45" s="67" t="s">
        <v>209</v>
      </c>
    </row>
    <row r="46" spans="2:14">
      <c r="B46" s="67" t="s">
        <v>290</v>
      </c>
      <c r="C46" s="70" t="s">
        <v>219</v>
      </c>
      <c r="D46" s="70">
        <v>18</v>
      </c>
      <c r="E46" s="68" t="s">
        <v>291</v>
      </c>
      <c r="F46" s="263">
        <f>+'Componente 3'!R19</f>
        <v>1637704.332045181</v>
      </c>
      <c r="G46" s="67" t="s">
        <v>215</v>
      </c>
      <c r="H46" s="67" t="s">
        <v>207</v>
      </c>
      <c r="I46" s="264">
        <v>0.82</v>
      </c>
      <c r="J46" s="264">
        <v>0.18</v>
      </c>
      <c r="K46" s="67" t="s">
        <v>208</v>
      </c>
      <c r="L46" s="265">
        <v>43983</v>
      </c>
      <c r="M46" s="265">
        <v>44958</v>
      </c>
      <c r="N46" s="67" t="s">
        <v>209</v>
      </c>
    </row>
    <row r="47" spans="2:14">
      <c r="B47" s="67" t="s">
        <v>221</v>
      </c>
      <c r="C47" s="70" t="s">
        <v>213</v>
      </c>
      <c r="D47" s="70">
        <v>9</v>
      </c>
      <c r="E47" s="68" t="s">
        <v>222</v>
      </c>
      <c r="F47" s="263">
        <f>+'Componente 2'!N13</f>
        <v>175000</v>
      </c>
      <c r="G47" s="67" t="s">
        <v>215</v>
      </c>
      <c r="H47" s="67" t="s">
        <v>223</v>
      </c>
      <c r="I47" s="264">
        <v>0.82</v>
      </c>
      <c r="J47" s="264">
        <v>0.18</v>
      </c>
      <c r="K47" s="67" t="s">
        <v>208</v>
      </c>
      <c r="L47" s="265">
        <v>43678</v>
      </c>
      <c r="M47" s="265">
        <v>44105</v>
      </c>
      <c r="N47" s="67" t="s">
        <v>209</v>
      </c>
    </row>
    <row r="48" spans="2:14">
      <c r="B48" s="67" t="s">
        <v>224</v>
      </c>
      <c r="C48" s="70" t="s">
        <v>213</v>
      </c>
      <c r="D48" s="70">
        <v>13</v>
      </c>
      <c r="E48" s="68" t="s">
        <v>225</v>
      </c>
      <c r="F48" s="263">
        <f>+'Componente 2'!N14</f>
        <v>350000</v>
      </c>
      <c r="G48" s="67" t="s">
        <v>215</v>
      </c>
      <c r="H48" s="67" t="s">
        <v>223</v>
      </c>
      <c r="I48" s="264">
        <v>0.82</v>
      </c>
      <c r="J48" s="264">
        <v>0.18</v>
      </c>
      <c r="K48" s="67" t="s">
        <v>208</v>
      </c>
      <c r="L48" s="265">
        <v>43678</v>
      </c>
      <c r="M48" s="265">
        <v>44105</v>
      </c>
      <c r="N48" s="67" t="s">
        <v>209</v>
      </c>
    </row>
    <row r="49" spans="2:14">
      <c r="B49" s="67" t="s">
        <v>226</v>
      </c>
      <c r="C49" s="70" t="s">
        <v>219</v>
      </c>
      <c r="D49" s="70">
        <v>17</v>
      </c>
      <c r="E49" s="68" t="s">
        <v>227</v>
      </c>
      <c r="F49" s="263">
        <f>+'Componente 3'!N22</f>
        <v>88460</v>
      </c>
      <c r="G49" s="67" t="s">
        <v>215</v>
      </c>
      <c r="H49" s="67" t="s">
        <v>223</v>
      </c>
      <c r="I49" s="264">
        <v>0.82</v>
      </c>
      <c r="J49" s="264">
        <v>0.18</v>
      </c>
      <c r="K49" s="67" t="s">
        <v>208</v>
      </c>
      <c r="L49" s="265">
        <v>43678</v>
      </c>
      <c r="M49" s="265">
        <v>44136</v>
      </c>
      <c r="N49" s="67" t="s">
        <v>209</v>
      </c>
    </row>
    <row r="50" spans="2:14">
      <c r="B50" s="67" t="s">
        <v>292</v>
      </c>
      <c r="C50" s="70" t="s">
        <v>219</v>
      </c>
      <c r="D50" s="70" t="s">
        <v>134</v>
      </c>
      <c r="E50" s="68" t="s">
        <v>293</v>
      </c>
      <c r="F50" s="263">
        <f>+'Componente 3'!R21</f>
        <v>547243.28232179035</v>
      </c>
      <c r="G50" s="67" t="s">
        <v>215</v>
      </c>
      <c r="H50" s="67" t="s">
        <v>207</v>
      </c>
      <c r="I50" s="264">
        <v>0.82</v>
      </c>
      <c r="J50" s="264">
        <v>0.18</v>
      </c>
      <c r="K50" s="67" t="s">
        <v>208</v>
      </c>
      <c r="L50" s="265">
        <v>44562</v>
      </c>
      <c r="M50" s="265">
        <v>45139</v>
      </c>
      <c r="N50" s="67" t="s">
        <v>209</v>
      </c>
    </row>
    <row r="51" spans="2:14">
      <c r="B51" s="67" t="s">
        <v>228</v>
      </c>
      <c r="C51" s="70" t="s">
        <v>219</v>
      </c>
      <c r="D51" s="70">
        <v>17</v>
      </c>
      <c r="E51" s="68" t="s">
        <v>229</v>
      </c>
      <c r="F51" s="263">
        <f>+'Componente 3'!R17</f>
        <v>204713.04150564762</v>
      </c>
      <c r="G51" s="67" t="s">
        <v>230</v>
      </c>
      <c r="H51" s="67" t="s">
        <v>207</v>
      </c>
      <c r="I51" s="264">
        <v>0.82</v>
      </c>
      <c r="J51" s="264">
        <v>0.18</v>
      </c>
      <c r="K51" s="67" t="s">
        <v>208</v>
      </c>
      <c r="L51" s="265">
        <v>43678</v>
      </c>
      <c r="M51" s="265">
        <v>44136</v>
      </c>
      <c r="N51" s="67" t="s">
        <v>209</v>
      </c>
    </row>
    <row r="52" spans="2:14">
      <c r="B52" s="67" t="s">
        <v>231</v>
      </c>
      <c r="C52" s="70" t="s">
        <v>204</v>
      </c>
      <c r="D52" s="70">
        <v>1</v>
      </c>
      <c r="E52" s="68" t="s">
        <v>20</v>
      </c>
      <c r="F52" s="263">
        <f>+'Componente 1'!O7</f>
        <v>238957.37182536721</v>
      </c>
      <c r="G52" s="67" t="s">
        <v>230</v>
      </c>
      <c r="H52" s="67" t="s">
        <v>207</v>
      </c>
      <c r="I52" s="264">
        <v>0.82</v>
      </c>
      <c r="J52" s="264">
        <v>0.18</v>
      </c>
      <c r="K52" s="67" t="s">
        <v>208</v>
      </c>
      <c r="L52" s="265">
        <v>43739</v>
      </c>
      <c r="M52" s="265">
        <v>44044</v>
      </c>
      <c r="N52" s="67" t="s">
        <v>209</v>
      </c>
    </row>
    <row r="53" spans="2:14">
      <c r="B53" s="67" t="s">
        <v>232</v>
      </c>
      <c r="C53" s="70" t="s">
        <v>204</v>
      </c>
      <c r="D53" s="70">
        <v>2</v>
      </c>
      <c r="E53" s="68" t="s">
        <v>21</v>
      </c>
      <c r="F53" s="263">
        <f>+'Componente 1'!O8</f>
        <v>640000</v>
      </c>
      <c r="G53" s="67" t="s">
        <v>230</v>
      </c>
      <c r="H53" s="67" t="s">
        <v>207</v>
      </c>
      <c r="I53" s="264">
        <v>0.82</v>
      </c>
      <c r="J53" s="264">
        <v>0.18</v>
      </c>
      <c r="K53" s="67" t="s">
        <v>208</v>
      </c>
      <c r="L53" s="265">
        <v>43739</v>
      </c>
      <c r="M53" s="265">
        <v>44713</v>
      </c>
      <c r="N53" s="67" t="s">
        <v>209</v>
      </c>
    </row>
    <row r="54" spans="2:14">
      <c r="B54" s="67" t="s">
        <v>294</v>
      </c>
      <c r="C54" s="70" t="s">
        <v>204</v>
      </c>
      <c r="D54" s="70">
        <v>4</v>
      </c>
      <c r="E54" s="68" t="s">
        <v>23</v>
      </c>
      <c r="F54" s="263">
        <f>+'Componente 1'!O10</f>
        <v>300000</v>
      </c>
      <c r="G54" s="67" t="s">
        <v>230</v>
      </c>
      <c r="H54" s="67" t="s">
        <v>207</v>
      </c>
      <c r="I54" s="264">
        <v>0.82</v>
      </c>
      <c r="J54" s="264">
        <v>0.18</v>
      </c>
      <c r="K54" s="67" t="s">
        <v>208</v>
      </c>
      <c r="L54" s="265">
        <v>43831</v>
      </c>
      <c r="M54" s="265">
        <v>44166</v>
      </c>
      <c r="N54" s="67" t="s">
        <v>209</v>
      </c>
    </row>
    <row r="55" spans="2:14">
      <c r="B55" s="67" t="s">
        <v>295</v>
      </c>
      <c r="C55" s="70" t="s">
        <v>219</v>
      </c>
      <c r="D55" s="70">
        <v>19</v>
      </c>
      <c r="E55" s="68" t="s">
        <v>122</v>
      </c>
      <c r="F55" s="263">
        <f>+'Componente 3'!R8</f>
        <v>320000</v>
      </c>
      <c r="G55" s="67" t="s">
        <v>230</v>
      </c>
      <c r="H55" s="67" t="s">
        <v>207</v>
      </c>
      <c r="I55" s="264">
        <v>0.82</v>
      </c>
      <c r="J55" s="264">
        <v>0.18</v>
      </c>
      <c r="K55" s="67" t="s">
        <v>208</v>
      </c>
      <c r="L55" s="265">
        <v>44378</v>
      </c>
      <c r="M55" s="265">
        <v>44682</v>
      </c>
      <c r="N55" s="67" t="s">
        <v>209</v>
      </c>
    </row>
    <row r="56" spans="2:14">
      <c r="B56" s="67" t="s">
        <v>296</v>
      </c>
      <c r="C56" s="70" t="s">
        <v>219</v>
      </c>
      <c r="D56" s="70">
        <v>20</v>
      </c>
      <c r="E56" s="68" t="s">
        <v>123</v>
      </c>
      <c r="F56" s="263">
        <f>+'Componente 3'!R9</f>
        <v>100000</v>
      </c>
      <c r="G56" s="67" t="s">
        <v>230</v>
      </c>
      <c r="H56" s="67" t="s">
        <v>207</v>
      </c>
      <c r="I56" s="264">
        <v>0.82</v>
      </c>
      <c r="J56" s="264">
        <v>0.18</v>
      </c>
      <c r="K56" s="67" t="s">
        <v>208</v>
      </c>
      <c r="L56" s="265">
        <v>44378</v>
      </c>
      <c r="M56" s="265">
        <v>44682</v>
      </c>
      <c r="N56" s="67" t="s">
        <v>209</v>
      </c>
    </row>
    <row r="57" spans="2:14">
      <c r="B57" s="67" t="s">
        <v>297</v>
      </c>
      <c r="C57" s="70" t="s">
        <v>219</v>
      </c>
      <c r="D57" s="70">
        <v>27</v>
      </c>
      <c r="E57" s="68" t="s">
        <v>160</v>
      </c>
      <c r="F57" s="263">
        <f>+'Componente 3'!R43</f>
        <v>100000</v>
      </c>
      <c r="G57" s="67" t="s">
        <v>230</v>
      </c>
      <c r="H57" s="67" t="s">
        <v>207</v>
      </c>
      <c r="I57" s="264">
        <v>0.82</v>
      </c>
      <c r="J57" s="264">
        <v>0.18</v>
      </c>
      <c r="K57" s="67" t="s">
        <v>208</v>
      </c>
      <c r="L57" s="265">
        <v>44013</v>
      </c>
      <c r="M57" s="265">
        <v>44317</v>
      </c>
      <c r="N57" s="67" t="s">
        <v>209</v>
      </c>
    </row>
    <row r="58" spans="2:14">
      <c r="B58" s="67" t="s">
        <v>298</v>
      </c>
      <c r="C58" s="70" t="s">
        <v>219</v>
      </c>
      <c r="D58" s="70">
        <v>27</v>
      </c>
      <c r="E58" s="68" t="s">
        <v>161</v>
      </c>
      <c r="F58" s="263">
        <f>+'Componente 3'!R44</f>
        <v>50000</v>
      </c>
      <c r="G58" s="67" t="s">
        <v>230</v>
      </c>
      <c r="H58" s="67" t="s">
        <v>223</v>
      </c>
      <c r="I58" s="264">
        <v>0.82</v>
      </c>
      <c r="J58" s="264">
        <v>0.18</v>
      </c>
      <c r="K58" s="67" t="s">
        <v>208</v>
      </c>
      <c r="L58" s="265">
        <v>44378</v>
      </c>
      <c r="M58" s="265">
        <v>44682</v>
      </c>
      <c r="N58" s="67" t="s">
        <v>209</v>
      </c>
    </row>
    <row r="59" spans="2:14">
      <c r="B59" s="67" t="s">
        <v>299</v>
      </c>
      <c r="C59" s="70" t="s">
        <v>219</v>
      </c>
      <c r="D59" s="70">
        <v>27</v>
      </c>
      <c r="E59" s="68" t="s">
        <v>162</v>
      </c>
      <c r="F59" s="263">
        <f>+'Componente 3'!R45</f>
        <v>50000</v>
      </c>
      <c r="G59" s="67" t="s">
        <v>230</v>
      </c>
      <c r="H59" s="67" t="s">
        <v>223</v>
      </c>
      <c r="I59" s="264">
        <v>0.82</v>
      </c>
      <c r="J59" s="264">
        <v>0.18</v>
      </c>
      <c r="K59" s="67" t="s">
        <v>208</v>
      </c>
      <c r="L59" s="265">
        <v>44378</v>
      </c>
      <c r="M59" s="265">
        <v>44682</v>
      </c>
      <c r="N59" s="67" t="s">
        <v>209</v>
      </c>
    </row>
    <row r="60" spans="2:14">
      <c r="B60" s="67" t="s">
        <v>300</v>
      </c>
      <c r="C60" s="70" t="s">
        <v>219</v>
      </c>
      <c r="D60" s="70">
        <v>27</v>
      </c>
      <c r="E60" s="68" t="s">
        <v>301</v>
      </c>
      <c r="F60" s="263">
        <f>+'Componente 3'!R46</f>
        <v>450000</v>
      </c>
      <c r="G60" s="67" t="s">
        <v>230</v>
      </c>
      <c r="H60" s="67" t="s">
        <v>207</v>
      </c>
      <c r="I60" s="264">
        <v>0.82</v>
      </c>
      <c r="J60" s="264">
        <v>0.18</v>
      </c>
      <c r="K60" s="67" t="s">
        <v>208</v>
      </c>
      <c r="L60" s="265">
        <v>44593</v>
      </c>
      <c r="M60" s="265">
        <v>45017</v>
      </c>
      <c r="N60" s="67" t="s">
        <v>209</v>
      </c>
    </row>
    <row r="61" spans="2:14">
      <c r="B61" s="67" t="s">
        <v>233</v>
      </c>
      <c r="C61" s="70" t="s">
        <v>234</v>
      </c>
      <c r="D61" s="70" t="s">
        <v>234</v>
      </c>
      <c r="E61" s="68" t="s">
        <v>235</v>
      </c>
      <c r="F61" s="263">
        <f>+PEP!AA96</f>
        <v>250000</v>
      </c>
      <c r="G61" s="67" t="s">
        <v>215</v>
      </c>
      <c r="H61" s="67" t="s">
        <v>207</v>
      </c>
      <c r="I61" s="264">
        <v>1</v>
      </c>
      <c r="J61" s="264">
        <v>0</v>
      </c>
      <c r="K61" s="67" t="s">
        <v>208</v>
      </c>
      <c r="L61" s="265">
        <v>43617</v>
      </c>
      <c r="M61" s="265">
        <v>45261</v>
      </c>
      <c r="N61" s="67" t="s">
        <v>209</v>
      </c>
    </row>
    <row r="62" spans="2:14">
      <c r="B62" s="67" t="s">
        <v>236</v>
      </c>
      <c r="C62" s="70" t="s">
        <v>234</v>
      </c>
      <c r="D62" s="70" t="s">
        <v>234</v>
      </c>
      <c r="E62" s="68" t="s">
        <v>105</v>
      </c>
      <c r="F62" s="263">
        <f>+PEP!AA97</f>
        <v>100000</v>
      </c>
      <c r="G62" s="67" t="s">
        <v>237</v>
      </c>
      <c r="H62" s="67" t="s">
        <v>223</v>
      </c>
      <c r="I62" s="264">
        <v>1</v>
      </c>
      <c r="J62" s="264">
        <v>0</v>
      </c>
      <c r="K62" s="67" t="s">
        <v>208</v>
      </c>
      <c r="L62" s="265">
        <v>43586</v>
      </c>
      <c r="M62" s="265">
        <v>43800</v>
      </c>
      <c r="N62" s="67" t="s">
        <v>209</v>
      </c>
    </row>
    <row r="63" spans="2:14">
      <c r="B63" s="67" t="s">
        <v>238</v>
      </c>
      <c r="C63" s="70" t="s">
        <v>234</v>
      </c>
      <c r="D63" s="70" t="s">
        <v>234</v>
      </c>
      <c r="E63" s="68" t="s">
        <v>106</v>
      </c>
      <c r="F63" s="263">
        <f>+PEP!AA98</f>
        <v>1000000</v>
      </c>
      <c r="G63" s="67" t="s">
        <v>215</v>
      </c>
      <c r="H63" s="67" t="s">
        <v>207</v>
      </c>
      <c r="I63" s="264">
        <v>1</v>
      </c>
      <c r="J63" s="264">
        <v>0</v>
      </c>
      <c r="K63" s="67" t="s">
        <v>208</v>
      </c>
      <c r="L63" s="265">
        <v>43586</v>
      </c>
      <c r="M63" s="265">
        <v>45170</v>
      </c>
      <c r="N63" s="67" t="s">
        <v>209</v>
      </c>
    </row>
    <row r="64" spans="2:14">
      <c r="B64" s="67" t="s">
        <v>239</v>
      </c>
      <c r="C64" s="70" t="s">
        <v>234</v>
      </c>
      <c r="D64" s="70" t="s">
        <v>234</v>
      </c>
      <c r="E64" s="68" t="s">
        <v>169</v>
      </c>
      <c r="F64" s="263">
        <f>+PEP!AA99</f>
        <v>150000</v>
      </c>
      <c r="G64" s="67" t="s">
        <v>230</v>
      </c>
      <c r="H64" s="67" t="s">
        <v>207</v>
      </c>
      <c r="I64" s="264"/>
      <c r="J64" s="264"/>
      <c r="K64" s="67"/>
      <c r="L64" s="265">
        <v>43647</v>
      </c>
      <c r="M64" s="265">
        <v>43800</v>
      </c>
      <c r="N64" s="67"/>
    </row>
    <row r="65" spans="2:14">
      <c r="B65" s="67" t="s">
        <v>242</v>
      </c>
      <c r="C65" s="70" t="s">
        <v>234</v>
      </c>
      <c r="D65" s="70" t="s">
        <v>234</v>
      </c>
      <c r="E65" s="68" t="s">
        <v>108</v>
      </c>
      <c r="F65" s="263">
        <f>+PEP!AA100</f>
        <v>250000</v>
      </c>
      <c r="G65" s="67" t="s">
        <v>206</v>
      </c>
      <c r="H65" s="67" t="s">
        <v>207</v>
      </c>
      <c r="I65" s="264">
        <v>1</v>
      </c>
      <c r="J65" s="264">
        <v>0</v>
      </c>
      <c r="K65" s="67" t="s">
        <v>208</v>
      </c>
      <c r="L65" s="265">
        <v>45047</v>
      </c>
      <c r="M65" s="265">
        <v>45261</v>
      </c>
      <c r="N65" s="67" t="s">
        <v>209</v>
      </c>
    </row>
    <row r="66" spans="2:14">
      <c r="B66" s="68"/>
      <c r="C66" s="68"/>
      <c r="D66" s="68"/>
      <c r="E66" s="266" t="s">
        <v>240</v>
      </c>
      <c r="F66" s="267">
        <f>+SUM(F41:F65)</f>
        <v>10650643.235226225</v>
      </c>
      <c r="G66" s="67"/>
      <c r="H66" s="68"/>
      <c r="I66" s="68"/>
      <c r="J66" s="68"/>
      <c r="K66" s="67"/>
      <c r="L66" s="265"/>
      <c r="M66" s="265"/>
      <c r="N66" s="67"/>
    </row>
    <row r="67" spans="2:14">
      <c r="B67" s="68"/>
      <c r="C67" s="68"/>
      <c r="D67" s="68"/>
      <c r="E67" s="68"/>
      <c r="F67" s="263"/>
      <c r="G67" s="67"/>
      <c r="H67" s="68"/>
      <c r="I67" s="68"/>
      <c r="J67" s="68"/>
      <c r="K67" s="67"/>
      <c r="L67" s="265"/>
      <c r="M67" s="265"/>
      <c r="N67" s="67"/>
    </row>
    <row r="68" spans="2:14">
      <c r="B68" s="68" t="s">
        <v>241</v>
      </c>
      <c r="C68" s="68"/>
      <c r="D68" s="68"/>
      <c r="E68" s="68"/>
      <c r="F68" s="263"/>
      <c r="G68" s="67"/>
      <c r="H68" s="68"/>
      <c r="I68" s="68"/>
      <c r="J68" s="68"/>
      <c r="K68" s="67"/>
      <c r="L68" s="265"/>
      <c r="M68" s="265"/>
      <c r="N68" s="67"/>
    </row>
    <row r="69" spans="2:14">
      <c r="B69" s="67" t="s">
        <v>242</v>
      </c>
      <c r="C69" s="70" t="s">
        <v>204</v>
      </c>
      <c r="D69" s="70">
        <v>5</v>
      </c>
      <c r="E69" s="68" t="s">
        <v>24</v>
      </c>
      <c r="F69" s="263">
        <f>+'Componente 1'!O11</f>
        <v>300000</v>
      </c>
      <c r="G69" s="67" t="s">
        <v>243</v>
      </c>
      <c r="H69" s="67" t="s">
        <v>244</v>
      </c>
      <c r="I69" s="264">
        <v>0.82</v>
      </c>
      <c r="J69" s="264">
        <v>0.18</v>
      </c>
      <c r="K69" s="67" t="s">
        <v>208</v>
      </c>
      <c r="L69" s="265">
        <v>43922</v>
      </c>
      <c r="M69" s="265">
        <v>44986</v>
      </c>
      <c r="N69" s="67" t="s">
        <v>209</v>
      </c>
    </row>
    <row r="70" spans="2:14">
      <c r="B70" s="67" t="s">
        <v>245</v>
      </c>
      <c r="C70" s="70" t="s">
        <v>204</v>
      </c>
      <c r="D70" s="70">
        <v>6</v>
      </c>
      <c r="E70" s="68" t="s">
        <v>25</v>
      </c>
      <c r="F70" s="263">
        <f>+'Componente 1'!O12</f>
        <v>160000</v>
      </c>
      <c r="G70" s="67" t="s">
        <v>243</v>
      </c>
      <c r="H70" s="67" t="s">
        <v>244</v>
      </c>
      <c r="I70" s="264">
        <v>0.82</v>
      </c>
      <c r="J70" s="264">
        <v>0.18</v>
      </c>
      <c r="K70" s="67" t="s">
        <v>208</v>
      </c>
      <c r="L70" s="265">
        <v>43586</v>
      </c>
      <c r="M70" s="265">
        <v>43800</v>
      </c>
      <c r="N70" s="67" t="s">
        <v>209</v>
      </c>
    </row>
    <row r="71" spans="2:14">
      <c r="B71" s="67" t="s">
        <v>246</v>
      </c>
      <c r="C71" s="70" t="s">
        <v>204</v>
      </c>
      <c r="D71" s="70">
        <v>7</v>
      </c>
      <c r="E71" s="68" t="s">
        <v>26</v>
      </c>
      <c r="F71" s="263">
        <f>+'Componente 1'!O13</f>
        <v>160000</v>
      </c>
      <c r="G71" s="67" t="s">
        <v>243</v>
      </c>
      <c r="H71" s="67" t="s">
        <v>247</v>
      </c>
      <c r="I71" s="264">
        <v>0.82</v>
      </c>
      <c r="J71" s="264">
        <v>0.18</v>
      </c>
      <c r="K71" s="67" t="s">
        <v>208</v>
      </c>
      <c r="L71" s="265">
        <v>43739</v>
      </c>
      <c r="M71" s="265">
        <v>43952</v>
      </c>
      <c r="N71" s="67" t="s">
        <v>209</v>
      </c>
    </row>
    <row r="72" spans="2:14">
      <c r="B72" s="67" t="s">
        <v>302</v>
      </c>
      <c r="C72" s="70" t="s">
        <v>219</v>
      </c>
      <c r="D72" s="70">
        <v>25</v>
      </c>
      <c r="E72" s="68" t="s">
        <v>125</v>
      </c>
      <c r="F72" s="263">
        <f>+'Componente 3'!R11</f>
        <v>80000</v>
      </c>
      <c r="G72" s="67" t="s">
        <v>243</v>
      </c>
      <c r="H72" s="67" t="s">
        <v>244</v>
      </c>
      <c r="I72" s="264">
        <v>0.82</v>
      </c>
      <c r="J72" s="264">
        <v>0.18</v>
      </c>
      <c r="K72" s="67" t="s">
        <v>208</v>
      </c>
      <c r="L72" s="265">
        <v>44531</v>
      </c>
      <c r="M72" s="265">
        <v>44896</v>
      </c>
      <c r="N72" s="67" t="s">
        <v>209</v>
      </c>
    </row>
    <row r="73" spans="2:14">
      <c r="B73" s="67" t="s">
        <v>303</v>
      </c>
      <c r="C73" s="70" t="s">
        <v>219</v>
      </c>
      <c r="D73" s="70">
        <v>25</v>
      </c>
      <c r="E73" s="68" t="s">
        <v>126</v>
      </c>
      <c r="F73" s="263">
        <f>+'Componente 3'!R12</f>
        <v>80000</v>
      </c>
      <c r="G73" s="67" t="s">
        <v>243</v>
      </c>
      <c r="H73" s="67" t="s">
        <v>244</v>
      </c>
      <c r="I73" s="264">
        <v>0.82</v>
      </c>
      <c r="J73" s="264">
        <v>0.18</v>
      </c>
      <c r="K73" s="67" t="s">
        <v>208</v>
      </c>
      <c r="L73" s="265">
        <v>44531</v>
      </c>
      <c r="M73" s="265">
        <v>44896</v>
      </c>
      <c r="N73" s="67" t="s">
        <v>209</v>
      </c>
    </row>
    <row r="74" spans="2:14">
      <c r="B74" s="67" t="s">
        <v>304</v>
      </c>
      <c r="C74" s="70" t="s">
        <v>219</v>
      </c>
      <c r="D74" s="70">
        <v>25</v>
      </c>
      <c r="E74" s="68" t="s">
        <v>127</v>
      </c>
      <c r="F74" s="263">
        <f>+'Componente 3'!R13</f>
        <v>80000</v>
      </c>
      <c r="G74" s="67" t="s">
        <v>243</v>
      </c>
      <c r="H74" s="67" t="s">
        <v>244</v>
      </c>
      <c r="I74" s="264">
        <v>0.82</v>
      </c>
      <c r="J74" s="264">
        <v>0.18</v>
      </c>
      <c r="K74" s="67" t="s">
        <v>208</v>
      </c>
      <c r="L74" s="265">
        <v>44531</v>
      </c>
      <c r="M74" s="265">
        <v>44896</v>
      </c>
      <c r="N74" s="67" t="s">
        <v>209</v>
      </c>
    </row>
    <row r="75" spans="2:14">
      <c r="B75" s="67" t="s">
        <v>305</v>
      </c>
      <c r="C75" s="70" t="s">
        <v>219</v>
      </c>
      <c r="D75" s="70">
        <v>25</v>
      </c>
      <c r="E75" s="68" t="s">
        <v>128</v>
      </c>
      <c r="F75" s="263">
        <f>+'Componente 3'!R14</f>
        <v>80000</v>
      </c>
      <c r="G75" s="67" t="s">
        <v>243</v>
      </c>
      <c r="H75" s="67" t="s">
        <v>244</v>
      </c>
      <c r="I75" s="264">
        <v>0.82</v>
      </c>
      <c r="J75" s="264">
        <v>0.18</v>
      </c>
      <c r="K75" s="67" t="s">
        <v>208</v>
      </c>
      <c r="L75" s="265">
        <v>44531</v>
      </c>
      <c r="M75" s="265">
        <v>44896</v>
      </c>
      <c r="N75" s="67" t="s">
        <v>209</v>
      </c>
    </row>
    <row r="76" spans="2:14">
      <c r="B76" s="67" t="s">
        <v>306</v>
      </c>
      <c r="C76" s="70" t="s">
        <v>219</v>
      </c>
      <c r="D76" s="70">
        <v>25</v>
      </c>
      <c r="E76" s="68" t="s">
        <v>154</v>
      </c>
      <c r="F76" s="263">
        <f>+'Componente 3'!R37</f>
        <v>75000</v>
      </c>
      <c r="G76" s="67" t="s">
        <v>243</v>
      </c>
      <c r="H76" s="67" t="s">
        <v>244</v>
      </c>
      <c r="I76" s="264">
        <v>0.82</v>
      </c>
      <c r="J76" s="264">
        <v>0.18</v>
      </c>
      <c r="K76" s="67" t="s">
        <v>208</v>
      </c>
      <c r="L76" s="265">
        <v>44531</v>
      </c>
      <c r="M76" s="265">
        <v>44896</v>
      </c>
      <c r="N76" s="67" t="s">
        <v>209</v>
      </c>
    </row>
    <row r="77" spans="2:14">
      <c r="B77" s="67" t="s">
        <v>307</v>
      </c>
      <c r="C77" s="70" t="s">
        <v>219</v>
      </c>
      <c r="D77" s="70">
        <v>27</v>
      </c>
      <c r="E77" s="68" t="s">
        <v>158</v>
      </c>
      <c r="F77" s="263">
        <f>+'Componente 3'!R41</f>
        <v>50000</v>
      </c>
      <c r="G77" s="67" t="s">
        <v>243</v>
      </c>
      <c r="H77" s="67" t="s">
        <v>247</v>
      </c>
      <c r="I77" s="264">
        <v>0.82</v>
      </c>
      <c r="J77" s="264">
        <v>0.18</v>
      </c>
      <c r="K77" s="67" t="s">
        <v>208</v>
      </c>
      <c r="L77" s="265">
        <v>44531</v>
      </c>
      <c r="M77" s="265">
        <v>44896</v>
      </c>
      <c r="N77" s="67" t="s">
        <v>209</v>
      </c>
    </row>
    <row r="78" spans="2:14">
      <c r="B78" s="67" t="s">
        <v>308</v>
      </c>
      <c r="C78" s="70" t="s">
        <v>219</v>
      </c>
      <c r="D78" s="70">
        <v>27</v>
      </c>
      <c r="E78" s="68" t="s">
        <v>167</v>
      </c>
      <c r="F78" s="263">
        <f>+'Componente 3'!R50</f>
        <v>500000</v>
      </c>
      <c r="G78" s="67" t="s">
        <v>243</v>
      </c>
      <c r="H78" s="67" t="s">
        <v>247</v>
      </c>
      <c r="I78" s="264">
        <v>0.82</v>
      </c>
      <c r="J78" s="264">
        <v>0.18</v>
      </c>
      <c r="K78" s="67" t="s">
        <v>208</v>
      </c>
      <c r="L78" s="265">
        <v>44531</v>
      </c>
      <c r="M78" s="265">
        <v>44896</v>
      </c>
      <c r="N78" s="67" t="s">
        <v>209</v>
      </c>
    </row>
    <row r="79" spans="2:14">
      <c r="B79" s="68"/>
      <c r="C79" s="68"/>
      <c r="D79" s="68"/>
      <c r="E79" s="266" t="s">
        <v>248</v>
      </c>
      <c r="F79" s="267">
        <f>+SUM(F69:F78)</f>
        <v>1565000</v>
      </c>
      <c r="G79" s="67"/>
      <c r="H79" s="68"/>
      <c r="I79" s="68"/>
      <c r="J79" s="68"/>
      <c r="K79" s="68"/>
      <c r="L79" s="265"/>
      <c r="M79" s="265"/>
      <c r="N79" s="68"/>
    </row>
    <row r="80" spans="2:14">
      <c r="G80" s="66"/>
    </row>
    <row r="81" spans="2:14">
      <c r="E81" s="266" t="s">
        <v>249</v>
      </c>
      <c r="F81" s="79">
        <f>+F79+F66+F38+F25+F19</f>
        <v>142849641.79104471</v>
      </c>
      <c r="G81" s="66"/>
    </row>
    <row r="82" spans="2:14">
      <c r="G82" s="66"/>
    </row>
    <row r="83" spans="2:14">
      <c r="B83" s="310" t="s">
        <v>250</v>
      </c>
      <c r="C83" s="310"/>
      <c r="D83" s="310"/>
      <c r="E83" s="310"/>
      <c r="F83" s="310"/>
      <c r="G83" s="310"/>
      <c r="H83" s="310"/>
      <c r="I83" s="310"/>
      <c r="J83" s="310"/>
      <c r="K83" s="310"/>
      <c r="L83" s="310"/>
      <c r="M83" s="310"/>
      <c r="N83" s="310"/>
    </row>
    <row r="84" spans="2:14">
      <c r="B84" s="310" t="s">
        <v>251</v>
      </c>
      <c r="C84" s="310"/>
      <c r="D84" s="310"/>
      <c r="E84" s="310"/>
      <c r="F84" s="310"/>
      <c r="G84" s="310"/>
      <c r="H84" s="310"/>
      <c r="I84" s="310"/>
      <c r="J84" s="310"/>
      <c r="K84" s="310"/>
      <c r="L84" s="310"/>
      <c r="M84" s="310"/>
      <c r="N84" s="310"/>
    </row>
  </sheetData>
  <mergeCells count="16">
    <mergeCell ref="B2:N2"/>
    <mergeCell ref="B4:N4"/>
    <mergeCell ref="B3:N3"/>
    <mergeCell ref="B8:B9"/>
    <mergeCell ref="C8:C9"/>
    <mergeCell ref="E8:E9"/>
    <mergeCell ref="F8:F9"/>
    <mergeCell ref="G8:G9"/>
    <mergeCell ref="H8:H9"/>
    <mergeCell ref="D8:D9"/>
    <mergeCell ref="B83:N83"/>
    <mergeCell ref="B84:N84"/>
    <mergeCell ref="I8:J8"/>
    <mergeCell ref="K8:K9"/>
    <mergeCell ref="L8:M8"/>
    <mergeCell ref="N8:N9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765D21-6B48-42FB-BFCD-3415840C6328}">
  <dimension ref="A2:S15"/>
  <sheetViews>
    <sheetView zoomScale="60" zoomScaleNormal="60" workbookViewId="0" xr3:uid="{3B734F4A-415D-58A6-9620-83BE1C597304}">
      <selection activeCell="A11" sqref="A11"/>
    </sheetView>
  </sheetViews>
  <sheetFormatPr defaultColWidth="11.25" defaultRowHeight="15.6"/>
  <cols>
    <col min="1" max="1" width="75.125" customWidth="1"/>
    <col min="2" max="19" width="14.875" customWidth="1"/>
  </cols>
  <sheetData>
    <row r="2" spans="1:19" ht="21">
      <c r="A2" s="308" t="s">
        <v>181</v>
      </c>
      <c r="B2" s="308"/>
      <c r="C2" s="308"/>
      <c r="D2" s="308"/>
      <c r="E2" s="308"/>
      <c r="F2" s="308"/>
      <c r="G2" s="308"/>
      <c r="H2" s="308"/>
      <c r="I2" s="308"/>
      <c r="J2" s="308"/>
      <c r="K2" s="308"/>
      <c r="L2" s="308"/>
      <c r="M2" s="308"/>
      <c r="N2" s="308"/>
      <c r="O2" s="308"/>
      <c r="P2" s="308"/>
      <c r="Q2" s="308"/>
      <c r="R2" s="308"/>
      <c r="S2" s="308"/>
    </row>
    <row r="3" spans="1:19">
      <c r="A3" s="295" t="s">
        <v>309</v>
      </c>
      <c r="B3" s="295"/>
      <c r="C3" s="295"/>
      <c r="D3" s="295"/>
      <c r="E3" s="295"/>
      <c r="F3" s="295"/>
      <c r="G3" s="295"/>
      <c r="H3" s="295"/>
      <c r="I3" s="295"/>
      <c r="J3" s="295"/>
      <c r="K3" s="295"/>
      <c r="L3" s="295"/>
      <c r="M3" s="295"/>
      <c r="N3" s="295"/>
      <c r="O3" s="295"/>
      <c r="P3" s="295"/>
      <c r="Q3" s="295"/>
      <c r="R3" s="295"/>
      <c r="S3" s="295"/>
    </row>
    <row r="4" spans="1:19" ht="17.25" customHeight="1">
      <c r="A4" s="295" t="s">
        <v>310</v>
      </c>
      <c r="B4" s="295"/>
      <c r="C4" s="295"/>
      <c r="D4" s="295"/>
      <c r="E4" s="295"/>
      <c r="F4" s="295"/>
      <c r="G4" s="295"/>
      <c r="H4" s="295"/>
      <c r="I4" s="295"/>
      <c r="J4" s="295"/>
      <c r="K4" s="295"/>
      <c r="L4" s="295"/>
      <c r="M4" s="295"/>
      <c r="N4" s="295"/>
      <c r="O4" s="295"/>
      <c r="P4" s="295"/>
      <c r="Q4" s="295"/>
      <c r="R4" s="295"/>
      <c r="S4" s="295"/>
    </row>
    <row r="6" spans="1:19">
      <c r="A6" s="312" t="s">
        <v>311</v>
      </c>
      <c r="B6" s="311" t="s">
        <v>11</v>
      </c>
      <c r="C6" s="311"/>
      <c r="D6" s="311"/>
      <c r="E6" s="313" t="s">
        <v>12</v>
      </c>
      <c r="F6" s="314"/>
      <c r="G6" s="315"/>
      <c r="H6" s="313" t="s">
        <v>13</v>
      </c>
      <c r="I6" s="314"/>
      <c r="J6" s="315"/>
      <c r="K6" s="313" t="s">
        <v>14</v>
      </c>
      <c r="L6" s="314"/>
      <c r="M6" s="315"/>
      <c r="N6" s="311" t="s">
        <v>15</v>
      </c>
      <c r="O6" s="311"/>
      <c r="P6" s="311"/>
      <c r="Q6" s="311" t="s">
        <v>178</v>
      </c>
      <c r="R6" s="311"/>
      <c r="S6" s="311"/>
    </row>
    <row r="7" spans="1:19">
      <c r="A7" s="312"/>
      <c r="B7" s="129" t="s">
        <v>16</v>
      </c>
      <c r="C7" s="288" t="s">
        <v>17</v>
      </c>
      <c r="D7" s="288" t="s">
        <v>18</v>
      </c>
      <c r="E7" s="129" t="s">
        <v>16</v>
      </c>
      <c r="F7" s="288" t="s">
        <v>17</v>
      </c>
      <c r="G7" s="129" t="s">
        <v>18</v>
      </c>
      <c r="H7" s="129" t="s">
        <v>16</v>
      </c>
      <c r="I7" s="288" t="s">
        <v>17</v>
      </c>
      <c r="J7" s="129" t="s">
        <v>18</v>
      </c>
      <c r="K7" s="129" t="s">
        <v>16</v>
      </c>
      <c r="L7" s="288" t="s">
        <v>17</v>
      </c>
      <c r="M7" s="129" t="s">
        <v>18</v>
      </c>
      <c r="N7" s="129" t="s">
        <v>16</v>
      </c>
      <c r="O7" s="288" t="s">
        <v>17</v>
      </c>
      <c r="P7" s="288" t="s">
        <v>18</v>
      </c>
      <c r="Q7" s="288" t="s">
        <v>16</v>
      </c>
      <c r="R7" s="288" t="s">
        <v>17</v>
      </c>
      <c r="S7" s="288" t="s">
        <v>18</v>
      </c>
    </row>
    <row r="8" spans="1:19">
      <c r="A8" s="114" t="s">
        <v>19</v>
      </c>
      <c r="B8" s="132">
        <f>82%*D8</f>
        <v>157440</v>
      </c>
      <c r="C8" s="132">
        <f>18%*D8</f>
        <v>34560</v>
      </c>
      <c r="D8" s="132">
        <f>+'Componente 1'!J15</f>
        <v>192000</v>
      </c>
      <c r="E8" s="132">
        <f>82%*G8</f>
        <v>1801505.044896801</v>
      </c>
      <c r="F8" s="132">
        <f>18%*G8</f>
        <v>395452.32692856609</v>
      </c>
      <c r="G8" s="132">
        <f>+'Componente 1'!K15</f>
        <v>2196957.3718253672</v>
      </c>
      <c r="H8" s="132">
        <f>82%*J8</f>
        <v>2456925</v>
      </c>
      <c r="I8" s="132">
        <f>18%*J8</f>
        <v>539325</v>
      </c>
      <c r="J8" s="132">
        <f>+'Componente 1'!L15</f>
        <v>2996250</v>
      </c>
      <c r="K8" s="132">
        <f>82%*M8</f>
        <v>2440525</v>
      </c>
      <c r="L8" s="132">
        <f>18%*M8</f>
        <v>535725</v>
      </c>
      <c r="M8" s="132">
        <f>+'Componente 1'!M15</f>
        <v>2976250</v>
      </c>
      <c r="N8" s="132">
        <f>82%*P8</f>
        <v>2306250</v>
      </c>
      <c r="O8" s="132">
        <f>18%*P8</f>
        <v>506250</v>
      </c>
      <c r="P8" s="132">
        <f>+'Componente 1'!N15</f>
        <v>2812500</v>
      </c>
      <c r="Q8" s="132">
        <f>82%*S8</f>
        <v>9162645.0448968001</v>
      </c>
      <c r="R8" s="132">
        <f>18%*S8</f>
        <v>2011312.326928566</v>
      </c>
      <c r="S8" s="133">
        <f t="shared" ref="S8:S11" si="0">+P8+M8+J8+G8+D8</f>
        <v>11173957.371825367</v>
      </c>
    </row>
    <row r="9" spans="1:19" ht="33" customHeight="1">
      <c r="A9" s="131" t="s">
        <v>28</v>
      </c>
      <c r="B9" s="132">
        <f>82%*D9</f>
        <v>0</v>
      </c>
      <c r="C9" s="132">
        <f>18%*D9</f>
        <v>0</v>
      </c>
      <c r="D9" s="132">
        <f>+'Componente 2'!I17</f>
        <v>0</v>
      </c>
      <c r="E9" s="132">
        <f>82%*G9</f>
        <v>1291500</v>
      </c>
      <c r="F9" s="132">
        <f>18%*G9</f>
        <v>283500</v>
      </c>
      <c r="G9" s="132">
        <f>+'Componente 2'!J17</f>
        <v>1575000</v>
      </c>
      <c r="H9" s="132">
        <f>82%*J9</f>
        <v>11533300</v>
      </c>
      <c r="I9" s="132">
        <f>18%*J9</f>
        <v>2531700</v>
      </c>
      <c r="J9" s="132">
        <f>+'Componente 2'!K17</f>
        <v>14065000</v>
      </c>
      <c r="K9" s="132">
        <f>82%*M9</f>
        <v>24657400</v>
      </c>
      <c r="L9" s="132">
        <f>18%*M9</f>
        <v>5412600</v>
      </c>
      <c r="M9" s="132">
        <f>+'Componente 2'!L17</f>
        <v>30070000</v>
      </c>
      <c r="N9" s="132">
        <f>82%*P9</f>
        <v>5567800</v>
      </c>
      <c r="O9" s="132">
        <f>18%*P9</f>
        <v>1222200</v>
      </c>
      <c r="P9" s="132">
        <f>+'Componente 2'!M17</f>
        <v>6790000</v>
      </c>
      <c r="Q9" s="132">
        <f>82%*S9</f>
        <v>43050000</v>
      </c>
      <c r="R9" s="132">
        <f>18%*S9</f>
        <v>9450000</v>
      </c>
      <c r="S9" s="133">
        <f t="shared" si="0"/>
        <v>52500000</v>
      </c>
    </row>
    <row r="10" spans="1:19">
      <c r="A10" s="114" t="s">
        <v>37</v>
      </c>
      <c r="B10" s="132">
        <f>82%*D10</f>
        <v>0</v>
      </c>
      <c r="C10" s="132">
        <f>18%*D10</f>
        <v>0</v>
      </c>
      <c r="D10" s="132">
        <f>+'Componente 3'!M52</f>
        <v>0</v>
      </c>
      <c r="E10" s="132">
        <f>82%*G10</f>
        <v>1079725.3642077863</v>
      </c>
      <c r="F10" s="132">
        <f>18%*G10</f>
        <v>237012.88482609944</v>
      </c>
      <c r="G10" s="132">
        <f>+'Componente 3'!N52</f>
        <v>1316738.2490338858</v>
      </c>
      <c r="H10" s="132">
        <f>82%*J10</f>
        <v>22121165.056103256</v>
      </c>
      <c r="I10" s="132">
        <f>18%*J10</f>
        <v>4855865.5001202263</v>
      </c>
      <c r="J10" s="132">
        <f>+'Componente 3'!O52</f>
        <v>26977030.556223482</v>
      </c>
      <c r="K10" s="132">
        <f>82%*M10</f>
        <v>16436185.165868279</v>
      </c>
      <c r="L10" s="132">
        <f>18%*M10</f>
        <v>3607943.0851905975</v>
      </c>
      <c r="M10" s="132">
        <f>+'Componente 3'!P52</f>
        <v>20044128.251058877</v>
      </c>
      <c r="N10" s="132">
        <f>82%*P10</f>
        <v>23851985.637580525</v>
      </c>
      <c r="O10" s="132">
        <f>18%*P10</f>
        <v>5235801.7253225548</v>
      </c>
      <c r="P10" s="132">
        <f>+'Componente 3'!Q52</f>
        <v>29087787.362903081</v>
      </c>
      <c r="Q10" s="132">
        <f>82%*S10</f>
        <v>63489061.223759845</v>
      </c>
      <c r="R10" s="132">
        <f>18%*S10</f>
        <v>13936623.195459479</v>
      </c>
      <c r="S10" s="133">
        <f t="shared" si="0"/>
        <v>77425684.41921933</v>
      </c>
    </row>
    <row r="11" spans="1:19">
      <c r="A11" s="114" t="s">
        <v>312</v>
      </c>
      <c r="B11" s="132">
        <f>+D11*0%</f>
        <v>0</v>
      </c>
      <c r="C11" s="132">
        <f>+D11*100%</f>
        <v>800000</v>
      </c>
      <c r="D11" s="132">
        <f>+'Auditoría M&amp;E'!D12</f>
        <v>800000</v>
      </c>
      <c r="E11" s="132">
        <f>+G11*0%</f>
        <v>0</v>
      </c>
      <c r="F11" s="132">
        <f>+G11*100%</f>
        <v>50000</v>
      </c>
      <c r="G11" s="132">
        <f>+'Auditoría M&amp;E'!E12</f>
        <v>50000</v>
      </c>
      <c r="H11" s="132">
        <f>+J11*0%</f>
        <v>0</v>
      </c>
      <c r="I11" s="132">
        <f>+J11*100%</f>
        <v>50000</v>
      </c>
      <c r="J11" s="132">
        <f>+'Auditoría M&amp;E'!F12</f>
        <v>50000</v>
      </c>
      <c r="K11" s="132">
        <f>+M11*0%</f>
        <v>0</v>
      </c>
      <c r="L11" s="132">
        <f>+M11*100%</f>
        <v>50000</v>
      </c>
      <c r="M11" s="132">
        <f>+'Auditoría M&amp;E'!G12</f>
        <v>50000</v>
      </c>
      <c r="N11" s="132">
        <f>+P11*0%</f>
        <v>0</v>
      </c>
      <c r="O11" s="132">
        <f>+P11*100%</f>
        <v>800000</v>
      </c>
      <c r="P11" s="132">
        <f>+'Auditoría M&amp;E'!H12</f>
        <v>800000</v>
      </c>
      <c r="Q11" s="132">
        <f>+S11*0%</f>
        <v>0</v>
      </c>
      <c r="R11" s="132">
        <f>+S11*100%</f>
        <v>1750000</v>
      </c>
      <c r="S11" s="133">
        <f t="shared" si="0"/>
        <v>1750000</v>
      </c>
    </row>
    <row r="12" spans="1:19" ht="16.149999999999999" thickBot="1">
      <c r="A12" s="114" t="s">
        <v>313</v>
      </c>
      <c r="B12" s="132">
        <f>100%*D12</f>
        <v>1562298.5074626864</v>
      </c>
      <c r="C12" s="132">
        <f>0%*D12</f>
        <v>0</v>
      </c>
      <c r="D12" s="132">
        <f>+Administración!K57</f>
        <v>1562298.5074626864</v>
      </c>
      <c r="E12" s="132">
        <f>100%*G12</f>
        <v>1397014.9253731342</v>
      </c>
      <c r="F12" s="132">
        <f>0%*G12</f>
        <v>0</v>
      </c>
      <c r="G12" s="132">
        <f>+Administración!L57</f>
        <v>1397014.9253731342</v>
      </c>
      <c r="H12" s="132">
        <f>100%*J12</f>
        <v>1397014.9253731342</v>
      </c>
      <c r="I12" s="132">
        <f>0%*J12</f>
        <v>0</v>
      </c>
      <c r="J12" s="132">
        <f>+Administración!M57</f>
        <v>1397014.9253731342</v>
      </c>
      <c r="K12" s="132">
        <f>100%*M12</f>
        <v>1397014.9253731342</v>
      </c>
      <c r="L12" s="132">
        <f>0%*M12</f>
        <v>0</v>
      </c>
      <c r="M12" s="132">
        <f>+Administración!N57</f>
        <v>1397014.9253731342</v>
      </c>
      <c r="N12" s="132">
        <f>100%*P12</f>
        <v>1397014.9253731342</v>
      </c>
      <c r="O12" s="132">
        <f>0%*P12</f>
        <v>0</v>
      </c>
      <c r="P12" s="132">
        <f>+Administración!O57</f>
        <v>1397014.9253731342</v>
      </c>
      <c r="Q12" s="132">
        <f>100%*S12</f>
        <v>7150358.2089552227</v>
      </c>
      <c r="R12" s="132">
        <f>0%*S12</f>
        <v>0</v>
      </c>
      <c r="S12" s="134">
        <f>+P12+M12+J12+G12+D12</f>
        <v>7150358.2089552227</v>
      </c>
    </row>
    <row r="13" spans="1:19" ht="21" customHeight="1" thickBot="1">
      <c r="A13" s="130" t="s">
        <v>178</v>
      </c>
      <c r="B13" s="127">
        <f>+SUM(B8:B12)</f>
        <v>1719738.5074626864</v>
      </c>
      <c r="C13" s="127">
        <f t="shared" ref="C13:S13" si="1">+SUM(C8:C12)</f>
        <v>834560</v>
      </c>
      <c r="D13" s="127">
        <f t="shared" si="1"/>
        <v>2554298.5074626864</v>
      </c>
      <c r="E13" s="127">
        <f t="shared" si="1"/>
        <v>5569745.3344777217</v>
      </c>
      <c r="F13" s="128">
        <f t="shared" si="1"/>
        <v>965965.21175466548</v>
      </c>
      <c r="G13" s="127">
        <f t="shared" si="1"/>
        <v>6535710.5462323874</v>
      </c>
      <c r="H13" s="127">
        <f t="shared" si="1"/>
        <v>37508404.981476396</v>
      </c>
      <c r="I13" s="127">
        <f t="shared" si="1"/>
        <v>7976890.5001202263</v>
      </c>
      <c r="J13" s="127">
        <f t="shared" si="1"/>
        <v>45485295.481596619</v>
      </c>
      <c r="K13" s="128">
        <f t="shared" si="1"/>
        <v>44931125.091241419</v>
      </c>
      <c r="L13" s="127">
        <f t="shared" si="1"/>
        <v>9606268.0851905979</v>
      </c>
      <c r="M13" s="127">
        <f t="shared" si="1"/>
        <v>54537393.176432014</v>
      </c>
      <c r="N13" s="127">
        <f t="shared" si="1"/>
        <v>33123050.562953658</v>
      </c>
      <c r="O13" s="127">
        <f t="shared" si="1"/>
        <v>7764251.7253225548</v>
      </c>
      <c r="P13" s="128">
        <f t="shared" si="1"/>
        <v>40887302.288276218</v>
      </c>
      <c r="Q13" s="127">
        <f t="shared" si="1"/>
        <v>122852064.47761187</v>
      </c>
      <c r="R13" s="128">
        <f t="shared" si="1"/>
        <v>27147935.522388045</v>
      </c>
      <c r="S13" s="125">
        <f t="shared" si="1"/>
        <v>149999999.99999994</v>
      </c>
    </row>
    <row r="15" spans="1:19">
      <c r="B15" s="110"/>
    </row>
  </sheetData>
  <mergeCells count="10">
    <mergeCell ref="Q6:S6"/>
    <mergeCell ref="A2:S2"/>
    <mergeCell ref="A3:S3"/>
    <mergeCell ref="A4:S4"/>
    <mergeCell ref="A6:A7"/>
    <mergeCell ref="B6:D6"/>
    <mergeCell ref="E6:G6"/>
    <mergeCell ref="H6:J6"/>
    <mergeCell ref="K6:M6"/>
    <mergeCell ref="N6:P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D51661-EF46-4CDC-B194-85A3959ED848}">
  <sheetPr>
    <tabColor theme="4"/>
  </sheetPr>
  <dimension ref="A2:BM54"/>
  <sheetViews>
    <sheetView topLeftCell="A5" zoomScale="60" zoomScaleNormal="60" workbookViewId="0" xr3:uid="{27B3D0AA-F86E-580E-BBF8-A107F3469C51}">
      <selection activeCell="A18" sqref="A18"/>
    </sheetView>
  </sheetViews>
  <sheetFormatPr defaultColWidth="11.25" defaultRowHeight="15.6"/>
  <cols>
    <col min="1" max="1" width="49.125" customWidth="1"/>
    <col min="2" max="2" width="17.5" customWidth="1"/>
    <col min="3" max="3" width="17.25" customWidth="1"/>
    <col min="4" max="4" width="14.5" customWidth="1"/>
    <col min="5" max="5" width="17.875" customWidth="1"/>
    <col min="6" max="23" width="4" customWidth="1"/>
    <col min="24" max="65" width="4" hidden="1" customWidth="1"/>
  </cols>
  <sheetData>
    <row r="2" spans="1:65" ht="21">
      <c r="A2" s="308" t="s">
        <v>0</v>
      </c>
      <c r="B2" s="308"/>
      <c r="C2" s="308"/>
      <c r="D2" s="308"/>
      <c r="E2" s="308"/>
      <c r="F2" s="308"/>
      <c r="G2" s="308"/>
      <c r="H2" s="308"/>
      <c r="I2" s="308"/>
      <c r="J2" s="308"/>
      <c r="K2" s="308"/>
      <c r="L2" s="308"/>
      <c r="M2" s="308"/>
      <c r="N2" s="308"/>
      <c r="O2" s="308"/>
      <c r="P2" s="308"/>
      <c r="Q2" s="308"/>
      <c r="R2" s="308"/>
      <c r="S2" s="308"/>
      <c r="T2" s="308"/>
      <c r="U2" s="308"/>
      <c r="V2" s="308"/>
      <c r="W2" s="308"/>
      <c r="X2" s="308"/>
      <c r="Y2" s="308"/>
      <c r="Z2" s="308"/>
      <c r="AA2" s="308"/>
      <c r="AB2" s="308"/>
      <c r="AC2" s="308"/>
      <c r="AD2" s="308"/>
      <c r="AE2" s="308"/>
      <c r="AF2" s="308"/>
      <c r="AG2" s="308"/>
      <c r="AH2" s="308"/>
      <c r="AI2" s="308"/>
      <c r="AJ2" s="308"/>
      <c r="AK2" s="308"/>
      <c r="AL2" s="308"/>
      <c r="AM2" s="308"/>
      <c r="AN2" s="308"/>
      <c r="AO2" s="308"/>
      <c r="AP2" s="308"/>
      <c r="AQ2" s="308"/>
      <c r="AR2" s="308"/>
      <c r="AS2" s="308"/>
      <c r="AT2" s="308"/>
      <c r="AU2" s="308"/>
      <c r="AV2" s="308"/>
      <c r="AW2" s="308"/>
      <c r="AX2" s="308"/>
      <c r="AY2" s="308"/>
      <c r="AZ2" s="308"/>
      <c r="BA2" s="308"/>
      <c r="BB2" s="308"/>
      <c r="BC2" s="308"/>
      <c r="BD2" s="308"/>
      <c r="BE2" s="308"/>
      <c r="BF2" s="308"/>
      <c r="BG2" s="308"/>
      <c r="BH2" s="308"/>
      <c r="BI2" s="308"/>
      <c r="BJ2" s="308"/>
      <c r="BK2" s="308"/>
      <c r="BL2" s="308"/>
      <c r="BM2" s="308"/>
    </row>
    <row r="3" spans="1:65">
      <c r="A3" s="295" t="s">
        <v>1</v>
      </c>
      <c r="B3" s="295"/>
      <c r="C3" s="295"/>
      <c r="D3" s="295"/>
      <c r="E3" s="295"/>
      <c r="F3" s="295"/>
      <c r="G3" s="295"/>
      <c r="H3" s="295"/>
      <c r="I3" s="295"/>
      <c r="J3" s="295"/>
      <c r="K3" s="295"/>
      <c r="L3" s="295"/>
      <c r="M3" s="295"/>
      <c r="N3" s="295"/>
      <c r="O3" s="295"/>
      <c r="P3" s="295"/>
      <c r="Q3" s="295"/>
      <c r="R3" s="295"/>
      <c r="S3" s="295"/>
      <c r="T3" s="295"/>
      <c r="U3" s="295"/>
      <c r="V3" s="295"/>
      <c r="W3" s="295"/>
      <c r="X3" s="295"/>
      <c r="Y3" s="295"/>
      <c r="Z3" s="295"/>
      <c r="AA3" s="295"/>
      <c r="AB3" s="295"/>
      <c r="AC3" s="295"/>
      <c r="AD3" s="295"/>
      <c r="AE3" s="295"/>
      <c r="AF3" s="295"/>
      <c r="AG3" s="295"/>
      <c r="AH3" s="295"/>
      <c r="AI3" s="295"/>
      <c r="AJ3" s="295"/>
      <c r="AK3" s="295"/>
      <c r="AL3" s="295"/>
      <c r="AM3" s="295"/>
      <c r="AN3" s="295"/>
      <c r="AO3" s="295"/>
      <c r="AP3" s="295"/>
      <c r="AQ3" s="295"/>
      <c r="AR3" s="295"/>
      <c r="AS3" s="295"/>
      <c r="AT3" s="295"/>
      <c r="AU3" s="295"/>
      <c r="AV3" s="295"/>
      <c r="AW3" s="295"/>
      <c r="AX3" s="295"/>
      <c r="AY3" s="295"/>
      <c r="AZ3" s="295"/>
      <c r="BA3" s="295"/>
      <c r="BB3" s="295"/>
      <c r="BC3" s="295"/>
      <c r="BD3" s="295"/>
      <c r="BE3" s="295"/>
      <c r="BF3" s="295"/>
      <c r="BG3" s="295"/>
      <c r="BH3" s="295"/>
      <c r="BI3" s="295"/>
      <c r="BJ3" s="295"/>
      <c r="BK3" s="295"/>
      <c r="BL3" s="295"/>
      <c r="BM3" s="295"/>
    </row>
    <row r="4" spans="1:65">
      <c r="A4" s="295" t="s">
        <v>314</v>
      </c>
      <c r="B4" s="295"/>
      <c r="C4" s="295"/>
      <c r="D4" s="295"/>
      <c r="E4" s="295"/>
      <c r="F4" s="295"/>
      <c r="G4" s="295"/>
      <c r="H4" s="295"/>
      <c r="I4" s="295"/>
      <c r="J4" s="295"/>
      <c r="K4" s="295"/>
      <c r="L4" s="295"/>
      <c r="M4" s="295"/>
      <c r="N4" s="295"/>
      <c r="O4" s="295"/>
      <c r="P4" s="295"/>
      <c r="Q4" s="295"/>
      <c r="R4" s="295"/>
      <c r="S4" s="295"/>
      <c r="T4" s="295"/>
      <c r="U4" s="295"/>
      <c r="V4" s="295"/>
      <c r="W4" s="295"/>
      <c r="X4" s="295"/>
      <c r="Y4" s="295"/>
      <c r="Z4" s="295"/>
      <c r="AA4" s="295"/>
      <c r="AB4" s="295"/>
      <c r="AC4" s="295"/>
      <c r="AD4" s="295"/>
      <c r="AE4" s="295"/>
      <c r="AF4" s="295"/>
      <c r="AG4" s="295"/>
      <c r="AH4" s="295"/>
      <c r="AI4" s="295"/>
      <c r="AJ4" s="295"/>
      <c r="AK4" s="295"/>
      <c r="AL4" s="295"/>
      <c r="AM4" s="295"/>
      <c r="AN4" s="295"/>
      <c r="AO4" s="295"/>
      <c r="AP4" s="295"/>
      <c r="AQ4" s="295"/>
      <c r="AR4" s="295"/>
      <c r="AS4" s="295"/>
      <c r="AT4" s="295"/>
      <c r="AU4" s="295"/>
      <c r="AV4" s="295"/>
      <c r="AW4" s="295"/>
      <c r="AX4" s="295"/>
      <c r="AY4" s="295"/>
      <c r="AZ4" s="295"/>
      <c r="BA4" s="295"/>
      <c r="BB4" s="295"/>
      <c r="BC4" s="295"/>
      <c r="BD4" s="295"/>
      <c r="BE4" s="295"/>
      <c r="BF4" s="295"/>
      <c r="BG4" s="295"/>
      <c r="BH4" s="295"/>
      <c r="BI4" s="295"/>
      <c r="BJ4" s="295"/>
      <c r="BK4" s="295"/>
      <c r="BL4" s="295"/>
      <c r="BM4" s="295"/>
    </row>
    <row r="6" spans="1:65">
      <c r="A6" s="325" t="s">
        <v>315</v>
      </c>
      <c r="B6" s="326"/>
      <c r="C6" s="326"/>
      <c r="D6" s="327"/>
      <c r="E6" s="114" t="s">
        <v>316</v>
      </c>
      <c r="F6" s="204"/>
    </row>
    <row r="7" spans="1:65">
      <c r="A7" s="328"/>
      <c r="B7" s="329"/>
      <c r="C7" s="329"/>
      <c r="D7" s="330"/>
      <c r="E7" s="114" t="s">
        <v>317</v>
      </c>
      <c r="F7" s="205"/>
    </row>
    <row r="8" spans="1:65" ht="16.149999999999999" thickBot="1"/>
    <row r="9" spans="1:65" ht="15.75" customHeight="1">
      <c r="A9" s="331" t="s">
        <v>5</v>
      </c>
      <c r="B9" s="322" t="s">
        <v>318</v>
      </c>
      <c r="C9" s="322" t="s">
        <v>319</v>
      </c>
      <c r="D9" s="322" t="s">
        <v>320</v>
      </c>
      <c r="E9" s="322" t="s">
        <v>321</v>
      </c>
      <c r="F9" s="334" t="s">
        <v>11</v>
      </c>
      <c r="G9" s="317"/>
      <c r="H9" s="317"/>
      <c r="I9" s="317"/>
      <c r="J9" s="317"/>
      <c r="K9" s="317"/>
      <c r="L9" s="317"/>
      <c r="M9" s="317"/>
      <c r="N9" s="317"/>
      <c r="O9" s="317"/>
      <c r="P9" s="317"/>
      <c r="Q9" s="318"/>
      <c r="R9" s="334" t="s">
        <v>12</v>
      </c>
      <c r="S9" s="317"/>
      <c r="T9" s="317"/>
      <c r="U9" s="317"/>
      <c r="V9" s="317"/>
      <c r="W9" s="317"/>
      <c r="X9" s="317"/>
      <c r="Y9" s="317"/>
      <c r="Z9" s="317"/>
      <c r="AA9" s="317"/>
      <c r="AB9" s="317"/>
      <c r="AC9" s="318"/>
      <c r="AD9" s="316" t="s">
        <v>13</v>
      </c>
      <c r="AE9" s="317"/>
      <c r="AF9" s="317"/>
      <c r="AG9" s="317"/>
      <c r="AH9" s="317"/>
      <c r="AI9" s="317"/>
      <c r="AJ9" s="317"/>
      <c r="AK9" s="317"/>
      <c r="AL9" s="317"/>
      <c r="AM9" s="317"/>
      <c r="AN9" s="317"/>
      <c r="AO9" s="336"/>
      <c r="AP9" s="334" t="s">
        <v>14</v>
      </c>
      <c r="AQ9" s="317"/>
      <c r="AR9" s="317"/>
      <c r="AS9" s="317"/>
      <c r="AT9" s="317"/>
      <c r="AU9" s="317"/>
      <c r="AV9" s="317"/>
      <c r="AW9" s="317"/>
      <c r="AX9" s="317"/>
      <c r="AY9" s="317"/>
      <c r="AZ9" s="317"/>
      <c r="BA9" s="318"/>
      <c r="BB9" s="316" t="s">
        <v>15</v>
      </c>
      <c r="BC9" s="317"/>
      <c r="BD9" s="317"/>
      <c r="BE9" s="317"/>
      <c r="BF9" s="317"/>
      <c r="BG9" s="317"/>
      <c r="BH9" s="317"/>
      <c r="BI9" s="317"/>
      <c r="BJ9" s="317"/>
      <c r="BK9" s="317"/>
      <c r="BL9" s="317"/>
      <c r="BM9" s="318"/>
    </row>
    <row r="10" spans="1:65" ht="16.149999999999999" thickBot="1">
      <c r="A10" s="332"/>
      <c r="B10" s="323"/>
      <c r="C10" s="323"/>
      <c r="D10" s="323"/>
      <c r="E10" s="323"/>
      <c r="F10" s="335"/>
      <c r="G10" s="320"/>
      <c r="H10" s="320"/>
      <c r="I10" s="320"/>
      <c r="J10" s="320"/>
      <c r="K10" s="320"/>
      <c r="L10" s="320"/>
      <c r="M10" s="320"/>
      <c r="N10" s="320"/>
      <c r="O10" s="320"/>
      <c r="P10" s="320"/>
      <c r="Q10" s="321"/>
      <c r="R10" s="335"/>
      <c r="S10" s="320"/>
      <c r="T10" s="320"/>
      <c r="U10" s="320"/>
      <c r="V10" s="320"/>
      <c r="W10" s="320"/>
      <c r="X10" s="320"/>
      <c r="Y10" s="320"/>
      <c r="Z10" s="320"/>
      <c r="AA10" s="320"/>
      <c r="AB10" s="320"/>
      <c r="AC10" s="321"/>
      <c r="AD10" s="319"/>
      <c r="AE10" s="320"/>
      <c r="AF10" s="320"/>
      <c r="AG10" s="320"/>
      <c r="AH10" s="320"/>
      <c r="AI10" s="320"/>
      <c r="AJ10" s="320"/>
      <c r="AK10" s="320"/>
      <c r="AL10" s="320"/>
      <c r="AM10" s="320"/>
      <c r="AN10" s="320"/>
      <c r="AO10" s="337"/>
      <c r="AP10" s="335"/>
      <c r="AQ10" s="320"/>
      <c r="AR10" s="320"/>
      <c r="AS10" s="320"/>
      <c r="AT10" s="320"/>
      <c r="AU10" s="320"/>
      <c r="AV10" s="320"/>
      <c r="AW10" s="320"/>
      <c r="AX10" s="320"/>
      <c r="AY10" s="320"/>
      <c r="AZ10" s="320"/>
      <c r="BA10" s="321"/>
      <c r="BB10" s="319"/>
      <c r="BC10" s="320"/>
      <c r="BD10" s="320"/>
      <c r="BE10" s="320"/>
      <c r="BF10" s="320"/>
      <c r="BG10" s="320"/>
      <c r="BH10" s="320"/>
      <c r="BI10" s="320"/>
      <c r="BJ10" s="320"/>
      <c r="BK10" s="320"/>
      <c r="BL10" s="320"/>
      <c r="BM10" s="321"/>
    </row>
    <row r="11" spans="1:65" ht="16.149999999999999" thickBot="1">
      <c r="A11" s="333"/>
      <c r="B11" s="324"/>
      <c r="C11" s="324"/>
      <c r="D11" s="324"/>
      <c r="E11" s="324"/>
      <c r="F11" s="254">
        <v>1</v>
      </c>
      <c r="G11" s="255">
        <v>2</v>
      </c>
      <c r="H11" s="255">
        <v>3</v>
      </c>
      <c r="I11" s="255">
        <v>4</v>
      </c>
      <c r="J11" s="255">
        <v>5</v>
      </c>
      <c r="K11" s="255">
        <v>6</v>
      </c>
      <c r="L11" s="255">
        <v>7</v>
      </c>
      <c r="M11" s="255">
        <v>8</v>
      </c>
      <c r="N11" s="255">
        <v>9</v>
      </c>
      <c r="O11" s="255">
        <v>10</v>
      </c>
      <c r="P11" s="255">
        <v>11</v>
      </c>
      <c r="Q11" s="256">
        <v>12</v>
      </c>
      <c r="R11" s="257">
        <v>1</v>
      </c>
      <c r="S11" s="258">
        <v>2</v>
      </c>
      <c r="T11" s="258">
        <v>3</v>
      </c>
      <c r="U11" s="258">
        <v>4</v>
      </c>
      <c r="V11" s="258">
        <v>5</v>
      </c>
      <c r="W11" s="258">
        <v>6</v>
      </c>
      <c r="X11" s="258">
        <v>7</v>
      </c>
      <c r="Y11" s="258">
        <v>8</v>
      </c>
      <c r="Z11" s="258">
        <v>9</v>
      </c>
      <c r="AA11" s="258">
        <v>10</v>
      </c>
      <c r="AB11" s="258">
        <v>11</v>
      </c>
      <c r="AC11" s="259">
        <v>12</v>
      </c>
      <c r="AD11" s="260">
        <v>1</v>
      </c>
      <c r="AE11" s="255">
        <v>2</v>
      </c>
      <c r="AF11" s="255">
        <v>3</v>
      </c>
      <c r="AG11" s="255">
        <v>4</v>
      </c>
      <c r="AH11" s="255">
        <v>5</v>
      </c>
      <c r="AI11" s="255">
        <v>6</v>
      </c>
      <c r="AJ11" s="255">
        <v>7</v>
      </c>
      <c r="AK11" s="255">
        <v>8</v>
      </c>
      <c r="AL11" s="255">
        <v>9</v>
      </c>
      <c r="AM11" s="255">
        <v>10</v>
      </c>
      <c r="AN11" s="255">
        <v>11</v>
      </c>
      <c r="AO11" s="261">
        <v>12</v>
      </c>
      <c r="AP11" s="254">
        <v>1</v>
      </c>
      <c r="AQ11" s="255">
        <v>2</v>
      </c>
      <c r="AR11" s="255">
        <v>3</v>
      </c>
      <c r="AS11" s="255">
        <v>4</v>
      </c>
      <c r="AT11" s="255">
        <v>5</v>
      </c>
      <c r="AU11" s="255">
        <v>6</v>
      </c>
      <c r="AV11" s="255">
        <v>7</v>
      </c>
      <c r="AW11" s="255">
        <v>8</v>
      </c>
      <c r="AX11" s="255">
        <v>9</v>
      </c>
      <c r="AY11" s="255">
        <v>10</v>
      </c>
      <c r="AZ11" s="255">
        <v>11</v>
      </c>
      <c r="BA11" s="256">
        <v>12</v>
      </c>
      <c r="BB11" s="260">
        <v>1</v>
      </c>
      <c r="BC11" s="255">
        <v>2</v>
      </c>
      <c r="BD11" s="255">
        <v>3</v>
      </c>
      <c r="BE11" s="255">
        <v>4</v>
      </c>
      <c r="BF11" s="255">
        <v>5</v>
      </c>
      <c r="BG11" s="255">
        <v>6</v>
      </c>
      <c r="BH11" s="255">
        <v>7</v>
      </c>
      <c r="BI11" s="255">
        <v>8</v>
      </c>
      <c r="BJ11" s="255">
        <v>9</v>
      </c>
      <c r="BK11" s="255">
        <v>10</v>
      </c>
      <c r="BL11" s="255">
        <v>11</v>
      </c>
      <c r="BM11" s="256">
        <v>12</v>
      </c>
    </row>
    <row r="12" spans="1:65" ht="27.6">
      <c r="A12" s="193" t="s">
        <v>19</v>
      </c>
      <c r="B12" s="268"/>
      <c r="C12" s="268"/>
      <c r="D12" s="236">
        <f>+PEP!Y10</f>
        <v>9162645.0448968001</v>
      </c>
      <c r="E12" s="236">
        <f>+PEP!AA10</f>
        <v>11173957.371825367</v>
      </c>
      <c r="F12" s="236"/>
      <c r="G12" s="237"/>
      <c r="H12" s="237"/>
      <c r="I12" s="237"/>
      <c r="J12" s="237"/>
      <c r="K12" s="237"/>
      <c r="L12" s="237"/>
      <c r="M12" s="237"/>
      <c r="N12" s="237"/>
      <c r="O12" s="237"/>
      <c r="P12" s="237"/>
      <c r="Q12" s="238"/>
      <c r="R12" s="197"/>
      <c r="S12" s="195"/>
      <c r="T12" s="195"/>
      <c r="U12" s="195"/>
      <c r="V12" s="195"/>
      <c r="W12" s="195"/>
      <c r="X12" s="195"/>
      <c r="Y12" s="195"/>
      <c r="Z12" s="195"/>
      <c r="AA12" s="195"/>
      <c r="AB12" s="195"/>
      <c r="AC12" s="196"/>
      <c r="AD12" s="236"/>
      <c r="AE12" s="237"/>
      <c r="AF12" s="237"/>
      <c r="AG12" s="237"/>
      <c r="AH12" s="237"/>
      <c r="AI12" s="237"/>
      <c r="AJ12" s="237"/>
      <c r="AK12" s="237"/>
      <c r="AL12" s="237"/>
      <c r="AM12" s="237"/>
      <c r="AN12" s="237"/>
      <c r="AO12" s="238"/>
      <c r="AP12" s="236"/>
      <c r="AQ12" s="237"/>
      <c r="AR12" s="237"/>
      <c r="AS12" s="237"/>
      <c r="AT12" s="237"/>
      <c r="AU12" s="237"/>
      <c r="AV12" s="237"/>
      <c r="AW12" s="237"/>
      <c r="AX12" s="237"/>
      <c r="AY12" s="237"/>
      <c r="AZ12" s="237"/>
      <c r="BA12" s="238"/>
      <c r="BB12" s="236"/>
      <c r="BC12" s="237"/>
      <c r="BD12" s="237"/>
      <c r="BE12" s="237"/>
      <c r="BF12" s="237"/>
      <c r="BG12" s="237"/>
      <c r="BH12" s="237"/>
      <c r="BI12" s="237"/>
      <c r="BJ12" s="237"/>
      <c r="BK12" s="237"/>
      <c r="BL12" s="237"/>
      <c r="BM12" s="238"/>
    </row>
    <row r="13" spans="1:65" ht="33" customHeight="1">
      <c r="A13" s="188" t="s">
        <v>20</v>
      </c>
      <c r="B13" s="177">
        <f>+C13*0.82</f>
        <v>97972.522448400545</v>
      </c>
      <c r="C13" s="177">
        <f>+'Plan Adquisiciones (18 meses)'!F28</f>
        <v>119478.68591268361</v>
      </c>
      <c r="D13" s="177">
        <f>+PEP!Y11</f>
        <v>195945.04489680109</v>
      </c>
      <c r="E13" s="177">
        <f>+PEP!AA11</f>
        <v>238957.37182536721</v>
      </c>
      <c r="F13" s="177"/>
      <c r="G13" s="141"/>
      <c r="H13" s="141"/>
      <c r="I13" s="141"/>
      <c r="J13" s="141"/>
      <c r="K13" s="141"/>
      <c r="L13" s="141"/>
      <c r="M13" s="141"/>
      <c r="N13" s="141"/>
      <c r="O13" s="204"/>
      <c r="P13" s="204"/>
      <c r="Q13" s="251"/>
      <c r="R13" s="253"/>
      <c r="S13" s="204"/>
      <c r="T13" s="204"/>
      <c r="U13" s="205"/>
      <c r="V13" s="205"/>
      <c r="W13" s="205"/>
      <c r="X13" s="205"/>
      <c r="Y13" s="205"/>
      <c r="Z13" s="205"/>
      <c r="AA13" s="141"/>
      <c r="AB13" s="141"/>
      <c r="AC13" s="178"/>
      <c r="AD13" s="177"/>
      <c r="AE13" s="141"/>
      <c r="AF13" s="141"/>
      <c r="AG13" s="141"/>
      <c r="AH13" s="141"/>
      <c r="AI13" s="141"/>
      <c r="AJ13" s="141"/>
      <c r="AK13" s="141"/>
      <c r="AL13" s="141"/>
      <c r="AM13" s="141"/>
      <c r="AN13" s="141"/>
      <c r="AO13" s="178"/>
      <c r="AP13" s="177"/>
      <c r="AQ13" s="141"/>
      <c r="AR13" s="141"/>
      <c r="AS13" s="141"/>
      <c r="AT13" s="141"/>
      <c r="AU13" s="141"/>
      <c r="AV13" s="141"/>
      <c r="AW13" s="141"/>
      <c r="AX13" s="141"/>
      <c r="AY13" s="141"/>
      <c r="AZ13" s="141"/>
      <c r="BA13" s="178"/>
      <c r="BB13" s="177"/>
      <c r="BC13" s="141"/>
      <c r="BD13" s="141"/>
      <c r="BE13" s="141"/>
      <c r="BF13" s="141"/>
      <c r="BG13" s="141"/>
      <c r="BH13" s="141"/>
      <c r="BI13" s="141"/>
      <c r="BJ13" s="141"/>
      <c r="BK13" s="141"/>
      <c r="BL13" s="141"/>
      <c r="BM13" s="178"/>
    </row>
    <row r="14" spans="1:65" ht="44.25" customHeight="1">
      <c r="A14" s="189" t="s">
        <v>21</v>
      </c>
      <c r="B14" s="177">
        <f t="shared" ref="B14:B22" si="0">+C14*0.82</f>
        <v>131200</v>
      </c>
      <c r="C14" s="177">
        <f>+'Plan Adquisiciones (18 meses)'!F29</f>
        <v>160000</v>
      </c>
      <c r="D14" s="179">
        <f>+PEP!Y12</f>
        <v>524800</v>
      </c>
      <c r="E14" s="179">
        <f>+PEP!AA12</f>
        <v>640000</v>
      </c>
      <c r="F14" s="179"/>
      <c r="G14" s="159"/>
      <c r="H14" s="159"/>
      <c r="I14" s="159"/>
      <c r="J14" s="159"/>
      <c r="K14" s="159"/>
      <c r="L14" s="159"/>
      <c r="M14" s="159"/>
      <c r="N14" s="159"/>
      <c r="O14" s="204"/>
      <c r="P14" s="204"/>
      <c r="Q14" s="251"/>
      <c r="R14" s="253"/>
      <c r="S14" s="204"/>
      <c r="T14" s="204"/>
      <c r="U14" s="205"/>
      <c r="V14" s="205"/>
      <c r="W14" s="205"/>
      <c r="X14" s="141"/>
      <c r="Y14" s="141"/>
      <c r="Z14" s="141"/>
      <c r="AA14" s="141"/>
      <c r="AB14" s="141"/>
      <c r="AC14" s="178"/>
      <c r="AD14" s="177"/>
      <c r="AE14" s="141"/>
      <c r="AF14" s="141"/>
      <c r="AG14" s="204"/>
      <c r="AH14" s="204"/>
      <c r="AI14" s="204"/>
      <c r="AJ14" s="204"/>
      <c r="AK14" s="204"/>
      <c r="AL14" s="204"/>
      <c r="AM14" s="205"/>
      <c r="AN14" s="205"/>
      <c r="AO14" s="205"/>
      <c r="AP14" s="205"/>
      <c r="AQ14" s="205"/>
      <c r="AR14" s="205"/>
      <c r="AS14" s="205"/>
      <c r="AT14" s="205"/>
      <c r="AU14" s="205"/>
      <c r="AV14" s="159"/>
      <c r="AW14" s="159"/>
      <c r="AX14" s="159"/>
      <c r="AY14" s="159"/>
      <c r="AZ14" s="159"/>
      <c r="BA14" s="180"/>
      <c r="BB14" s="179"/>
      <c r="BC14" s="159"/>
      <c r="BD14" s="159"/>
      <c r="BE14" s="159"/>
      <c r="BF14" s="159"/>
      <c r="BG14" s="159"/>
      <c r="BH14" s="159"/>
      <c r="BI14" s="159"/>
      <c r="BJ14" s="159"/>
      <c r="BK14" s="159"/>
      <c r="BL14" s="159"/>
      <c r="BM14" s="180"/>
    </row>
    <row r="15" spans="1:65" ht="33" customHeight="1">
      <c r="A15" s="189" t="s">
        <v>22</v>
      </c>
      <c r="B15" s="177"/>
      <c r="C15" s="177"/>
      <c r="D15" s="179">
        <f>+PEP!Y13</f>
        <v>2562500</v>
      </c>
      <c r="E15" s="179">
        <f>+PEP!AA13</f>
        <v>3125000</v>
      </c>
      <c r="F15" s="179"/>
      <c r="G15" s="159"/>
      <c r="H15" s="159"/>
      <c r="I15" s="159"/>
      <c r="J15" s="159"/>
      <c r="K15" s="159"/>
      <c r="L15" s="159"/>
      <c r="M15" s="159"/>
      <c r="N15" s="159"/>
      <c r="O15" s="159"/>
      <c r="P15" s="159"/>
      <c r="Q15" s="180"/>
      <c r="R15" s="179"/>
      <c r="S15" s="159"/>
      <c r="T15" s="159"/>
      <c r="U15" s="159"/>
      <c r="V15" s="159"/>
      <c r="W15" s="159"/>
      <c r="X15" s="159"/>
      <c r="Y15" s="159"/>
      <c r="Z15" s="159"/>
      <c r="AA15" s="159"/>
      <c r="AB15" s="159"/>
      <c r="AC15" s="180"/>
      <c r="AD15" s="179"/>
      <c r="AE15" s="159"/>
      <c r="AF15" s="159"/>
      <c r="AG15" s="159"/>
      <c r="AH15" s="204"/>
      <c r="AI15" s="204"/>
      <c r="AJ15" s="204"/>
      <c r="AK15" s="204"/>
      <c r="AL15" s="204"/>
      <c r="AM15" s="205"/>
      <c r="AN15" s="205"/>
      <c r="AO15" s="231"/>
      <c r="AP15" s="179"/>
      <c r="AQ15" s="159"/>
      <c r="AR15" s="159"/>
      <c r="AS15" s="159"/>
      <c r="AT15" s="204"/>
      <c r="AU15" s="204"/>
      <c r="AV15" s="204"/>
      <c r="AW15" s="204"/>
      <c r="AX15" s="204"/>
      <c r="AY15" s="205"/>
      <c r="AZ15" s="205"/>
      <c r="BA15" s="231"/>
      <c r="BB15" s="179"/>
      <c r="BC15" s="159"/>
      <c r="BD15" s="159"/>
      <c r="BE15" s="159"/>
      <c r="BF15" s="204"/>
      <c r="BG15" s="204"/>
      <c r="BH15" s="204"/>
      <c r="BI15" s="204"/>
      <c r="BJ15" s="204"/>
      <c r="BK15" s="205"/>
      <c r="BL15" s="205"/>
      <c r="BM15" s="231"/>
    </row>
    <row r="16" spans="1:65" ht="21" customHeight="1">
      <c r="A16" s="189" t="s">
        <v>23</v>
      </c>
      <c r="B16" s="177"/>
      <c r="C16" s="177"/>
      <c r="D16" s="179">
        <f>+PEP!Y14</f>
        <v>245999.99999999997</v>
      </c>
      <c r="E16" s="179">
        <f>+PEP!AA14</f>
        <v>300000</v>
      </c>
      <c r="F16" s="179"/>
      <c r="G16" s="159"/>
      <c r="H16" s="159"/>
      <c r="I16" s="159"/>
      <c r="J16" s="159"/>
      <c r="K16" s="159"/>
      <c r="L16" s="159"/>
      <c r="M16" s="159"/>
      <c r="N16" s="159"/>
      <c r="O16" s="159"/>
      <c r="P16" s="159"/>
      <c r="Q16" s="180"/>
      <c r="R16" s="253"/>
      <c r="S16" s="204"/>
      <c r="T16" s="204"/>
      <c r="U16" s="204"/>
      <c r="V16" s="204"/>
      <c r="W16" s="204"/>
      <c r="X16" s="205"/>
      <c r="Y16" s="205"/>
      <c r="Z16" s="205"/>
      <c r="AA16" s="205"/>
      <c r="AB16" s="205"/>
      <c r="AC16" s="231"/>
      <c r="AD16" s="179"/>
      <c r="AE16" s="159"/>
      <c r="AF16" s="159"/>
      <c r="AG16" s="159"/>
      <c r="AH16" s="159"/>
      <c r="AI16" s="159"/>
      <c r="AJ16" s="159"/>
      <c r="AK16" s="159"/>
      <c r="AL16" s="159"/>
      <c r="AM16" s="159"/>
      <c r="AN16" s="159"/>
      <c r="AO16" s="180"/>
      <c r="AP16" s="179"/>
      <c r="AQ16" s="159"/>
      <c r="AR16" s="159"/>
      <c r="AS16" s="159"/>
      <c r="AT16" s="159"/>
      <c r="AU16" s="159"/>
      <c r="AV16" s="159"/>
      <c r="AW16" s="159"/>
      <c r="AX16" s="159"/>
      <c r="AY16" s="159"/>
      <c r="AZ16" s="159"/>
      <c r="BA16" s="180"/>
      <c r="BB16" s="179"/>
      <c r="BC16" s="159"/>
      <c r="BD16" s="159"/>
      <c r="BE16" s="159"/>
      <c r="BF16" s="159"/>
      <c r="BG16" s="159"/>
      <c r="BH16" s="159"/>
      <c r="BI16" s="159"/>
      <c r="BJ16" s="159"/>
      <c r="BK16" s="159"/>
      <c r="BL16" s="159"/>
      <c r="BM16" s="180"/>
    </row>
    <row r="17" spans="1:65" ht="30" customHeight="1">
      <c r="A17" s="189" t="s">
        <v>24</v>
      </c>
      <c r="B17" s="177">
        <f t="shared" si="0"/>
        <v>245999.99999999997</v>
      </c>
      <c r="C17" s="177">
        <f>+'Plan Adquisiciones (18 meses)'!F37</f>
        <v>300000</v>
      </c>
      <c r="D17" s="179">
        <f>+PEP!Y15</f>
        <v>246000</v>
      </c>
      <c r="E17" s="179">
        <f>+PEP!AA15</f>
        <v>300000</v>
      </c>
      <c r="F17" s="179"/>
      <c r="G17" s="159"/>
      <c r="H17" s="159"/>
      <c r="I17" s="159"/>
      <c r="J17" s="159"/>
      <c r="K17" s="159"/>
      <c r="L17" s="159"/>
      <c r="M17" s="159"/>
      <c r="N17" s="159"/>
      <c r="O17" s="159"/>
      <c r="P17" s="159"/>
      <c r="Q17" s="180"/>
      <c r="R17" s="175"/>
      <c r="S17" s="159"/>
      <c r="T17" s="159"/>
      <c r="U17" s="204"/>
      <c r="V17" s="204"/>
      <c r="W17" s="204"/>
      <c r="X17" s="204"/>
      <c r="Y17" s="204"/>
      <c r="Z17" s="204"/>
      <c r="AA17" s="205"/>
      <c r="AB17" s="205"/>
      <c r="AC17" s="231"/>
      <c r="AD17" s="249"/>
      <c r="AE17" s="205"/>
      <c r="AF17" s="205"/>
      <c r="AG17" s="159"/>
      <c r="AH17" s="159"/>
      <c r="AI17" s="159"/>
      <c r="AJ17" s="159"/>
      <c r="AK17" s="159"/>
      <c r="AL17" s="159"/>
      <c r="AM17" s="159"/>
      <c r="AN17" s="159"/>
      <c r="AO17" s="180"/>
      <c r="AP17" s="179"/>
      <c r="AQ17" s="159"/>
      <c r="AR17" s="159"/>
      <c r="AS17" s="159"/>
      <c r="AT17" s="159"/>
      <c r="AU17" s="159"/>
      <c r="AV17" s="159"/>
      <c r="AW17" s="159"/>
      <c r="AX17" s="159"/>
      <c r="AY17" s="159"/>
      <c r="AZ17" s="159"/>
      <c r="BA17" s="180"/>
      <c r="BB17" s="179"/>
      <c r="BC17" s="159"/>
      <c r="BD17" s="159"/>
      <c r="BE17" s="159"/>
      <c r="BF17" s="159"/>
      <c r="BG17" s="159"/>
      <c r="BH17" s="159"/>
      <c r="BI17" s="159"/>
      <c r="BJ17" s="159"/>
      <c r="BK17" s="159"/>
      <c r="BL17" s="159"/>
      <c r="BM17" s="180"/>
    </row>
    <row r="18" spans="1:65" ht="28.5" customHeight="1">
      <c r="A18" s="189" t="s">
        <v>25</v>
      </c>
      <c r="B18" s="177">
        <f t="shared" si="0"/>
        <v>131200</v>
      </c>
      <c r="C18" s="177">
        <f>+'Plan Adquisiciones (18 meses)'!F38</f>
        <v>160000</v>
      </c>
      <c r="D18" s="179">
        <f>+PEP!Y16</f>
        <v>131200</v>
      </c>
      <c r="E18" s="179">
        <f>+PEP!AA16</f>
        <v>160000</v>
      </c>
      <c r="F18" s="179"/>
      <c r="G18" s="159"/>
      <c r="H18" s="159"/>
      <c r="I18" s="159"/>
      <c r="J18" s="204"/>
      <c r="K18" s="204"/>
      <c r="L18" s="204"/>
      <c r="M18" s="204"/>
      <c r="N18" s="204"/>
      <c r="O18" s="205"/>
      <c r="P18" s="205"/>
      <c r="Q18" s="231"/>
      <c r="R18" s="175"/>
      <c r="S18" s="159"/>
      <c r="T18" s="159"/>
      <c r="U18" s="159"/>
      <c r="V18" s="159"/>
      <c r="W18" s="159"/>
      <c r="X18" s="159"/>
      <c r="Y18" s="159"/>
      <c r="Z18" s="159"/>
      <c r="AA18" s="159"/>
      <c r="AB18" s="159"/>
      <c r="AC18" s="180"/>
      <c r="AD18" s="179"/>
      <c r="AE18" s="159"/>
      <c r="AF18" s="159"/>
      <c r="AG18" s="159"/>
      <c r="AH18" s="159"/>
      <c r="AI18" s="159"/>
      <c r="AJ18" s="159"/>
      <c r="AK18" s="159"/>
      <c r="AL18" s="159"/>
      <c r="AM18" s="159"/>
      <c r="AN18" s="159"/>
      <c r="AO18" s="180"/>
      <c r="AP18" s="179"/>
      <c r="AQ18" s="159"/>
      <c r="AR18" s="159"/>
      <c r="AS18" s="159"/>
      <c r="AT18" s="159"/>
      <c r="AU18" s="159"/>
      <c r="AV18" s="159"/>
      <c r="AW18" s="159"/>
      <c r="AX18" s="159"/>
      <c r="AY18" s="159"/>
      <c r="AZ18" s="159"/>
      <c r="BA18" s="180"/>
      <c r="BB18" s="179"/>
      <c r="BC18" s="159"/>
      <c r="BD18" s="159"/>
      <c r="BE18" s="159"/>
      <c r="BF18" s="159"/>
      <c r="BG18" s="159"/>
      <c r="BH18" s="159"/>
      <c r="BI18" s="159"/>
      <c r="BJ18" s="159"/>
      <c r="BK18" s="159"/>
      <c r="BL18" s="159"/>
      <c r="BM18" s="180"/>
    </row>
    <row r="19" spans="1:65" ht="31.5" customHeight="1">
      <c r="A19" s="190" t="s">
        <v>26</v>
      </c>
      <c r="B19" s="177">
        <f t="shared" si="0"/>
        <v>131200</v>
      </c>
      <c r="C19" s="177">
        <f>+'Plan Adquisiciones (18 meses)'!F39</f>
        <v>160000</v>
      </c>
      <c r="D19" s="179">
        <f>+PEP!Y17</f>
        <v>131200</v>
      </c>
      <c r="E19" s="179">
        <f>+PEP!AA17</f>
        <v>160000</v>
      </c>
      <c r="F19" s="179"/>
      <c r="G19" s="159"/>
      <c r="H19" s="159"/>
      <c r="I19" s="159"/>
      <c r="J19" s="159"/>
      <c r="K19" s="159"/>
      <c r="L19" s="159"/>
      <c r="M19" s="159"/>
      <c r="N19" s="159"/>
      <c r="O19" s="204"/>
      <c r="P19" s="204"/>
      <c r="Q19" s="251"/>
      <c r="R19" s="253"/>
      <c r="S19" s="205"/>
      <c r="T19" s="205"/>
      <c r="U19" s="205"/>
      <c r="V19" s="205"/>
      <c r="W19" s="159"/>
      <c r="X19" s="159"/>
      <c r="Y19" s="159"/>
      <c r="Z19" s="159"/>
      <c r="AA19" s="159"/>
      <c r="AB19" s="159"/>
      <c r="AC19" s="180"/>
      <c r="AD19" s="179"/>
      <c r="AE19" s="159"/>
      <c r="AF19" s="159"/>
      <c r="AG19" s="159"/>
      <c r="AH19" s="159"/>
      <c r="AI19" s="159"/>
      <c r="AJ19" s="159"/>
      <c r="AK19" s="159"/>
      <c r="AL19" s="159"/>
      <c r="AM19" s="159"/>
      <c r="AN19" s="159"/>
      <c r="AO19" s="180"/>
      <c r="AP19" s="179"/>
      <c r="AQ19" s="159"/>
      <c r="AR19" s="159"/>
      <c r="AS19" s="159"/>
      <c r="AT19" s="159"/>
      <c r="AU19" s="159"/>
      <c r="AV19" s="159"/>
      <c r="AW19" s="159"/>
      <c r="AX19" s="159"/>
      <c r="AY19" s="159"/>
      <c r="AZ19" s="159"/>
      <c r="BA19" s="180"/>
      <c r="BB19" s="179"/>
      <c r="BC19" s="159"/>
      <c r="BD19" s="159"/>
      <c r="BE19" s="159"/>
      <c r="BF19" s="159"/>
      <c r="BG19" s="159"/>
      <c r="BH19" s="159"/>
      <c r="BI19" s="159"/>
      <c r="BJ19" s="159"/>
      <c r="BK19" s="159"/>
      <c r="BL19" s="159"/>
      <c r="BM19" s="180"/>
    </row>
    <row r="20" spans="1:65" ht="27.6">
      <c r="A20" s="190" t="s">
        <v>27</v>
      </c>
      <c r="B20" s="177">
        <f t="shared" si="0"/>
        <v>854166.66666666663</v>
      </c>
      <c r="C20" s="177">
        <f>+'Plan Adquisiciones (18 meses)'!F17</f>
        <v>1041666.6666666666</v>
      </c>
      <c r="D20" s="179">
        <f>+PEP!Y18</f>
        <v>5125000</v>
      </c>
      <c r="E20" s="179">
        <f>+PEP!AA18</f>
        <v>6250000</v>
      </c>
      <c r="F20" s="179"/>
      <c r="G20" s="159"/>
      <c r="H20" s="159"/>
      <c r="I20" s="159"/>
      <c r="J20" s="159"/>
      <c r="K20" s="159"/>
      <c r="L20" s="159"/>
      <c r="M20" s="204"/>
      <c r="N20" s="204"/>
      <c r="O20" s="204"/>
      <c r="P20" s="204"/>
      <c r="Q20" s="251"/>
      <c r="R20" s="253"/>
      <c r="S20" s="205"/>
      <c r="T20" s="205"/>
      <c r="U20" s="205"/>
      <c r="V20" s="205"/>
      <c r="W20" s="205"/>
      <c r="X20" s="205"/>
      <c r="Y20" s="159"/>
      <c r="Z20" s="159"/>
      <c r="AA20" s="159"/>
      <c r="AB20" s="159"/>
      <c r="AC20" s="180"/>
      <c r="AD20" s="239"/>
      <c r="AE20" s="204"/>
      <c r="AF20" s="204"/>
      <c r="AG20" s="204"/>
      <c r="AH20" s="204"/>
      <c r="AI20" s="204"/>
      <c r="AJ20" s="205"/>
      <c r="AK20" s="205"/>
      <c r="AL20" s="205"/>
      <c r="AM20" s="205"/>
      <c r="AN20" s="205"/>
      <c r="AO20" s="231"/>
      <c r="AP20" s="239"/>
      <c r="AQ20" s="204"/>
      <c r="AR20" s="204"/>
      <c r="AS20" s="204"/>
      <c r="AT20" s="204"/>
      <c r="AU20" s="204"/>
      <c r="AV20" s="205"/>
      <c r="AW20" s="205"/>
      <c r="AX20" s="205"/>
      <c r="AY20" s="205"/>
      <c r="AZ20" s="205"/>
      <c r="BA20" s="231"/>
      <c r="BB20" s="239"/>
      <c r="BC20" s="204"/>
      <c r="BD20" s="204"/>
      <c r="BE20" s="204"/>
      <c r="BF20" s="204"/>
      <c r="BG20" s="204"/>
      <c r="BH20" s="205"/>
      <c r="BI20" s="205"/>
      <c r="BJ20" s="205"/>
      <c r="BK20" s="205"/>
      <c r="BL20" s="205"/>
      <c r="BM20" s="231"/>
    </row>
    <row r="21" spans="1:65" ht="27.6">
      <c r="A21" s="193" t="s">
        <v>28</v>
      </c>
      <c r="B21" s="193"/>
      <c r="C21" s="193"/>
      <c r="D21" s="194">
        <f>+PEP!Y19</f>
        <v>43050000</v>
      </c>
      <c r="E21" s="194">
        <f>+PEP!AA19</f>
        <v>52500000</v>
      </c>
      <c r="F21" s="194"/>
      <c r="G21" s="195"/>
      <c r="H21" s="195"/>
      <c r="I21" s="195"/>
      <c r="J21" s="195"/>
      <c r="K21" s="195"/>
      <c r="L21" s="195"/>
      <c r="M21" s="195"/>
      <c r="N21" s="195"/>
      <c r="O21" s="195"/>
      <c r="P21" s="195"/>
      <c r="Q21" s="196"/>
      <c r="R21" s="197"/>
      <c r="S21" s="195"/>
      <c r="T21" s="195"/>
      <c r="U21" s="195"/>
      <c r="V21" s="195"/>
      <c r="W21" s="195"/>
      <c r="X21" s="195"/>
      <c r="Y21" s="195"/>
      <c r="Z21" s="195"/>
      <c r="AA21" s="195"/>
      <c r="AB21" s="195"/>
      <c r="AC21" s="196"/>
      <c r="AD21" s="194"/>
      <c r="AE21" s="195"/>
      <c r="AF21" s="195"/>
      <c r="AG21" s="195"/>
      <c r="AH21" s="195"/>
      <c r="AI21" s="195"/>
      <c r="AJ21" s="195"/>
      <c r="AK21" s="195"/>
      <c r="AL21" s="195"/>
      <c r="AM21" s="195"/>
      <c r="AN21" s="195"/>
      <c r="AO21" s="196"/>
      <c r="AP21" s="194"/>
      <c r="AQ21" s="195"/>
      <c r="AR21" s="195"/>
      <c r="AS21" s="195"/>
      <c r="AT21" s="195"/>
      <c r="AU21" s="195"/>
      <c r="AV21" s="195"/>
      <c r="AW21" s="195"/>
      <c r="AX21" s="195"/>
      <c r="AY21" s="195"/>
      <c r="AZ21" s="195"/>
      <c r="BA21" s="196"/>
      <c r="BB21" s="194"/>
      <c r="BC21" s="195"/>
      <c r="BD21" s="195"/>
      <c r="BE21" s="195"/>
      <c r="BF21" s="195"/>
      <c r="BG21" s="195"/>
      <c r="BH21" s="195"/>
      <c r="BI21" s="195"/>
      <c r="BJ21" s="195"/>
      <c r="BK21" s="195"/>
      <c r="BL21" s="195"/>
      <c r="BM21" s="196"/>
    </row>
    <row r="22" spans="1:65">
      <c r="A22" s="188" t="s">
        <v>29</v>
      </c>
      <c r="B22" s="177">
        <f t="shared" si="0"/>
        <v>215250</v>
      </c>
      <c r="C22" s="177">
        <f>+'Plan Adquisiciones (18 meses)'!F21+'Plan Adquisiciones (18 meses)'!F24</f>
        <v>262500</v>
      </c>
      <c r="D22" s="177">
        <f>+PEP!Y20</f>
        <v>430500</v>
      </c>
      <c r="E22" s="177">
        <f>+PEP!AA20</f>
        <v>525000</v>
      </c>
      <c r="F22" s="177"/>
      <c r="G22" s="141"/>
      <c r="H22" s="141"/>
      <c r="I22" s="141"/>
      <c r="J22" s="141"/>
      <c r="K22" s="141"/>
      <c r="L22" s="141"/>
      <c r="M22" s="204"/>
      <c r="N22" s="204"/>
      <c r="O22" s="204"/>
      <c r="P22" s="204"/>
      <c r="Q22" s="251"/>
      <c r="R22" s="253"/>
      <c r="S22" s="205"/>
      <c r="T22" s="205"/>
      <c r="U22" s="205"/>
      <c r="V22" s="205"/>
      <c r="W22" s="205"/>
      <c r="X22" s="205"/>
      <c r="Y22" s="205"/>
      <c r="Z22" s="206"/>
      <c r="AA22" s="206"/>
      <c r="AB22" s="141"/>
      <c r="AC22" s="178"/>
      <c r="AD22" s="177"/>
      <c r="AE22" s="141"/>
      <c r="AF22" s="141"/>
      <c r="AG22" s="141"/>
      <c r="AH22" s="141"/>
      <c r="AI22" s="141"/>
      <c r="AJ22" s="141"/>
      <c r="AK22" s="141"/>
      <c r="AL22" s="141"/>
      <c r="AM22" s="141"/>
      <c r="AN22" s="141"/>
      <c r="AO22" s="178"/>
      <c r="AP22" s="177"/>
      <c r="AQ22" s="141"/>
      <c r="AR22" s="141"/>
      <c r="AS22" s="141"/>
      <c r="AT22" s="141"/>
      <c r="AU22" s="141"/>
      <c r="AV22" s="141"/>
      <c r="AW22" s="141"/>
      <c r="AX22" s="141"/>
      <c r="AY22" s="141"/>
      <c r="AZ22" s="141"/>
      <c r="BA22" s="178"/>
      <c r="BB22" s="177"/>
      <c r="BC22" s="141"/>
      <c r="BD22" s="141"/>
      <c r="BE22" s="141"/>
      <c r="BF22" s="141"/>
      <c r="BG22" s="141"/>
      <c r="BH22" s="141"/>
      <c r="BI22" s="141"/>
      <c r="BJ22" s="141"/>
      <c r="BK22" s="141"/>
      <c r="BL22" s="141"/>
      <c r="BM22" s="178"/>
    </row>
    <row r="23" spans="1:65">
      <c r="A23" s="188" t="s">
        <v>30</v>
      </c>
      <c r="B23" s="188"/>
      <c r="C23" s="177"/>
      <c r="D23" s="177">
        <f>+PEP!Y21</f>
        <v>13202000</v>
      </c>
      <c r="E23" s="177">
        <f>+PEP!AA21</f>
        <v>16100000</v>
      </c>
      <c r="F23" s="177"/>
      <c r="G23" s="141"/>
      <c r="H23" s="141"/>
      <c r="I23" s="141"/>
      <c r="J23" s="141"/>
      <c r="K23" s="141"/>
      <c r="L23" s="141"/>
      <c r="M23" s="141"/>
      <c r="N23" s="141"/>
      <c r="O23" s="141"/>
      <c r="P23" s="141"/>
      <c r="Q23" s="178"/>
      <c r="R23" s="174"/>
      <c r="S23" s="141"/>
      <c r="T23" s="141"/>
      <c r="U23" s="141"/>
      <c r="V23" s="226"/>
      <c r="W23" s="226"/>
      <c r="X23" s="226"/>
      <c r="Y23" s="226"/>
      <c r="Z23" s="226"/>
      <c r="AA23" s="226"/>
      <c r="AB23" s="226"/>
      <c r="AC23" s="227"/>
      <c r="AD23" s="232"/>
      <c r="AE23" s="206"/>
      <c r="AF23" s="206"/>
      <c r="AG23" s="206"/>
      <c r="AH23" s="206"/>
      <c r="AI23" s="206"/>
      <c r="AJ23" s="206"/>
      <c r="AK23" s="206"/>
      <c r="AL23" s="206"/>
      <c r="AM23" s="206"/>
      <c r="AN23" s="206"/>
      <c r="AO23" s="230"/>
      <c r="AP23" s="232"/>
      <c r="AQ23" s="206"/>
      <c r="AR23" s="206"/>
      <c r="AS23" s="206"/>
      <c r="AT23" s="206"/>
      <c r="AU23" s="206"/>
      <c r="AV23" s="206"/>
      <c r="AW23" s="206"/>
      <c r="AX23" s="206"/>
      <c r="AY23" s="174"/>
      <c r="AZ23" s="141"/>
      <c r="BA23" s="178"/>
      <c r="BB23" s="177"/>
      <c r="BC23" s="141"/>
      <c r="BD23" s="141"/>
      <c r="BE23" s="141"/>
      <c r="BF23" s="141"/>
      <c r="BG23" s="141"/>
      <c r="BH23" s="141"/>
      <c r="BI23" s="141"/>
      <c r="BJ23" s="141"/>
      <c r="BK23" s="141"/>
      <c r="BL23" s="141"/>
      <c r="BM23" s="233"/>
    </row>
    <row r="24" spans="1:65">
      <c r="A24" s="188" t="s">
        <v>31</v>
      </c>
      <c r="B24" s="188"/>
      <c r="C24" s="177"/>
      <c r="D24" s="177">
        <f>+PEP!Y22</f>
        <v>717500</v>
      </c>
      <c r="E24" s="177">
        <f>+PEP!AA22</f>
        <v>875000</v>
      </c>
      <c r="F24" s="177"/>
      <c r="G24" s="141"/>
      <c r="H24" s="141"/>
      <c r="I24" s="141"/>
      <c r="J24" s="141"/>
      <c r="K24" s="141"/>
      <c r="L24" s="141"/>
      <c r="M24" s="141"/>
      <c r="N24" s="141"/>
      <c r="O24" s="141"/>
      <c r="P24" s="141"/>
      <c r="Q24" s="178"/>
      <c r="R24" s="174"/>
      <c r="S24" s="141"/>
      <c r="T24" s="141"/>
      <c r="U24" s="141"/>
      <c r="V24" s="141"/>
      <c r="W24" s="141"/>
      <c r="X24" s="141"/>
      <c r="Y24" s="141"/>
      <c r="Z24" s="226"/>
      <c r="AA24" s="226"/>
      <c r="AB24" s="226"/>
      <c r="AC24" s="227"/>
      <c r="AD24" s="250"/>
      <c r="AE24" s="226"/>
      <c r="AF24" s="226"/>
      <c r="AG24" s="226"/>
      <c r="AH24" s="206"/>
      <c r="AI24" s="206"/>
      <c r="AJ24" s="206"/>
      <c r="AK24" s="206"/>
      <c r="AL24" s="206"/>
      <c r="AM24" s="206"/>
      <c r="AN24" s="206"/>
      <c r="AO24" s="230"/>
      <c r="AP24" s="232"/>
      <c r="AQ24" s="206"/>
      <c r="AR24" s="206"/>
      <c r="AS24" s="206"/>
      <c r="AT24" s="206"/>
      <c r="AU24" s="206"/>
      <c r="AV24" s="206"/>
      <c r="AW24" s="206"/>
      <c r="AX24" s="206"/>
      <c r="AY24" s="206"/>
      <c r="AZ24" s="206"/>
      <c r="BA24" s="141"/>
      <c r="BB24" s="177"/>
      <c r="BC24" s="141"/>
      <c r="BD24" s="141"/>
      <c r="BE24" s="141"/>
      <c r="BF24" s="141"/>
      <c r="BG24" s="141"/>
      <c r="BH24" s="141"/>
      <c r="BI24" s="141"/>
      <c r="BJ24" s="141"/>
      <c r="BK24" s="141"/>
      <c r="BL24" s="141"/>
      <c r="BM24" s="233"/>
    </row>
    <row r="25" spans="1:65">
      <c r="A25" s="188" t="s">
        <v>32</v>
      </c>
      <c r="B25" s="188"/>
      <c r="C25" s="177"/>
      <c r="D25" s="177">
        <f>+PEP!Y23</f>
        <v>0</v>
      </c>
      <c r="E25" s="177">
        <f>+PEP!AA23</f>
        <v>0</v>
      </c>
      <c r="F25" s="177"/>
      <c r="G25" s="141"/>
      <c r="H25" s="141"/>
      <c r="I25" s="141"/>
      <c r="J25" s="141"/>
      <c r="K25" s="141"/>
      <c r="L25" s="141"/>
      <c r="M25" s="141"/>
      <c r="N25" s="141"/>
      <c r="O25" s="141"/>
      <c r="P25" s="141"/>
      <c r="Q25" s="178"/>
      <c r="R25" s="174"/>
      <c r="S25" s="141"/>
      <c r="T25" s="141"/>
      <c r="U25" s="141"/>
      <c r="V25" s="141"/>
      <c r="W25" s="141"/>
      <c r="X25" s="141"/>
      <c r="Y25" s="141"/>
      <c r="Z25" s="141"/>
      <c r="AA25" s="141"/>
      <c r="AB25" s="141"/>
      <c r="AC25" s="178"/>
      <c r="AD25" s="177"/>
      <c r="AE25" s="141"/>
      <c r="AF25" s="141"/>
      <c r="AG25" s="141"/>
      <c r="AH25" s="141"/>
      <c r="AI25" s="141"/>
      <c r="AJ25" s="141"/>
      <c r="AK25" s="141"/>
      <c r="AL25" s="141"/>
      <c r="AM25" s="141"/>
      <c r="AN25" s="141"/>
      <c r="AO25" s="178"/>
      <c r="AP25" s="177"/>
      <c r="AQ25" s="141"/>
      <c r="AR25" s="141"/>
      <c r="AS25" s="141"/>
      <c r="AT25" s="141"/>
      <c r="AU25" s="141"/>
      <c r="AV25" s="141"/>
      <c r="AW25" s="141"/>
      <c r="AX25" s="141"/>
      <c r="AY25" s="141"/>
      <c r="AZ25" s="141"/>
      <c r="BA25" s="178"/>
      <c r="BB25" s="177"/>
      <c r="BC25" s="141"/>
      <c r="BD25" s="141"/>
      <c r="BE25" s="141"/>
      <c r="BF25" s="141"/>
      <c r="BG25" s="141"/>
      <c r="BH25" s="141"/>
      <c r="BI25" s="141"/>
      <c r="BJ25" s="141"/>
      <c r="BK25" s="141"/>
      <c r="BL25" s="141"/>
      <c r="BM25" s="233"/>
    </row>
    <row r="26" spans="1:65">
      <c r="A26" s="188" t="s">
        <v>33</v>
      </c>
      <c r="B26" s="177">
        <f t="shared" ref="B26" si="1">+C26*0.82</f>
        <v>430500</v>
      </c>
      <c r="C26" s="177">
        <f>+'Plan Adquisiciones (18 meses)'!F22+'Plan Adquisiciones (18 meses)'!F25</f>
        <v>525000</v>
      </c>
      <c r="D26" s="177">
        <f>+PEP!Y24</f>
        <v>861000</v>
      </c>
      <c r="E26" s="177">
        <f>+PEP!AA24</f>
        <v>1050000</v>
      </c>
      <c r="F26" s="177"/>
      <c r="G26" s="141"/>
      <c r="H26" s="141"/>
      <c r="I26" s="141"/>
      <c r="J26" s="141"/>
      <c r="K26" s="141"/>
      <c r="L26" s="141"/>
      <c r="M26" s="204"/>
      <c r="N26" s="204"/>
      <c r="O26" s="204"/>
      <c r="P26" s="204"/>
      <c r="Q26" s="251"/>
      <c r="R26" s="253"/>
      <c r="S26" s="205"/>
      <c r="T26" s="205"/>
      <c r="U26" s="205"/>
      <c r="V26" s="205"/>
      <c r="W26" s="205"/>
      <c r="X26" s="205"/>
      <c r="Y26" s="205"/>
      <c r="Z26" s="206"/>
      <c r="AA26" s="206"/>
      <c r="AB26" s="141"/>
      <c r="AC26" s="178"/>
      <c r="AD26" s="177"/>
      <c r="AE26" s="141"/>
      <c r="AF26" s="141"/>
      <c r="AG26" s="141"/>
      <c r="AH26" s="141"/>
      <c r="AI26" s="141"/>
      <c r="AJ26" s="141"/>
      <c r="AK26" s="141"/>
      <c r="AL26" s="141"/>
      <c r="AM26" s="141"/>
      <c r="AN26" s="141"/>
      <c r="AO26" s="178"/>
      <c r="AP26" s="177"/>
      <c r="AQ26" s="141"/>
      <c r="AR26" s="141"/>
      <c r="AS26" s="141"/>
      <c r="AT26" s="141"/>
      <c r="AU26" s="141"/>
      <c r="AV26" s="141"/>
      <c r="AW26" s="141"/>
      <c r="AX26" s="141"/>
      <c r="AY26" s="141"/>
      <c r="AZ26" s="141"/>
      <c r="BA26" s="178"/>
      <c r="BB26" s="177"/>
      <c r="BC26" s="141"/>
      <c r="BD26" s="141"/>
      <c r="BE26" s="141"/>
      <c r="BF26" s="141"/>
      <c r="BG26" s="141"/>
      <c r="BH26" s="141"/>
      <c r="BI26" s="141"/>
      <c r="BJ26" s="141"/>
      <c r="BK26" s="141"/>
      <c r="BL26" s="141"/>
      <c r="BM26" s="233"/>
    </row>
    <row r="27" spans="1:65">
      <c r="A27" s="188" t="s">
        <v>34</v>
      </c>
      <c r="B27" s="188"/>
      <c r="C27" s="177"/>
      <c r="D27" s="177">
        <f>+PEP!Y25</f>
        <v>25543000</v>
      </c>
      <c r="E27" s="177">
        <f>+PEP!AA25</f>
        <v>31150000</v>
      </c>
      <c r="F27" s="177"/>
      <c r="G27" s="141"/>
      <c r="H27" s="141"/>
      <c r="I27" s="141"/>
      <c r="J27" s="141"/>
      <c r="K27" s="141"/>
      <c r="L27" s="141"/>
      <c r="M27" s="141"/>
      <c r="N27" s="141"/>
      <c r="O27" s="141"/>
      <c r="P27" s="141"/>
      <c r="Q27" s="178"/>
      <c r="R27" s="174"/>
      <c r="S27" s="141"/>
      <c r="T27" s="141"/>
      <c r="U27" s="141"/>
      <c r="V27" s="226"/>
      <c r="W27" s="226"/>
      <c r="X27" s="226"/>
      <c r="Y27" s="226"/>
      <c r="Z27" s="226"/>
      <c r="AA27" s="226"/>
      <c r="AB27" s="226"/>
      <c r="AC27" s="227"/>
      <c r="AD27" s="232"/>
      <c r="AE27" s="206"/>
      <c r="AF27" s="206"/>
      <c r="AG27" s="206"/>
      <c r="AH27" s="206"/>
      <c r="AI27" s="206"/>
      <c r="AJ27" s="206"/>
      <c r="AK27" s="206"/>
      <c r="AL27" s="206"/>
      <c r="AM27" s="206"/>
      <c r="AN27" s="206"/>
      <c r="AO27" s="230"/>
      <c r="AP27" s="232"/>
      <c r="AQ27" s="206"/>
      <c r="AR27" s="206"/>
      <c r="AS27" s="206"/>
      <c r="AT27" s="206"/>
      <c r="AU27" s="206"/>
      <c r="AV27" s="206"/>
      <c r="AW27" s="206"/>
      <c r="AX27" s="206"/>
      <c r="AY27" s="206"/>
      <c r="AZ27" s="206"/>
      <c r="BA27" s="230"/>
      <c r="BB27" s="232"/>
      <c r="BC27" s="206"/>
      <c r="BD27" s="206"/>
      <c r="BE27" s="206"/>
      <c r="BF27" s="206"/>
      <c r="BG27" s="206"/>
      <c r="BH27" s="206"/>
      <c r="BI27" s="206"/>
      <c r="BJ27" s="141"/>
      <c r="BK27" s="141"/>
      <c r="BL27" s="141"/>
      <c r="BM27" s="233"/>
    </row>
    <row r="28" spans="1:65">
      <c r="A28" s="188" t="s">
        <v>35</v>
      </c>
      <c r="B28" s="188"/>
      <c r="C28" s="177"/>
      <c r="D28" s="177">
        <f>+PEP!Y26</f>
        <v>2296000</v>
      </c>
      <c r="E28" s="177">
        <f>+PEP!AA26</f>
        <v>2800000</v>
      </c>
      <c r="F28" s="177"/>
      <c r="G28" s="141"/>
      <c r="H28" s="141"/>
      <c r="I28" s="141"/>
      <c r="J28" s="141"/>
      <c r="K28" s="141"/>
      <c r="L28" s="141"/>
      <c r="M28" s="141"/>
      <c r="N28" s="141"/>
      <c r="O28" s="141"/>
      <c r="P28" s="141"/>
      <c r="Q28" s="178"/>
      <c r="R28" s="174"/>
      <c r="S28" s="141"/>
      <c r="T28" s="141"/>
      <c r="U28" s="141"/>
      <c r="V28" s="141"/>
      <c r="W28" s="141"/>
      <c r="X28" s="141"/>
      <c r="Y28" s="141"/>
      <c r="Z28" s="226"/>
      <c r="AA28" s="226"/>
      <c r="AB28" s="226"/>
      <c r="AC28" s="227"/>
      <c r="AD28" s="250"/>
      <c r="AE28" s="226"/>
      <c r="AF28" s="226"/>
      <c r="AG28" s="226"/>
      <c r="AH28" s="206"/>
      <c r="AI28" s="206"/>
      <c r="AJ28" s="206"/>
      <c r="AK28" s="206"/>
      <c r="AL28" s="206"/>
      <c r="AM28" s="206"/>
      <c r="AN28" s="206"/>
      <c r="AO28" s="230"/>
      <c r="AP28" s="232"/>
      <c r="AQ28" s="206"/>
      <c r="AR28" s="206"/>
      <c r="AS28" s="206"/>
      <c r="AT28" s="206"/>
      <c r="AU28" s="206"/>
      <c r="AV28" s="206"/>
      <c r="AW28" s="206"/>
      <c r="AX28" s="206"/>
      <c r="AY28" s="206"/>
      <c r="AZ28" s="206"/>
      <c r="BA28" s="230"/>
      <c r="BB28" s="232"/>
      <c r="BC28" s="206"/>
      <c r="BD28" s="206"/>
      <c r="BE28" s="206"/>
      <c r="BF28" s="206"/>
      <c r="BG28" s="206"/>
      <c r="BH28" s="206"/>
      <c r="BI28" s="206"/>
      <c r="BJ28" s="206"/>
      <c r="BK28" s="206"/>
      <c r="BL28" s="206"/>
      <c r="BM28" s="233"/>
    </row>
    <row r="29" spans="1:65">
      <c r="A29" s="188" t="s">
        <v>36</v>
      </c>
      <c r="B29" s="188"/>
      <c r="C29" s="177"/>
      <c r="D29" s="177">
        <f>+PEP!Y27</f>
        <v>0</v>
      </c>
      <c r="E29" s="177">
        <f>+PEP!AA27</f>
        <v>0</v>
      </c>
      <c r="F29" s="177"/>
      <c r="G29" s="141"/>
      <c r="H29" s="141"/>
      <c r="I29" s="141"/>
      <c r="J29" s="141"/>
      <c r="K29" s="141"/>
      <c r="L29" s="141"/>
      <c r="M29" s="141"/>
      <c r="N29" s="141"/>
      <c r="O29" s="141"/>
      <c r="P29" s="141"/>
      <c r="Q29" s="178"/>
      <c r="R29" s="174"/>
      <c r="S29" s="141"/>
      <c r="T29" s="141"/>
      <c r="U29" s="141"/>
      <c r="V29" s="141"/>
      <c r="W29" s="141"/>
      <c r="X29" s="141"/>
      <c r="Y29" s="141"/>
      <c r="Z29" s="141"/>
      <c r="AA29" s="141"/>
      <c r="AB29" s="141"/>
      <c r="AC29" s="178"/>
      <c r="AD29" s="177"/>
      <c r="AE29" s="141"/>
      <c r="AF29" s="141"/>
      <c r="AG29" s="141"/>
      <c r="AH29" s="141"/>
      <c r="AI29" s="141"/>
      <c r="AJ29" s="141"/>
      <c r="AK29" s="141"/>
      <c r="AL29" s="141"/>
      <c r="AM29" s="141"/>
      <c r="AN29" s="141"/>
      <c r="AO29" s="178"/>
      <c r="AP29" s="177"/>
      <c r="AQ29" s="141"/>
      <c r="AR29" s="141"/>
      <c r="AS29" s="141"/>
      <c r="AT29" s="141"/>
      <c r="AU29" s="141"/>
      <c r="AV29" s="141"/>
      <c r="AW29" s="141"/>
      <c r="AX29" s="141"/>
      <c r="AY29" s="141"/>
      <c r="AZ29" s="141"/>
      <c r="BA29" s="178"/>
      <c r="BB29" s="177"/>
      <c r="BC29" s="141"/>
      <c r="BD29" s="141"/>
      <c r="BE29" s="141"/>
      <c r="BF29" s="141"/>
      <c r="BG29" s="141"/>
      <c r="BH29" s="141"/>
      <c r="BI29" s="141"/>
      <c r="BJ29" s="141"/>
      <c r="BK29" s="141"/>
      <c r="BL29" s="141"/>
      <c r="BM29" s="233"/>
    </row>
    <row r="30" spans="1:65" ht="26.25" customHeight="1">
      <c r="A30" s="193" t="s">
        <v>37</v>
      </c>
      <c r="B30" s="193"/>
      <c r="C30" s="193"/>
      <c r="D30" s="194">
        <f>+PEP!Y28</f>
        <v>63489061.223759905</v>
      </c>
      <c r="E30" s="194">
        <f>+PEP!AA28</f>
        <v>77425684.419219404</v>
      </c>
      <c r="F30" s="194"/>
      <c r="G30" s="195"/>
      <c r="H30" s="195"/>
      <c r="I30" s="195"/>
      <c r="J30" s="195"/>
      <c r="K30" s="195"/>
      <c r="L30" s="195"/>
      <c r="M30" s="195"/>
      <c r="N30" s="195"/>
      <c r="O30" s="195"/>
      <c r="P30" s="195"/>
      <c r="Q30" s="196"/>
      <c r="R30" s="197"/>
      <c r="S30" s="195"/>
      <c r="T30" s="195"/>
      <c r="U30" s="195"/>
      <c r="V30" s="195"/>
      <c r="W30" s="195"/>
      <c r="X30" s="195"/>
      <c r="Y30" s="195"/>
      <c r="Z30" s="195"/>
      <c r="AA30" s="195"/>
      <c r="AB30" s="195"/>
      <c r="AC30" s="196"/>
      <c r="AD30" s="194"/>
      <c r="AE30" s="195"/>
      <c r="AF30" s="195"/>
      <c r="AG30" s="195"/>
      <c r="AH30" s="195"/>
      <c r="AI30" s="195"/>
      <c r="AJ30" s="195"/>
      <c r="AK30" s="195"/>
      <c r="AL30" s="195"/>
      <c r="AM30" s="195"/>
      <c r="AN30" s="195"/>
      <c r="AO30" s="196"/>
      <c r="AP30" s="194"/>
      <c r="AQ30" s="195"/>
      <c r="AR30" s="195"/>
      <c r="AS30" s="195"/>
      <c r="AT30" s="195"/>
      <c r="AU30" s="195"/>
      <c r="AV30" s="195"/>
      <c r="AW30" s="195"/>
      <c r="AX30" s="195"/>
      <c r="AY30" s="195"/>
      <c r="AZ30" s="195"/>
      <c r="BA30" s="196"/>
      <c r="BB30" s="194"/>
      <c r="BC30" s="195"/>
      <c r="BD30" s="195"/>
      <c r="BE30" s="235"/>
      <c r="BF30" s="235"/>
      <c r="BG30" s="235"/>
      <c r="BH30" s="235"/>
      <c r="BI30" s="235"/>
      <c r="BJ30" s="235"/>
      <c r="BK30" s="235"/>
      <c r="BL30" s="235"/>
      <c r="BM30" s="234"/>
    </row>
    <row r="31" spans="1:65">
      <c r="A31" s="191" t="s">
        <v>38</v>
      </c>
      <c r="B31" s="177">
        <f t="shared" ref="B31" si="2">+C31*0.82</f>
        <v>539862.68210389314</v>
      </c>
      <c r="C31" s="177">
        <f>+'Plan Adquisiciones (18 meses)'!F23+'Plan Adquisiciones (18 meses)'!F27+'Plan Adquisiciones (18 meses)'!F26</f>
        <v>658369.12451694289</v>
      </c>
      <c r="D31" s="177">
        <f>+PEP!Y29</f>
        <v>1079725.3642077863</v>
      </c>
      <c r="E31" s="177">
        <f>+PEP!AA29</f>
        <v>1316738.2490338858</v>
      </c>
      <c r="F31" s="177"/>
      <c r="G31" s="141"/>
      <c r="H31" s="141"/>
      <c r="I31" s="141"/>
      <c r="J31" s="141"/>
      <c r="K31" s="141"/>
      <c r="L31" s="141"/>
      <c r="M31" s="204"/>
      <c r="N31" s="204"/>
      <c r="O31" s="204"/>
      <c r="P31" s="204"/>
      <c r="Q31" s="251"/>
      <c r="R31" s="253"/>
      <c r="S31" s="205"/>
      <c r="T31" s="205"/>
      <c r="U31" s="205"/>
      <c r="V31" s="205"/>
      <c r="W31" s="205"/>
      <c r="X31" s="205"/>
      <c r="Y31" s="205"/>
      <c r="Z31" s="206"/>
      <c r="AA31" s="206"/>
      <c r="AB31" s="206"/>
      <c r="AC31" s="178"/>
      <c r="AD31" s="177"/>
      <c r="AE31" s="141"/>
      <c r="AF31" s="141"/>
      <c r="AG31" s="141"/>
      <c r="AH31" s="141"/>
      <c r="AI31" s="141"/>
      <c r="AJ31" s="141"/>
      <c r="AK31" s="141"/>
      <c r="AL31" s="141"/>
      <c r="AM31" s="141"/>
      <c r="AN31" s="141"/>
      <c r="AO31" s="178"/>
      <c r="AP31" s="177"/>
      <c r="AQ31" s="141"/>
      <c r="AR31" s="141"/>
      <c r="AS31" s="141"/>
      <c r="AT31" s="141"/>
      <c r="AU31" s="141"/>
      <c r="AV31" s="141"/>
      <c r="AW31" s="141"/>
      <c r="AX31" s="141"/>
      <c r="AY31" s="141"/>
      <c r="AZ31" s="141"/>
      <c r="BA31" s="178"/>
      <c r="BB31" s="177"/>
      <c r="BC31" s="141"/>
      <c r="BD31" s="141"/>
      <c r="BE31" s="141"/>
      <c r="BF31" s="141"/>
      <c r="BG31" s="141"/>
      <c r="BH31" s="141"/>
      <c r="BI31" s="141"/>
      <c r="BJ31" s="141"/>
      <c r="BK31" s="141"/>
      <c r="BL31" s="141"/>
      <c r="BM31" s="178"/>
    </row>
    <row r="32" spans="1:65">
      <c r="A32" s="191" t="s">
        <v>39</v>
      </c>
      <c r="B32" s="191"/>
      <c r="C32" s="177"/>
      <c r="D32" s="177">
        <f>+PEP!Y30</f>
        <v>18346998.555740152</v>
      </c>
      <c r="E32" s="177">
        <f>+PEP!AA30</f>
        <v>22374388.482609943</v>
      </c>
      <c r="F32" s="177"/>
      <c r="G32" s="141"/>
      <c r="H32" s="141"/>
      <c r="I32" s="141"/>
      <c r="J32" s="141"/>
      <c r="K32" s="141"/>
      <c r="L32" s="141"/>
      <c r="M32" s="141"/>
      <c r="N32" s="141"/>
      <c r="O32" s="141"/>
      <c r="P32" s="141"/>
      <c r="Q32" s="178"/>
      <c r="R32" s="174"/>
      <c r="S32" s="141"/>
      <c r="T32" s="141"/>
      <c r="U32" s="141"/>
      <c r="V32" s="141"/>
      <c r="W32" s="204"/>
      <c r="X32" s="204"/>
      <c r="Y32" s="204"/>
      <c r="Z32" s="204"/>
      <c r="AA32" s="204"/>
      <c r="AB32" s="204"/>
      <c r="AC32" s="251"/>
      <c r="AD32" s="239"/>
      <c r="AE32" s="206"/>
      <c r="AF32" s="206"/>
      <c r="AG32" s="206"/>
      <c r="AH32" s="206"/>
      <c r="AI32" s="206"/>
      <c r="AJ32" s="206"/>
      <c r="AK32" s="206"/>
      <c r="AL32" s="206"/>
      <c r="AM32" s="206"/>
      <c r="AN32" s="206"/>
      <c r="AO32" s="230"/>
      <c r="AP32" s="232"/>
      <c r="AQ32" s="206"/>
      <c r="AR32" s="206"/>
      <c r="AS32" s="206"/>
      <c r="AT32" s="206"/>
      <c r="AU32" s="206"/>
      <c r="AV32" s="206"/>
      <c r="AW32" s="206"/>
      <c r="AX32" s="206"/>
      <c r="AY32" s="206"/>
      <c r="AZ32" s="206"/>
      <c r="BA32" s="230"/>
      <c r="BB32" s="232"/>
      <c r="BC32" s="206"/>
      <c r="BD32" s="141"/>
      <c r="BE32" s="141"/>
      <c r="BF32" s="141"/>
      <c r="BG32" s="141"/>
      <c r="BH32" s="141"/>
      <c r="BI32" s="141"/>
      <c r="BJ32" s="141"/>
      <c r="BK32" s="141"/>
      <c r="BL32" s="141"/>
      <c r="BM32" s="178"/>
    </row>
    <row r="33" spans="1:65" ht="27.6">
      <c r="A33" s="191" t="s">
        <v>40</v>
      </c>
      <c r="B33" s="191"/>
      <c r="C33" s="177"/>
      <c r="D33" s="177">
        <f>+PEP!Y31</f>
        <v>262400</v>
      </c>
      <c r="E33" s="177">
        <f>+PEP!AA31</f>
        <v>320000</v>
      </c>
      <c r="F33" s="177"/>
      <c r="G33" s="141"/>
      <c r="H33" s="141"/>
      <c r="I33" s="141"/>
      <c r="J33" s="141"/>
      <c r="K33" s="141"/>
      <c r="L33" s="141"/>
      <c r="M33" s="141"/>
      <c r="N33" s="141"/>
      <c r="O33" s="141"/>
      <c r="P33" s="141"/>
      <c r="Q33" s="178"/>
      <c r="R33" s="174"/>
      <c r="S33" s="141"/>
      <c r="T33" s="141"/>
      <c r="U33" s="141"/>
      <c r="V33" s="141"/>
      <c r="W33" s="141"/>
      <c r="X33" s="204"/>
      <c r="Y33" s="204"/>
      <c r="Z33" s="204"/>
      <c r="AA33" s="204"/>
      <c r="AB33" s="204"/>
      <c r="AC33" s="251"/>
      <c r="AD33" s="232"/>
      <c r="AE33" s="206"/>
      <c r="AF33" s="206"/>
      <c r="AG33" s="206"/>
      <c r="AH33" s="206"/>
      <c r="AI33" s="141"/>
      <c r="AJ33" s="141"/>
      <c r="AK33" s="141"/>
      <c r="AL33" s="141"/>
      <c r="AM33" s="141"/>
      <c r="AN33" s="141"/>
      <c r="AO33" s="178"/>
      <c r="AP33" s="177"/>
      <c r="AQ33" s="141"/>
      <c r="AR33" s="141"/>
      <c r="AS33" s="141"/>
      <c r="AT33" s="141"/>
      <c r="AU33" s="141"/>
      <c r="AV33" s="141"/>
      <c r="AW33" s="141"/>
      <c r="AX33" s="141"/>
      <c r="AY33" s="141"/>
      <c r="AZ33" s="141"/>
      <c r="BA33" s="178"/>
      <c r="BB33" s="177"/>
      <c r="BC33" s="141"/>
      <c r="BD33" s="141"/>
      <c r="BE33" s="141"/>
      <c r="BF33" s="141"/>
      <c r="BG33" s="141"/>
      <c r="BH33" s="141"/>
      <c r="BI33" s="141"/>
      <c r="BJ33" s="141"/>
      <c r="BK33" s="141"/>
      <c r="BL33" s="141"/>
      <c r="BM33" s="178"/>
    </row>
    <row r="34" spans="1:65" ht="27.6">
      <c r="A34" s="192" t="s">
        <v>41</v>
      </c>
      <c r="B34" s="192"/>
      <c r="C34" s="177"/>
      <c r="D34" s="177">
        <f>+PEP!Y32</f>
        <v>659422.13566392881</v>
      </c>
      <c r="E34" s="177">
        <f>+PEP!AA32</f>
        <v>804173.336175523</v>
      </c>
      <c r="F34" s="177"/>
      <c r="G34" s="141"/>
      <c r="H34" s="141"/>
      <c r="I34" s="141"/>
      <c r="J34" s="141"/>
      <c r="K34" s="141"/>
      <c r="L34" s="141"/>
      <c r="M34" s="141"/>
      <c r="N34" s="141"/>
      <c r="O34" s="141"/>
      <c r="P34" s="141"/>
      <c r="Q34" s="178"/>
      <c r="R34" s="174"/>
      <c r="S34" s="141"/>
      <c r="T34" s="141"/>
      <c r="U34" s="141"/>
      <c r="V34" s="141"/>
      <c r="W34" s="141"/>
      <c r="X34" s="141"/>
      <c r="Y34" s="141"/>
      <c r="Z34" s="141"/>
      <c r="AA34" s="141"/>
      <c r="AB34" s="141"/>
      <c r="AC34" s="178"/>
      <c r="AD34" s="177"/>
      <c r="AE34" s="141"/>
      <c r="AF34" s="141"/>
      <c r="AG34" s="141"/>
      <c r="AH34" s="141"/>
      <c r="AI34" s="141"/>
      <c r="AJ34" s="141"/>
      <c r="AK34" s="141"/>
      <c r="AL34" s="141"/>
      <c r="AM34" s="141"/>
      <c r="AN34" s="141"/>
      <c r="AO34" s="178"/>
      <c r="AP34" s="239"/>
      <c r="AQ34" s="204"/>
      <c r="AR34" s="204"/>
      <c r="AS34" s="204"/>
      <c r="AT34" s="204"/>
      <c r="AU34" s="204"/>
      <c r="AV34" s="204"/>
      <c r="AW34" s="204"/>
      <c r="AX34" s="206"/>
      <c r="AY34" s="206"/>
      <c r="AZ34" s="206"/>
      <c r="BA34" s="230"/>
      <c r="BB34" s="232"/>
      <c r="BC34" s="206"/>
      <c r="BD34" s="206"/>
      <c r="BE34" s="206"/>
      <c r="BF34" s="206"/>
      <c r="BG34" s="206"/>
      <c r="BH34" s="206"/>
      <c r="BI34" s="206"/>
      <c r="BJ34" s="141"/>
      <c r="BK34" s="141"/>
      <c r="BL34" s="141"/>
      <c r="BM34" s="178"/>
    </row>
    <row r="35" spans="1:65" ht="27.6">
      <c r="A35" s="191" t="s">
        <v>42</v>
      </c>
      <c r="B35" s="191"/>
      <c r="C35" s="177"/>
      <c r="D35" s="177">
        <f>+PEP!Y33</f>
        <v>11131134.902784901</v>
      </c>
      <c r="E35" s="177">
        <f>+PEP!AA33</f>
        <v>13574554.759493783</v>
      </c>
      <c r="F35" s="177"/>
      <c r="G35" s="141"/>
      <c r="H35" s="141"/>
      <c r="I35" s="141"/>
      <c r="J35" s="141"/>
      <c r="K35" s="141"/>
      <c r="L35" s="141"/>
      <c r="M35" s="141"/>
      <c r="N35" s="141"/>
      <c r="O35" s="141"/>
      <c r="P35" s="141"/>
      <c r="Q35" s="178"/>
      <c r="R35" s="174"/>
      <c r="S35" s="141"/>
      <c r="T35" s="141"/>
      <c r="U35" s="141"/>
      <c r="V35" s="141"/>
      <c r="W35" s="141"/>
      <c r="X35" s="141"/>
      <c r="Y35" s="141"/>
      <c r="Z35" s="141"/>
      <c r="AA35" s="141"/>
      <c r="AB35" s="141"/>
      <c r="AC35" s="178"/>
      <c r="AD35" s="177"/>
      <c r="AE35" s="141"/>
      <c r="AF35" s="141"/>
      <c r="AG35" s="141"/>
      <c r="AH35" s="141"/>
      <c r="AI35" s="141"/>
      <c r="AJ35" s="141"/>
      <c r="AK35" s="141"/>
      <c r="AL35" s="141"/>
      <c r="AM35" s="141"/>
      <c r="AN35" s="141"/>
      <c r="AO35" s="178"/>
      <c r="AP35" s="239"/>
      <c r="AQ35" s="204"/>
      <c r="AR35" s="204"/>
      <c r="AS35" s="204"/>
      <c r="AT35" s="204"/>
      <c r="AU35" s="204"/>
      <c r="AV35" s="204"/>
      <c r="AW35" s="204"/>
      <c r="AX35" s="206"/>
      <c r="AY35" s="206"/>
      <c r="AZ35" s="206"/>
      <c r="BA35" s="230"/>
      <c r="BB35" s="232"/>
      <c r="BC35" s="206"/>
      <c r="BD35" s="206"/>
      <c r="BE35" s="206"/>
      <c r="BF35" s="206"/>
      <c r="BG35" s="206"/>
      <c r="BH35" s="206"/>
      <c r="BI35" s="206"/>
      <c r="BJ35" s="141"/>
      <c r="BK35" s="141"/>
      <c r="BL35" s="141"/>
      <c r="BM35" s="178"/>
    </row>
    <row r="36" spans="1:65" ht="27.6">
      <c r="A36" s="191" t="s">
        <v>43</v>
      </c>
      <c r="B36" s="191"/>
      <c r="C36" s="177"/>
      <c r="D36" s="177">
        <f>+PEP!Y34</f>
        <v>2185602.4991621994</v>
      </c>
      <c r="E36" s="177">
        <f>+PEP!AA34</f>
        <v>2665368.9014173164</v>
      </c>
      <c r="F36" s="177"/>
      <c r="G36" s="141"/>
      <c r="H36" s="141"/>
      <c r="I36" s="141"/>
      <c r="J36" s="141"/>
      <c r="K36" s="141"/>
      <c r="L36" s="141"/>
      <c r="M36" s="141"/>
      <c r="N36" s="141"/>
      <c r="O36" s="141"/>
      <c r="P36" s="141"/>
      <c r="Q36" s="178"/>
      <c r="R36" s="174"/>
      <c r="S36" s="141"/>
      <c r="T36" s="141"/>
      <c r="U36" s="141"/>
      <c r="V36" s="141"/>
      <c r="W36" s="141"/>
      <c r="X36" s="141"/>
      <c r="Y36" s="141"/>
      <c r="Z36" s="141"/>
      <c r="AA36" s="141"/>
      <c r="AB36" s="141"/>
      <c r="AC36" s="178"/>
      <c r="AD36" s="177"/>
      <c r="AE36" s="141"/>
      <c r="AF36" s="141"/>
      <c r="AG36" s="141"/>
      <c r="AH36" s="141"/>
      <c r="AI36" s="141"/>
      <c r="AJ36" s="141"/>
      <c r="AK36" s="141"/>
      <c r="AL36" s="141"/>
      <c r="AM36" s="141"/>
      <c r="AN36" s="141"/>
      <c r="AO36" s="178"/>
      <c r="AP36" s="239"/>
      <c r="AQ36" s="204"/>
      <c r="AR36" s="204"/>
      <c r="AS36" s="204"/>
      <c r="AT36" s="204"/>
      <c r="AU36" s="204"/>
      <c r="AV36" s="204"/>
      <c r="AW36" s="204"/>
      <c r="AX36" s="206"/>
      <c r="AY36" s="206"/>
      <c r="AZ36" s="206"/>
      <c r="BA36" s="230"/>
      <c r="BB36" s="232"/>
      <c r="BC36" s="206"/>
      <c r="BD36" s="206"/>
      <c r="BE36" s="206"/>
      <c r="BF36" s="206"/>
      <c r="BG36" s="206"/>
      <c r="BH36" s="206"/>
      <c r="BI36" s="206"/>
      <c r="BJ36" s="141"/>
      <c r="BK36" s="141"/>
      <c r="BL36" s="141"/>
      <c r="BM36" s="178"/>
    </row>
    <row r="37" spans="1:65" ht="27.6">
      <c r="A37" s="192" t="s">
        <v>44</v>
      </c>
      <c r="B37" s="192"/>
      <c r="C37" s="177"/>
      <c r="D37" s="177">
        <f>+PEP!Y35</f>
        <v>247350.25285802997</v>
      </c>
      <c r="E37" s="177">
        <f>+PEP!AA35</f>
        <v>301646.64982686582</v>
      </c>
      <c r="F37" s="177"/>
      <c r="G37" s="141"/>
      <c r="H37" s="141"/>
      <c r="I37" s="141"/>
      <c r="J37" s="141"/>
      <c r="K37" s="141"/>
      <c r="L37" s="141"/>
      <c r="M37" s="141"/>
      <c r="N37" s="141"/>
      <c r="O37" s="141"/>
      <c r="P37" s="141"/>
      <c r="Q37" s="178"/>
      <c r="R37" s="174"/>
      <c r="S37" s="141"/>
      <c r="T37" s="141"/>
      <c r="U37" s="141"/>
      <c r="V37" s="141"/>
      <c r="W37" s="141"/>
      <c r="X37" s="141"/>
      <c r="Y37" s="141"/>
      <c r="Z37" s="141"/>
      <c r="AA37" s="141"/>
      <c r="AB37" s="141"/>
      <c r="AC37" s="178"/>
      <c r="AD37" s="177"/>
      <c r="AE37" s="141"/>
      <c r="AF37" s="141"/>
      <c r="AG37" s="141"/>
      <c r="AH37" s="141"/>
      <c r="AI37" s="141"/>
      <c r="AJ37" s="141"/>
      <c r="AK37" s="141"/>
      <c r="AL37" s="141"/>
      <c r="AM37" s="141"/>
      <c r="AN37" s="141"/>
      <c r="AO37" s="178"/>
      <c r="AP37" s="239"/>
      <c r="AQ37" s="204"/>
      <c r="AR37" s="204"/>
      <c r="AS37" s="204"/>
      <c r="AT37" s="204"/>
      <c r="AU37" s="204"/>
      <c r="AV37" s="204"/>
      <c r="AW37" s="204"/>
      <c r="AX37" s="206"/>
      <c r="AY37" s="206"/>
      <c r="AZ37" s="206"/>
      <c r="BA37" s="230"/>
      <c r="BB37" s="232"/>
      <c r="BC37" s="206"/>
      <c r="BD37" s="206"/>
      <c r="BE37" s="206"/>
      <c r="BF37" s="206"/>
      <c r="BG37" s="206"/>
      <c r="BH37" s="206"/>
      <c r="BI37" s="206"/>
      <c r="BJ37" s="141"/>
      <c r="BK37" s="141"/>
      <c r="BL37" s="141"/>
      <c r="BM37" s="178"/>
    </row>
    <row r="38" spans="1:65" ht="27.6">
      <c r="A38" s="192" t="s">
        <v>45</v>
      </c>
      <c r="B38" s="192"/>
      <c r="C38" s="177"/>
      <c r="D38" s="177">
        <f>+PEP!Y36</f>
        <v>1183212.7511638023</v>
      </c>
      <c r="E38" s="177">
        <f>+PEP!AA36</f>
        <v>1442942.3794680517</v>
      </c>
      <c r="F38" s="177"/>
      <c r="G38" s="141"/>
      <c r="H38" s="141"/>
      <c r="I38" s="141"/>
      <c r="J38" s="141"/>
      <c r="K38" s="141"/>
      <c r="L38" s="141"/>
      <c r="M38" s="141"/>
      <c r="N38" s="141"/>
      <c r="O38" s="141"/>
      <c r="P38" s="141"/>
      <c r="Q38" s="178"/>
      <c r="R38" s="174"/>
      <c r="S38" s="141"/>
      <c r="T38" s="141"/>
      <c r="U38" s="141"/>
      <c r="V38" s="141"/>
      <c r="W38" s="141"/>
      <c r="X38" s="141"/>
      <c r="Y38" s="141"/>
      <c r="Z38" s="141"/>
      <c r="AA38" s="141"/>
      <c r="AB38" s="141"/>
      <c r="AC38" s="178"/>
      <c r="AD38" s="177"/>
      <c r="AE38" s="141"/>
      <c r="AF38" s="141"/>
      <c r="AG38" s="141"/>
      <c r="AH38" s="141"/>
      <c r="AI38" s="141"/>
      <c r="AJ38" s="141"/>
      <c r="AK38" s="141"/>
      <c r="AL38" s="141"/>
      <c r="AM38" s="141"/>
      <c r="AN38" s="141"/>
      <c r="AO38" s="178"/>
      <c r="AP38" s="239"/>
      <c r="AQ38" s="204"/>
      <c r="AR38" s="204"/>
      <c r="AS38" s="204"/>
      <c r="AT38" s="204"/>
      <c r="AU38" s="204"/>
      <c r="AV38" s="204"/>
      <c r="AW38" s="204"/>
      <c r="AX38" s="206"/>
      <c r="AY38" s="206"/>
      <c r="AZ38" s="206"/>
      <c r="BA38" s="230"/>
      <c r="BB38" s="232"/>
      <c r="BC38" s="206"/>
      <c r="BD38" s="206"/>
      <c r="BE38" s="206"/>
      <c r="BF38" s="206"/>
      <c r="BG38" s="206"/>
      <c r="BH38" s="206"/>
      <c r="BI38" s="206"/>
      <c r="BJ38" s="141"/>
      <c r="BK38" s="141"/>
      <c r="BL38" s="141"/>
      <c r="BM38" s="178"/>
    </row>
    <row r="39" spans="1:65" ht="27.6">
      <c r="A39" s="191" t="s">
        <v>46</v>
      </c>
      <c r="B39" s="191"/>
      <c r="C39" s="177"/>
      <c r="D39" s="177">
        <f>+PEP!Y37</f>
        <v>432140</v>
      </c>
      <c r="E39" s="177">
        <f>+PEP!AA37</f>
        <v>527000</v>
      </c>
      <c r="F39" s="177"/>
      <c r="G39" s="141"/>
      <c r="H39" s="141"/>
      <c r="I39" s="141"/>
      <c r="J39" s="141"/>
      <c r="K39" s="141"/>
      <c r="L39" s="141"/>
      <c r="M39" s="141"/>
      <c r="N39" s="141"/>
      <c r="O39" s="141"/>
      <c r="P39" s="141"/>
      <c r="Q39" s="178"/>
      <c r="R39" s="174"/>
      <c r="S39" s="141"/>
      <c r="T39" s="141"/>
      <c r="U39" s="141"/>
      <c r="V39" s="141"/>
      <c r="W39" s="141"/>
      <c r="X39" s="141"/>
      <c r="Y39" s="141"/>
      <c r="Z39" s="141"/>
      <c r="AA39" s="141"/>
      <c r="AB39" s="141"/>
      <c r="AC39" s="178"/>
      <c r="AD39" s="177"/>
      <c r="AE39" s="141"/>
      <c r="AF39" s="141"/>
      <c r="AG39" s="141"/>
      <c r="AH39" s="141"/>
      <c r="AI39" s="141"/>
      <c r="AJ39" s="141"/>
      <c r="AK39" s="141"/>
      <c r="AL39" s="141"/>
      <c r="AM39" s="141"/>
      <c r="AN39" s="141"/>
      <c r="AO39" s="251"/>
      <c r="AP39" s="239"/>
      <c r="AQ39" s="204"/>
      <c r="AR39" s="204"/>
      <c r="AS39" s="204"/>
      <c r="AT39" s="204"/>
      <c r="AU39" s="206"/>
      <c r="AV39" s="206"/>
      <c r="AW39" s="206"/>
      <c r="AX39" s="206"/>
      <c r="AY39" s="206"/>
      <c r="AZ39" s="206"/>
      <c r="BA39" s="230"/>
      <c r="BB39" s="177"/>
      <c r="BC39" s="141"/>
      <c r="BD39" s="141"/>
      <c r="BE39" s="141"/>
      <c r="BF39" s="141"/>
      <c r="BG39" s="141"/>
      <c r="BH39" s="141"/>
      <c r="BI39" s="141"/>
      <c r="BJ39" s="141"/>
      <c r="BK39" s="141"/>
      <c r="BL39" s="141"/>
      <c r="BM39" s="178"/>
    </row>
    <row r="40" spans="1:65">
      <c r="A40" s="191" t="s">
        <v>47</v>
      </c>
      <c r="B40" s="191"/>
      <c r="C40" s="177"/>
      <c r="D40" s="177">
        <f>+PEP!Y38</f>
        <v>707660</v>
      </c>
      <c r="E40" s="177">
        <f>+PEP!AA38</f>
        <v>863000</v>
      </c>
      <c r="F40" s="177"/>
      <c r="G40" s="141"/>
      <c r="H40" s="141"/>
      <c r="I40" s="141"/>
      <c r="J40" s="141"/>
      <c r="K40" s="141"/>
      <c r="L40" s="141"/>
      <c r="M40" s="141"/>
      <c r="N40" s="141"/>
      <c r="O40" s="141"/>
      <c r="P40" s="141"/>
      <c r="Q40" s="178"/>
      <c r="R40" s="174"/>
      <c r="S40" s="141"/>
      <c r="T40" s="141"/>
      <c r="U40" s="141"/>
      <c r="V40" s="141"/>
      <c r="W40" s="141"/>
      <c r="X40" s="141"/>
      <c r="Y40" s="141"/>
      <c r="Z40" s="141"/>
      <c r="AA40" s="141"/>
      <c r="AB40" s="141"/>
      <c r="AC40" s="178"/>
      <c r="AD40" s="177"/>
      <c r="AE40" s="141"/>
      <c r="AF40" s="141"/>
      <c r="AG40" s="141"/>
      <c r="AH40" s="141"/>
      <c r="AI40" s="141"/>
      <c r="AJ40" s="141"/>
      <c r="AK40" s="141"/>
      <c r="AL40" s="141"/>
      <c r="AM40" s="141"/>
      <c r="AN40" s="141"/>
      <c r="AO40" s="178"/>
      <c r="AP40" s="177"/>
      <c r="AQ40" s="141"/>
      <c r="AR40" s="226"/>
      <c r="AS40" s="226"/>
      <c r="AT40" s="226"/>
      <c r="AU40" s="226"/>
      <c r="AV40" s="226"/>
      <c r="AW40" s="226"/>
      <c r="AX40" s="226"/>
      <c r="AY40" s="206"/>
      <c r="AZ40" s="206"/>
      <c r="BA40" s="230"/>
      <c r="BB40" s="232"/>
      <c r="BC40" s="206"/>
      <c r="BD40" s="206"/>
      <c r="BE40" s="206"/>
      <c r="BF40" s="206"/>
      <c r="BG40" s="206"/>
      <c r="BH40" s="141"/>
      <c r="BI40" s="141"/>
      <c r="BJ40" s="141"/>
      <c r="BK40" s="141"/>
      <c r="BL40" s="141"/>
      <c r="BM40" s="178"/>
    </row>
    <row r="41" spans="1:65" ht="26.25" customHeight="1">
      <c r="A41" s="191" t="s">
        <v>48</v>
      </c>
      <c r="B41" s="191"/>
      <c r="C41" s="177"/>
      <c r="D41" s="177">
        <f>+PEP!Y39</f>
        <v>3034000</v>
      </c>
      <c r="E41" s="177">
        <f>+PEP!AA39</f>
        <v>3700000</v>
      </c>
      <c r="F41" s="177"/>
      <c r="G41" s="141"/>
      <c r="H41" s="141"/>
      <c r="I41" s="141"/>
      <c r="J41" s="141"/>
      <c r="K41" s="141"/>
      <c r="L41" s="141"/>
      <c r="M41" s="141"/>
      <c r="N41" s="141"/>
      <c r="O41" s="141"/>
      <c r="P41" s="141"/>
      <c r="Q41" s="178"/>
      <c r="R41" s="174"/>
      <c r="S41" s="141"/>
      <c r="T41" s="141"/>
      <c r="U41" s="141"/>
      <c r="V41" s="228"/>
      <c r="W41" s="228"/>
      <c r="X41" s="228"/>
      <c r="Y41" s="228"/>
      <c r="Z41" s="228"/>
      <c r="AA41" s="228"/>
      <c r="AB41" s="228"/>
      <c r="AC41" s="229"/>
      <c r="AD41" s="232"/>
      <c r="AE41" s="206"/>
      <c r="AF41" s="206"/>
      <c r="AG41" s="206"/>
      <c r="AH41" s="206"/>
      <c r="AI41" s="206"/>
      <c r="AJ41" s="206"/>
      <c r="AK41" s="206"/>
      <c r="AL41" s="206"/>
      <c r="AM41" s="206"/>
      <c r="AN41" s="206"/>
      <c r="AO41" s="230"/>
      <c r="AP41" s="232"/>
      <c r="AQ41" s="206"/>
      <c r="AR41" s="206"/>
      <c r="AS41" s="206"/>
      <c r="AT41" s="206"/>
      <c r="AU41" s="206"/>
      <c r="AV41" s="206"/>
      <c r="AW41" s="206"/>
      <c r="AX41" s="206"/>
      <c r="AY41" s="206"/>
      <c r="AZ41" s="206"/>
      <c r="BA41" s="230"/>
      <c r="BB41" s="232"/>
      <c r="BC41" s="206"/>
      <c r="BD41" s="206"/>
      <c r="BE41" s="206"/>
      <c r="BF41" s="206"/>
      <c r="BG41" s="206"/>
      <c r="BH41" s="141"/>
      <c r="BI41" s="141"/>
      <c r="BJ41" s="141"/>
      <c r="BK41" s="141"/>
      <c r="BL41" s="141"/>
      <c r="BM41" s="178"/>
    </row>
    <row r="42" spans="1:65">
      <c r="A42" s="191" t="s">
        <v>49</v>
      </c>
      <c r="B42" s="191"/>
      <c r="C42" s="177"/>
      <c r="D42" s="177">
        <f>+PEP!Y40</f>
        <v>0</v>
      </c>
      <c r="E42" s="177">
        <f>+PEP!AA40</f>
        <v>0</v>
      </c>
      <c r="F42" s="177"/>
      <c r="G42" s="141"/>
      <c r="H42" s="141"/>
      <c r="I42" s="141"/>
      <c r="J42" s="141"/>
      <c r="K42" s="141"/>
      <c r="L42" s="141"/>
      <c r="M42" s="141"/>
      <c r="N42" s="141"/>
      <c r="O42" s="141"/>
      <c r="P42" s="141"/>
      <c r="Q42" s="178"/>
      <c r="R42" s="174"/>
      <c r="S42" s="141"/>
      <c r="T42" s="141"/>
      <c r="U42" s="141"/>
      <c r="V42" s="141"/>
      <c r="W42" s="141"/>
      <c r="X42" s="141"/>
      <c r="Y42" s="141"/>
      <c r="Z42" s="141"/>
      <c r="AA42" s="141"/>
      <c r="AB42" s="141"/>
      <c r="AC42" s="178"/>
      <c r="AD42" s="177"/>
      <c r="AE42" s="141"/>
      <c r="AF42" s="141"/>
      <c r="AG42" s="141"/>
      <c r="AH42" s="141"/>
      <c r="AI42" s="141"/>
      <c r="AJ42" s="141"/>
      <c r="AK42" s="141"/>
      <c r="AL42" s="141"/>
      <c r="AM42" s="141"/>
      <c r="AN42" s="141"/>
      <c r="AO42" s="178"/>
      <c r="AP42" s="177"/>
      <c r="AQ42" s="141"/>
      <c r="AR42" s="141"/>
      <c r="AS42" s="141"/>
      <c r="AT42" s="141"/>
      <c r="AU42" s="141"/>
      <c r="AV42" s="141"/>
      <c r="AW42" s="141"/>
      <c r="AX42" s="141"/>
      <c r="AY42" s="141"/>
      <c r="AZ42" s="141"/>
      <c r="BA42" s="178"/>
      <c r="BB42" s="177"/>
      <c r="BC42" s="141"/>
      <c r="BD42" s="141"/>
      <c r="BE42" s="141"/>
      <c r="BF42" s="141"/>
      <c r="BG42" s="141"/>
      <c r="BH42" s="141"/>
      <c r="BI42" s="141"/>
      <c r="BJ42" s="141"/>
      <c r="BK42" s="141"/>
      <c r="BL42" s="141"/>
      <c r="BM42" s="178"/>
    </row>
    <row r="43" spans="1:65">
      <c r="A43" s="191" t="s">
        <v>50</v>
      </c>
      <c r="B43" s="191"/>
      <c r="C43" s="177"/>
      <c r="D43" s="177">
        <f>+PEP!Y41</f>
        <v>0</v>
      </c>
      <c r="E43" s="177">
        <f>+PEP!AA41</f>
        <v>0</v>
      </c>
      <c r="F43" s="177"/>
      <c r="G43" s="141"/>
      <c r="H43" s="141"/>
      <c r="I43" s="141"/>
      <c r="J43" s="141"/>
      <c r="K43" s="141"/>
      <c r="L43" s="141"/>
      <c r="M43" s="141"/>
      <c r="N43" s="141"/>
      <c r="O43" s="141"/>
      <c r="P43" s="141"/>
      <c r="Q43" s="178"/>
      <c r="R43" s="174"/>
      <c r="S43" s="141"/>
      <c r="T43" s="141"/>
      <c r="U43" s="141"/>
      <c r="V43" s="141"/>
      <c r="W43" s="141"/>
      <c r="X43" s="141"/>
      <c r="Y43" s="141"/>
      <c r="Z43" s="141"/>
      <c r="AA43" s="141"/>
      <c r="AB43" s="141"/>
      <c r="AC43" s="178"/>
      <c r="AD43" s="177"/>
      <c r="AE43" s="141"/>
      <c r="AF43" s="141"/>
      <c r="AG43" s="141"/>
      <c r="AH43" s="141"/>
      <c r="AI43" s="141"/>
      <c r="AJ43" s="141"/>
      <c r="AK43" s="141"/>
      <c r="AL43" s="141"/>
      <c r="AM43" s="141"/>
      <c r="AN43" s="141"/>
      <c r="AO43" s="178"/>
      <c r="AP43" s="177"/>
      <c r="AQ43" s="141"/>
      <c r="AR43" s="141"/>
      <c r="AS43" s="141"/>
      <c r="AT43" s="141"/>
      <c r="AU43" s="141"/>
      <c r="AV43" s="141"/>
      <c r="AW43" s="141"/>
      <c r="AX43" s="141"/>
      <c r="AY43" s="141"/>
      <c r="AZ43" s="141"/>
      <c r="BA43" s="178"/>
      <c r="BB43" s="177"/>
      <c r="BC43" s="141"/>
      <c r="BD43" s="141"/>
      <c r="BE43" s="141"/>
      <c r="BF43" s="141"/>
      <c r="BG43" s="141"/>
      <c r="BH43" s="141"/>
      <c r="BI43" s="141"/>
      <c r="BJ43" s="141"/>
      <c r="BK43" s="141"/>
      <c r="BL43" s="141"/>
      <c r="BM43" s="178"/>
    </row>
    <row r="44" spans="1:65">
      <c r="A44" s="191" t="s">
        <v>51</v>
      </c>
      <c r="B44" s="191"/>
      <c r="C44" s="177"/>
      <c r="D44" s="177">
        <f>+PEP!Y42</f>
        <v>0</v>
      </c>
      <c r="E44" s="177">
        <f>+PEP!AA42</f>
        <v>0</v>
      </c>
      <c r="F44" s="177"/>
      <c r="G44" s="141"/>
      <c r="H44" s="141"/>
      <c r="I44" s="141"/>
      <c r="J44" s="141"/>
      <c r="K44" s="141"/>
      <c r="L44" s="141"/>
      <c r="M44" s="141"/>
      <c r="N44" s="141"/>
      <c r="O44" s="141"/>
      <c r="P44" s="141"/>
      <c r="Q44" s="178"/>
      <c r="R44" s="174"/>
      <c r="S44" s="141"/>
      <c r="T44" s="141"/>
      <c r="U44" s="141"/>
      <c r="V44" s="141"/>
      <c r="W44" s="141"/>
      <c r="X44" s="141"/>
      <c r="Y44" s="141"/>
      <c r="Z44" s="141"/>
      <c r="AA44" s="141"/>
      <c r="AB44" s="141"/>
      <c r="AC44" s="178"/>
      <c r="AD44" s="177"/>
      <c r="AE44" s="141"/>
      <c r="AF44" s="141"/>
      <c r="AG44" s="141"/>
      <c r="AH44" s="141"/>
      <c r="AI44" s="141"/>
      <c r="AJ44" s="141"/>
      <c r="AK44" s="141"/>
      <c r="AL44" s="141"/>
      <c r="AM44" s="141"/>
      <c r="AN44" s="141"/>
      <c r="AO44" s="178"/>
      <c r="AP44" s="177"/>
      <c r="AQ44" s="141"/>
      <c r="AR44" s="141"/>
      <c r="AS44" s="141"/>
      <c r="AT44" s="141"/>
      <c r="AU44" s="141"/>
      <c r="AV44" s="141"/>
      <c r="AW44" s="141"/>
      <c r="AX44" s="141"/>
      <c r="AY44" s="141"/>
      <c r="AZ44" s="141"/>
      <c r="BA44" s="178"/>
      <c r="BB44" s="177"/>
      <c r="BC44" s="141"/>
      <c r="BD44" s="141"/>
      <c r="BE44" s="141"/>
      <c r="BF44" s="141"/>
      <c r="BG44" s="141"/>
      <c r="BH44" s="141"/>
      <c r="BI44" s="141"/>
      <c r="BJ44" s="141"/>
      <c r="BK44" s="141"/>
      <c r="BL44" s="141"/>
      <c r="BM44" s="178"/>
    </row>
    <row r="45" spans="1:65">
      <c r="A45" s="191" t="s">
        <v>52</v>
      </c>
      <c r="B45" s="191"/>
      <c r="C45" s="177"/>
      <c r="D45" s="177">
        <f>+PEP!Y43</f>
        <v>24219414.762179103</v>
      </c>
      <c r="E45" s="177">
        <f>+PEP!AA43</f>
        <v>29535871.661194026</v>
      </c>
      <c r="F45" s="177"/>
      <c r="G45" s="141"/>
      <c r="H45" s="141"/>
      <c r="I45" s="141"/>
      <c r="J45" s="141"/>
      <c r="K45" s="141"/>
      <c r="L45" s="141"/>
      <c r="M45" s="141"/>
      <c r="N45" s="141"/>
      <c r="O45" s="141"/>
      <c r="P45" s="141"/>
      <c r="Q45" s="178"/>
      <c r="R45" s="174"/>
      <c r="S45" s="141"/>
      <c r="T45" s="141"/>
      <c r="U45" s="141"/>
      <c r="V45" s="141"/>
      <c r="W45" s="141"/>
      <c r="X45" s="141"/>
      <c r="Y45" s="141"/>
      <c r="Z45" s="141"/>
      <c r="AA45" s="141"/>
      <c r="AB45" s="141"/>
      <c r="AC45" s="178"/>
      <c r="AD45" s="177"/>
      <c r="AE45" s="177"/>
      <c r="AF45" s="228"/>
      <c r="AG45" s="228"/>
      <c r="AH45" s="228"/>
      <c r="AI45" s="228"/>
      <c r="AJ45" s="228"/>
      <c r="AK45" s="228"/>
      <c r="AL45" s="228"/>
      <c r="AM45" s="228"/>
      <c r="AN45" s="206"/>
      <c r="AO45" s="230"/>
      <c r="AP45" s="206"/>
      <c r="AQ45" s="206"/>
      <c r="AR45" s="206"/>
      <c r="AS45" s="206"/>
      <c r="AT45" s="206"/>
      <c r="AU45" s="206"/>
      <c r="AV45" s="206"/>
      <c r="AW45" s="206"/>
      <c r="AX45" s="206"/>
      <c r="AY45" s="206"/>
      <c r="AZ45" s="206"/>
      <c r="BA45" s="230"/>
      <c r="BB45" s="206"/>
      <c r="BC45" s="206"/>
      <c r="BD45" s="206"/>
      <c r="BE45" s="206"/>
      <c r="BF45" s="206"/>
      <c r="BG45" s="206"/>
      <c r="BH45" s="206"/>
      <c r="BI45" s="206"/>
      <c r="BJ45" s="206"/>
      <c r="BK45" s="206"/>
      <c r="BL45" s="141"/>
      <c r="BM45" s="178"/>
    </row>
    <row r="46" spans="1:65" s="123" customFormat="1" ht="24" customHeight="1">
      <c r="A46" s="193" t="s">
        <v>103</v>
      </c>
      <c r="B46" s="193"/>
      <c r="C46" s="193"/>
      <c r="D46" s="194">
        <f>+PEP!Y95</f>
        <v>1750000</v>
      </c>
      <c r="E46" s="194">
        <f>+PEP!AA95</f>
        <v>1750000</v>
      </c>
      <c r="F46" s="194"/>
      <c r="G46" s="195"/>
      <c r="H46" s="195"/>
      <c r="I46" s="195"/>
      <c r="J46" s="195"/>
      <c r="K46" s="195"/>
      <c r="L46" s="195"/>
      <c r="M46" s="195"/>
      <c r="N46" s="195"/>
      <c r="O46" s="195"/>
      <c r="P46" s="195"/>
      <c r="Q46" s="196"/>
      <c r="R46" s="197"/>
      <c r="S46" s="195"/>
      <c r="T46" s="195"/>
      <c r="U46" s="195"/>
      <c r="V46" s="195"/>
      <c r="W46" s="195"/>
      <c r="X46" s="195"/>
      <c r="Y46" s="195"/>
      <c r="Z46" s="195"/>
      <c r="AA46" s="195"/>
      <c r="AB46" s="195"/>
      <c r="AC46" s="196"/>
      <c r="AD46" s="194"/>
      <c r="AE46" s="195"/>
      <c r="AF46" s="195"/>
      <c r="AG46" s="195"/>
      <c r="AH46" s="195"/>
      <c r="AI46" s="195"/>
      <c r="AJ46" s="195"/>
      <c r="AK46" s="195"/>
      <c r="AL46" s="195"/>
      <c r="AM46" s="195"/>
      <c r="AN46" s="195"/>
      <c r="AO46" s="196"/>
      <c r="AP46" s="194"/>
      <c r="AQ46" s="195"/>
      <c r="AR46" s="195"/>
      <c r="AS46" s="195"/>
      <c r="AT46" s="195"/>
      <c r="AU46" s="195"/>
      <c r="AV46" s="195"/>
      <c r="AW46" s="195"/>
      <c r="AX46" s="195"/>
      <c r="AY46" s="195"/>
      <c r="AZ46" s="195"/>
      <c r="BA46" s="196"/>
      <c r="BB46" s="194"/>
      <c r="BC46" s="195"/>
      <c r="BD46" s="195"/>
      <c r="BE46" s="195"/>
      <c r="BF46" s="195"/>
      <c r="BG46" s="195"/>
      <c r="BH46" s="195"/>
      <c r="BI46" s="195"/>
      <c r="BJ46" s="195"/>
      <c r="BK46" s="195"/>
      <c r="BL46" s="195"/>
      <c r="BM46" s="196"/>
    </row>
    <row r="47" spans="1:65">
      <c r="A47" s="262" t="s">
        <v>104</v>
      </c>
      <c r="B47" s="282">
        <f>+C47</f>
        <v>50000</v>
      </c>
      <c r="C47" s="181">
        <f>+'Plan Adquisiciones (18 meses)'!F30</f>
        <v>50000</v>
      </c>
      <c r="D47" s="181">
        <f>+PEP!Y96</f>
        <v>250000</v>
      </c>
      <c r="E47" s="181">
        <f>+PEP!AA96</f>
        <v>250000</v>
      </c>
      <c r="F47" s="181"/>
      <c r="G47" s="69"/>
      <c r="H47" s="69"/>
      <c r="I47" s="69"/>
      <c r="J47" s="69"/>
      <c r="K47" s="204"/>
      <c r="L47" s="204"/>
      <c r="M47" s="204"/>
      <c r="N47" s="204"/>
      <c r="O47" s="207"/>
      <c r="P47" s="207"/>
      <c r="Q47" s="208"/>
      <c r="R47" s="176"/>
      <c r="S47" s="69"/>
      <c r="T47" s="69"/>
      <c r="U47" s="69"/>
      <c r="V47" s="69"/>
      <c r="W47" s="204"/>
      <c r="X47" s="204"/>
      <c r="Y47" s="204"/>
      <c r="Z47" s="204"/>
      <c r="AA47" s="207"/>
      <c r="AB47" s="207"/>
      <c r="AC47" s="208"/>
      <c r="AD47" s="181"/>
      <c r="AE47" s="69"/>
      <c r="AF47" s="69"/>
      <c r="AG47" s="69"/>
      <c r="AH47" s="69"/>
      <c r="AI47" s="204"/>
      <c r="AJ47" s="204"/>
      <c r="AK47" s="204"/>
      <c r="AL47" s="204"/>
      <c r="AM47" s="207"/>
      <c r="AN47" s="207"/>
      <c r="AO47" s="208"/>
      <c r="AP47" s="181"/>
      <c r="AQ47" s="69"/>
      <c r="AR47" s="69"/>
      <c r="AS47" s="69"/>
      <c r="AT47" s="69"/>
      <c r="AU47" s="204"/>
      <c r="AV47" s="204"/>
      <c r="AW47" s="204"/>
      <c r="AX47" s="204"/>
      <c r="AY47" s="207"/>
      <c r="AZ47" s="207"/>
      <c r="BA47" s="208"/>
      <c r="BB47" s="181"/>
      <c r="BC47" s="69"/>
      <c r="BD47" s="69"/>
      <c r="BE47" s="69"/>
      <c r="BF47" s="69"/>
      <c r="BG47" s="204"/>
      <c r="BH47" s="204"/>
      <c r="BI47" s="204"/>
      <c r="BJ47" s="204"/>
      <c r="BK47" s="207"/>
      <c r="BL47" s="207"/>
      <c r="BM47" s="208"/>
    </row>
    <row r="48" spans="1:65">
      <c r="A48" s="262" t="s">
        <v>105</v>
      </c>
      <c r="B48" s="282">
        <f t="shared" ref="B48:B50" si="3">+C48</f>
        <v>100000</v>
      </c>
      <c r="C48" s="181">
        <f>+'Plan Adquisiciones (18 meses)'!F31</f>
        <v>100000</v>
      </c>
      <c r="D48" s="181">
        <f>+PEP!Y97</f>
        <v>100000</v>
      </c>
      <c r="E48" s="181">
        <f>+PEP!AA97</f>
        <v>100000</v>
      </c>
      <c r="F48" s="181"/>
      <c r="G48" s="69"/>
      <c r="H48" s="69"/>
      <c r="I48" s="69"/>
      <c r="J48" s="204"/>
      <c r="K48" s="204"/>
      <c r="L48" s="204"/>
      <c r="M48" s="204"/>
      <c r="N48" s="207"/>
      <c r="O48" s="207"/>
      <c r="P48" s="207"/>
      <c r="Q48" s="208"/>
      <c r="R48" s="176"/>
      <c r="S48" s="69"/>
      <c r="T48" s="69"/>
      <c r="U48" s="69"/>
      <c r="V48" s="69"/>
      <c r="W48" s="69"/>
      <c r="X48" s="69"/>
      <c r="Y48" s="69"/>
      <c r="Z48" s="69"/>
      <c r="AA48" s="69"/>
      <c r="AB48" s="69"/>
      <c r="AC48" s="182"/>
      <c r="AD48" s="181"/>
      <c r="AE48" s="69"/>
      <c r="AF48" s="69"/>
      <c r="AG48" s="69"/>
      <c r="AH48" s="69"/>
      <c r="AI48" s="69"/>
      <c r="AJ48" s="69"/>
      <c r="AK48" s="69"/>
      <c r="AL48" s="69"/>
      <c r="AM48" s="69"/>
      <c r="AN48" s="69"/>
      <c r="AO48" s="182"/>
      <c r="AP48" s="181"/>
      <c r="AQ48" s="69"/>
      <c r="AR48" s="69"/>
      <c r="AS48" s="69"/>
      <c r="AT48" s="69"/>
      <c r="AU48" s="69"/>
      <c r="AV48" s="69"/>
      <c r="AW48" s="69"/>
      <c r="AX48" s="69"/>
      <c r="AY48" s="69"/>
      <c r="AZ48" s="69"/>
      <c r="BA48" s="182"/>
      <c r="BB48" s="181"/>
      <c r="BC48" s="69"/>
      <c r="BD48" s="69"/>
      <c r="BE48" s="69"/>
      <c r="BF48" s="69"/>
      <c r="BG48" s="69"/>
      <c r="BH48" s="69"/>
      <c r="BI48" s="69"/>
      <c r="BJ48" s="69"/>
      <c r="BK48" s="69"/>
      <c r="BL48" s="69"/>
      <c r="BM48" s="182"/>
    </row>
    <row r="49" spans="1:65">
      <c r="A49" s="262" t="s">
        <v>106</v>
      </c>
      <c r="B49" s="282">
        <f t="shared" si="3"/>
        <v>500000</v>
      </c>
      <c r="C49" s="181">
        <f>+'Plan Adquisiciones (18 meses)'!F32</f>
        <v>500000</v>
      </c>
      <c r="D49" s="181">
        <f>+PEP!Y98</f>
        <v>1000000</v>
      </c>
      <c r="E49" s="181">
        <f>+PEP!AA98</f>
        <v>1000000</v>
      </c>
      <c r="F49" s="181"/>
      <c r="G49" s="69"/>
      <c r="H49" s="69"/>
      <c r="I49" s="69"/>
      <c r="J49" s="204"/>
      <c r="K49" s="204"/>
      <c r="L49" s="204"/>
      <c r="M49" s="204"/>
      <c r="N49" s="207"/>
      <c r="O49" s="207"/>
      <c r="P49" s="207"/>
      <c r="Q49" s="182"/>
      <c r="R49" s="176"/>
      <c r="S49" s="69"/>
      <c r="T49" s="69"/>
      <c r="U49" s="69"/>
      <c r="V49" s="69"/>
      <c r="W49" s="69"/>
      <c r="X49" s="69"/>
      <c r="Y49" s="69"/>
      <c r="Z49" s="69"/>
      <c r="AA49" s="69"/>
      <c r="AB49" s="69"/>
      <c r="AC49" s="182"/>
      <c r="AD49" s="181"/>
      <c r="AE49" s="69"/>
      <c r="AF49" s="69"/>
      <c r="AG49" s="69"/>
      <c r="AH49" s="69"/>
      <c r="AI49" s="69"/>
      <c r="AJ49" s="69"/>
      <c r="AK49" s="69"/>
      <c r="AL49" s="69"/>
      <c r="AM49" s="69"/>
      <c r="AN49" s="69"/>
      <c r="AO49" s="182"/>
      <c r="AP49" s="181"/>
      <c r="AQ49" s="69"/>
      <c r="AR49" s="69"/>
      <c r="AS49" s="69"/>
      <c r="AT49" s="69"/>
      <c r="AU49" s="69"/>
      <c r="AV49" s="69"/>
      <c r="AW49" s="69"/>
      <c r="AX49" s="69"/>
      <c r="AY49" s="69"/>
      <c r="AZ49" s="69"/>
      <c r="BA49" s="182"/>
      <c r="BB49" s="181"/>
      <c r="BC49" s="209"/>
      <c r="BD49" s="209"/>
      <c r="BE49" s="204"/>
      <c r="BF49" s="204"/>
      <c r="BG49" s="204"/>
      <c r="BH49" s="205"/>
      <c r="BI49" s="207"/>
      <c r="BJ49" s="207"/>
      <c r="BK49" s="69"/>
      <c r="BL49" s="69"/>
      <c r="BM49" s="182"/>
    </row>
    <row r="50" spans="1:65">
      <c r="A50" s="262" t="s">
        <v>169</v>
      </c>
      <c r="B50" s="282">
        <f t="shared" si="3"/>
        <v>150000</v>
      </c>
      <c r="C50" s="181">
        <f>+'Plan Adquisiciones (18 meses)'!F33</f>
        <v>150000</v>
      </c>
      <c r="D50" s="181">
        <f>+PEP!Y99</f>
        <v>150000</v>
      </c>
      <c r="E50" s="181">
        <f>+PEP!AA99</f>
        <v>150000</v>
      </c>
      <c r="F50" s="181"/>
      <c r="G50" s="69"/>
      <c r="H50" s="69"/>
      <c r="I50" s="69"/>
      <c r="J50" s="69"/>
      <c r="K50" s="69"/>
      <c r="L50" s="204"/>
      <c r="M50" s="204"/>
      <c r="N50" s="204"/>
      <c r="O50" s="204"/>
      <c r="P50" s="207"/>
      <c r="Q50" s="208"/>
      <c r="R50" s="176"/>
      <c r="S50" s="69"/>
      <c r="T50" s="69"/>
      <c r="U50" s="69"/>
      <c r="V50" s="69"/>
      <c r="W50" s="69"/>
      <c r="X50" s="69"/>
      <c r="Y50" s="69"/>
      <c r="Z50" s="69"/>
      <c r="AA50" s="69"/>
      <c r="AB50" s="69"/>
      <c r="AC50" s="182"/>
      <c r="AD50" s="181"/>
      <c r="AE50" s="69"/>
      <c r="AF50" s="69"/>
      <c r="AG50" s="69"/>
      <c r="AH50" s="69"/>
      <c r="AI50" s="69"/>
      <c r="AJ50" s="69"/>
      <c r="AK50" s="69"/>
      <c r="AL50" s="69"/>
      <c r="AM50" s="69"/>
      <c r="AN50" s="69"/>
      <c r="AO50" s="182"/>
      <c r="AP50" s="181"/>
      <c r="AQ50" s="69"/>
      <c r="AR50" s="69"/>
      <c r="AS50" s="69"/>
      <c r="AT50" s="69"/>
      <c r="AU50" s="69"/>
      <c r="AV50" s="69"/>
      <c r="AW50" s="69"/>
      <c r="AX50" s="69"/>
      <c r="AY50" s="69"/>
      <c r="AZ50" s="69"/>
      <c r="BA50" s="182"/>
      <c r="BB50" s="181"/>
      <c r="BC50" s="69"/>
      <c r="BD50" s="69"/>
      <c r="BE50" s="69"/>
      <c r="BF50" s="69"/>
      <c r="BG50" s="69"/>
      <c r="BH50" s="69"/>
      <c r="BI50" s="69"/>
      <c r="BJ50" s="69"/>
      <c r="BK50" s="69"/>
      <c r="BL50" s="69"/>
      <c r="BM50" s="182"/>
    </row>
    <row r="51" spans="1:65" ht="16.149999999999999" thickBot="1">
      <c r="A51" s="269" t="s">
        <v>108</v>
      </c>
      <c r="B51" s="281"/>
      <c r="C51" s="181"/>
      <c r="D51" s="246">
        <f>+PEP!Y100</f>
        <v>250000</v>
      </c>
      <c r="E51" s="246">
        <f>+PEP!AA100</f>
        <v>250000</v>
      </c>
      <c r="F51" s="246"/>
      <c r="G51" s="247"/>
      <c r="H51" s="247"/>
      <c r="I51" s="247"/>
      <c r="J51" s="247"/>
      <c r="K51" s="247"/>
      <c r="L51" s="247"/>
      <c r="M51" s="247"/>
      <c r="N51" s="247"/>
      <c r="O51" s="247"/>
      <c r="P51" s="247"/>
      <c r="Q51" s="248"/>
      <c r="R51" s="270"/>
      <c r="S51" s="241"/>
      <c r="T51" s="241"/>
      <c r="U51" s="241"/>
      <c r="V51" s="241"/>
      <c r="W51" s="241"/>
      <c r="X51" s="241"/>
      <c r="Y51" s="241"/>
      <c r="Z51" s="241"/>
      <c r="AA51" s="241"/>
      <c r="AB51" s="241"/>
      <c r="AC51" s="252"/>
      <c r="AD51" s="240"/>
      <c r="AE51" s="241"/>
      <c r="AF51" s="241"/>
      <c r="AG51" s="241"/>
      <c r="AH51" s="241"/>
      <c r="AI51" s="241"/>
      <c r="AJ51" s="241"/>
      <c r="AK51" s="241"/>
      <c r="AL51" s="241"/>
      <c r="AM51" s="241"/>
      <c r="AN51" s="241"/>
      <c r="AO51" s="252"/>
      <c r="AP51" s="181"/>
      <c r="AQ51" s="69"/>
      <c r="AR51" s="69"/>
      <c r="AS51" s="69"/>
      <c r="AT51" s="69"/>
      <c r="AU51" s="69"/>
      <c r="AV51" s="69"/>
      <c r="AW51" s="69"/>
      <c r="AX51" s="69"/>
      <c r="AY51" s="69"/>
      <c r="AZ51" s="69"/>
      <c r="BA51" s="182"/>
      <c r="BB51" s="240"/>
      <c r="BC51" s="241"/>
      <c r="BD51" s="241"/>
      <c r="BE51" s="241"/>
      <c r="BF51" s="242"/>
      <c r="BG51" s="243"/>
      <c r="BH51" s="243"/>
      <c r="BI51" s="243"/>
      <c r="BJ51" s="243"/>
      <c r="BK51" s="244"/>
      <c r="BL51" s="244"/>
      <c r="BM51" s="245"/>
    </row>
    <row r="52" spans="1:65" ht="18.600000000000001" thickBot="1">
      <c r="A52" s="203" t="s">
        <v>322</v>
      </c>
      <c r="B52" s="198">
        <f>+SUM(B12:B51)</f>
        <v>3577351.8712189603</v>
      </c>
      <c r="C52" s="198">
        <f>+SUM(C12:C51)</f>
        <v>4187014.4770962931</v>
      </c>
      <c r="D52" s="198">
        <f>+D46+D30+D21+D12</f>
        <v>117451706.2686567</v>
      </c>
      <c r="E52" s="198">
        <f>+E46+E30+E21+E12</f>
        <v>142849641.79104477</v>
      </c>
      <c r="F52" s="183"/>
      <c r="G52" s="184"/>
      <c r="H52" s="184"/>
      <c r="I52" s="184"/>
      <c r="J52" s="184"/>
      <c r="K52" s="184"/>
      <c r="L52" s="184"/>
      <c r="M52" s="184"/>
      <c r="N52" s="184"/>
      <c r="O52" s="184"/>
      <c r="P52" s="184"/>
      <c r="Q52" s="185"/>
      <c r="R52" s="199"/>
      <c r="S52" s="200"/>
      <c r="T52" s="200"/>
      <c r="U52" s="200"/>
      <c r="V52" s="200"/>
      <c r="W52" s="200"/>
      <c r="X52" s="200"/>
      <c r="Y52" s="200"/>
      <c r="Z52" s="200"/>
      <c r="AA52" s="200"/>
      <c r="AB52" s="200"/>
      <c r="AC52" s="201"/>
      <c r="AD52" s="202"/>
      <c r="AE52" s="200"/>
      <c r="AF52" s="200"/>
      <c r="AG52" s="200"/>
      <c r="AH52" s="200"/>
      <c r="AI52" s="200"/>
      <c r="AJ52" s="200"/>
      <c r="AK52" s="200"/>
      <c r="AL52" s="200"/>
      <c r="AM52" s="200"/>
      <c r="AN52" s="200"/>
      <c r="AO52" s="200"/>
      <c r="AP52" s="199"/>
      <c r="AQ52" s="200"/>
      <c r="AR52" s="200"/>
      <c r="AS52" s="200"/>
      <c r="AT52" s="200"/>
      <c r="AU52" s="200"/>
      <c r="AV52" s="200"/>
      <c r="AW52" s="200"/>
      <c r="AX52" s="200"/>
      <c r="AY52" s="200"/>
      <c r="AZ52" s="200"/>
      <c r="BA52" s="201"/>
      <c r="BB52" s="202"/>
      <c r="BC52" s="200"/>
      <c r="BD52" s="200"/>
      <c r="BE52" s="200"/>
      <c r="BF52" s="200"/>
      <c r="BG52" s="200"/>
      <c r="BH52" s="200"/>
      <c r="BI52" s="200"/>
      <c r="BJ52" s="200"/>
      <c r="BK52" s="200"/>
      <c r="BL52" s="200"/>
      <c r="BM52" s="201"/>
    </row>
    <row r="53" spans="1:65">
      <c r="D53" s="271"/>
    </row>
    <row r="54" spans="1:65">
      <c r="D54" s="272"/>
    </row>
  </sheetData>
  <mergeCells count="14">
    <mergeCell ref="BB9:BM10"/>
    <mergeCell ref="D9:D11"/>
    <mergeCell ref="A6:D7"/>
    <mergeCell ref="C9:C11"/>
    <mergeCell ref="A2:BM2"/>
    <mergeCell ref="A3:BM3"/>
    <mergeCell ref="A4:BM4"/>
    <mergeCell ref="A9:A11"/>
    <mergeCell ref="E9:E11"/>
    <mergeCell ref="F9:Q10"/>
    <mergeCell ref="R9:AC10"/>
    <mergeCell ref="AD9:AO10"/>
    <mergeCell ref="AP9:BA10"/>
    <mergeCell ref="B9:B1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90B418-052F-44B3-949A-C1A813F405FC}">
  <dimension ref="A2:I12"/>
  <sheetViews>
    <sheetView workbookViewId="0" xr3:uid="{CC55866E-0C99-50ED-A874-405924644F45}">
      <selection activeCell="A9" sqref="A9"/>
    </sheetView>
  </sheetViews>
  <sheetFormatPr defaultColWidth="11.25" defaultRowHeight="15.6"/>
  <cols>
    <col min="1" max="1" width="28.875" customWidth="1"/>
    <col min="2" max="3" width="11" customWidth="1"/>
  </cols>
  <sheetData>
    <row r="2" spans="1:9">
      <c r="A2" s="295" t="s">
        <v>323</v>
      </c>
      <c r="B2" s="295"/>
      <c r="C2" s="295"/>
      <c r="D2" s="295"/>
      <c r="E2" s="295"/>
      <c r="F2" s="295"/>
      <c r="G2" s="295"/>
      <c r="H2" s="295"/>
      <c r="I2" s="295"/>
    </row>
    <row r="3" spans="1:9">
      <c r="A3" s="295" t="s">
        <v>1</v>
      </c>
      <c r="B3" s="295"/>
      <c r="C3" s="295"/>
      <c r="D3" s="295"/>
      <c r="E3" s="295"/>
      <c r="F3" s="295"/>
      <c r="G3" s="295"/>
      <c r="H3" s="295"/>
      <c r="I3" s="295"/>
    </row>
    <row r="5" spans="1:9">
      <c r="A5" s="338" t="s">
        <v>103</v>
      </c>
      <c r="B5" s="299" t="s">
        <v>6</v>
      </c>
      <c r="C5" s="300" t="s">
        <v>7</v>
      </c>
      <c r="D5" s="300" t="s">
        <v>11</v>
      </c>
      <c r="E5" s="300" t="s">
        <v>12</v>
      </c>
      <c r="F5" s="300" t="s">
        <v>13</v>
      </c>
      <c r="G5" s="300" t="s">
        <v>14</v>
      </c>
      <c r="H5" s="300" t="s">
        <v>15</v>
      </c>
      <c r="I5" s="300" t="s">
        <v>10</v>
      </c>
    </row>
    <row r="6" spans="1:9">
      <c r="A6" s="338"/>
      <c r="B6" s="299"/>
      <c r="C6" s="300"/>
      <c r="D6" s="300"/>
      <c r="E6" s="300"/>
      <c r="F6" s="300"/>
      <c r="G6" s="300"/>
      <c r="H6" s="300"/>
      <c r="I6" s="300"/>
    </row>
    <row r="7" spans="1:9">
      <c r="A7" s="73" t="s">
        <v>104</v>
      </c>
      <c r="B7" s="67">
        <v>5</v>
      </c>
      <c r="C7" s="69">
        <v>50000</v>
      </c>
      <c r="D7" s="69">
        <f>+C7</f>
        <v>50000</v>
      </c>
      <c r="E7" s="69">
        <f>+C7</f>
        <v>50000</v>
      </c>
      <c r="F7" s="69">
        <f>+C7</f>
        <v>50000</v>
      </c>
      <c r="G7" s="69">
        <f>+C7</f>
        <v>50000</v>
      </c>
      <c r="H7" s="69">
        <f>+C7</f>
        <v>50000</v>
      </c>
      <c r="I7" s="69">
        <f>+SUM(D7:H7)</f>
        <v>250000</v>
      </c>
    </row>
    <row r="8" spans="1:9">
      <c r="A8" s="73" t="s">
        <v>105</v>
      </c>
      <c r="B8" s="67">
        <v>1</v>
      </c>
      <c r="C8" s="69">
        <v>100000</v>
      </c>
      <c r="D8" s="69">
        <f>+C8</f>
        <v>100000</v>
      </c>
      <c r="E8" s="69"/>
      <c r="F8" s="69"/>
      <c r="G8" s="69"/>
      <c r="H8" s="69"/>
      <c r="I8" s="69">
        <f>+SUM(D8:H8)</f>
        <v>100000</v>
      </c>
    </row>
    <row r="9" spans="1:9">
      <c r="A9" s="73" t="s">
        <v>106</v>
      </c>
      <c r="B9" s="67">
        <v>2</v>
      </c>
      <c r="C9" s="69">
        <v>500000</v>
      </c>
      <c r="D9" s="69">
        <f>+C9</f>
        <v>500000</v>
      </c>
      <c r="E9" s="69"/>
      <c r="F9" s="69"/>
      <c r="G9" s="69"/>
      <c r="H9" s="69">
        <f>+C9</f>
        <v>500000</v>
      </c>
      <c r="I9" s="69">
        <f t="shared" ref="I9:I11" si="0">+SUM(D9:H9)</f>
        <v>1000000</v>
      </c>
    </row>
    <row r="10" spans="1:9">
      <c r="A10" s="73" t="s">
        <v>169</v>
      </c>
      <c r="B10" s="67">
        <v>1</v>
      </c>
      <c r="C10" s="69">
        <v>150000</v>
      </c>
      <c r="D10" s="69">
        <f>+C10</f>
        <v>150000</v>
      </c>
      <c r="E10" s="69"/>
      <c r="F10" s="69"/>
      <c r="G10" s="69"/>
      <c r="H10" s="69"/>
      <c r="I10" s="69">
        <f t="shared" si="0"/>
        <v>150000</v>
      </c>
    </row>
    <row r="11" spans="1:9">
      <c r="A11" s="73" t="s">
        <v>108</v>
      </c>
      <c r="B11" s="67">
        <v>1</v>
      </c>
      <c r="C11" s="69">
        <v>250000</v>
      </c>
      <c r="D11" s="69"/>
      <c r="E11" s="69"/>
      <c r="F11" s="69"/>
      <c r="G11" s="69"/>
      <c r="H11" s="69">
        <f>+C11</f>
        <v>250000</v>
      </c>
      <c r="I11" s="69">
        <f t="shared" si="0"/>
        <v>250000</v>
      </c>
    </row>
    <row r="12" spans="1:9">
      <c r="A12" s="83" t="s">
        <v>324</v>
      </c>
      <c r="B12" s="83"/>
      <c r="C12" s="83"/>
      <c r="D12" s="90">
        <f>+SUM(D7:D11)</f>
        <v>800000</v>
      </c>
      <c r="E12" s="90">
        <f t="shared" ref="E12:H12" si="1">+SUM(E7:E11)</f>
        <v>50000</v>
      </c>
      <c r="F12" s="90">
        <f t="shared" si="1"/>
        <v>50000</v>
      </c>
      <c r="G12" s="90">
        <f t="shared" si="1"/>
        <v>50000</v>
      </c>
      <c r="H12" s="90">
        <f t="shared" si="1"/>
        <v>800000</v>
      </c>
      <c r="I12" s="90">
        <f>+SUM(I7:I11)</f>
        <v>1750000</v>
      </c>
    </row>
  </sheetData>
  <mergeCells count="11">
    <mergeCell ref="A2:I2"/>
    <mergeCell ref="A3:I3"/>
    <mergeCell ref="A5:A6"/>
    <mergeCell ref="B5:B6"/>
    <mergeCell ref="C5:C6"/>
    <mergeCell ref="D5:D6"/>
    <mergeCell ref="E5:E6"/>
    <mergeCell ref="F5:F6"/>
    <mergeCell ref="G5:G6"/>
    <mergeCell ref="H5:H6"/>
    <mergeCell ref="I5:I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15584B-7C13-4335-9F4D-2CB0D12B7020}">
  <dimension ref="A2:Y67"/>
  <sheetViews>
    <sheetView workbookViewId="0" xr3:uid="{14CD7F01-1B96-5F8E-B6A5-22ED632B77BD}">
      <selection activeCell="W1" sqref="W1:Z1048576"/>
    </sheetView>
  </sheetViews>
  <sheetFormatPr defaultColWidth="11" defaultRowHeight="13.9"/>
  <cols>
    <col min="1" max="1" width="42.375" style="65" bestFit="1" customWidth="1"/>
    <col min="2" max="2" width="11" style="66" hidden="1" customWidth="1"/>
    <col min="3" max="4" width="11.125" style="66" hidden="1" customWidth="1"/>
    <col min="5" max="5" width="11.375" style="66" hidden="1" customWidth="1"/>
    <col min="6" max="10" width="9.75" style="64" hidden="1" customWidth="1"/>
    <col min="11" max="15" width="9.75" style="64" customWidth="1"/>
    <col min="16" max="16" width="10.125" style="64" customWidth="1"/>
    <col min="17" max="17" width="11" style="64"/>
    <col min="18" max="21" width="0" style="64" hidden="1" customWidth="1"/>
    <col min="22" max="22" width="11" style="64"/>
    <col min="23" max="26" width="0" style="64" hidden="1" customWidth="1"/>
    <col min="27" max="16384" width="11" style="64"/>
  </cols>
  <sheetData>
    <row r="2" spans="1:25" ht="15.6">
      <c r="A2" s="295" t="s">
        <v>325</v>
      </c>
      <c r="B2" s="295"/>
      <c r="C2" s="295"/>
      <c r="D2" s="295"/>
      <c r="E2" s="295"/>
      <c r="F2" s="295"/>
      <c r="G2" s="295"/>
      <c r="H2" s="295"/>
      <c r="I2" s="295"/>
      <c r="J2" s="295"/>
      <c r="K2" s="295"/>
      <c r="L2" s="295"/>
      <c r="M2" s="295"/>
      <c r="N2" s="295"/>
      <c r="O2" s="295"/>
      <c r="P2" s="295"/>
    </row>
    <row r="3" spans="1:25" ht="15.6">
      <c r="A3" s="295" t="s">
        <v>1</v>
      </c>
      <c r="B3" s="295"/>
      <c r="C3" s="295"/>
      <c r="D3" s="295"/>
      <c r="E3" s="295"/>
      <c r="F3" s="295"/>
      <c r="G3" s="295"/>
      <c r="H3" s="295"/>
      <c r="I3" s="295"/>
      <c r="J3" s="295"/>
      <c r="K3" s="295"/>
      <c r="L3" s="295"/>
      <c r="M3" s="295"/>
      <c r="N3" s="295"/>
      <c r="O3" s="295"/>
      <c r="P3" s="295"/>
    </row>
    <row r="4" spans="1:25">
      <c r="R4" s="64" t="s">
        <v>326</v>
      </c>
      <c r="S4" s="64">
        <v>3.35</v>
      </c>
    </row>
    <row r="5" spans="1:25">
      <c r="A5" s="339" t="s">
        <v>53</v>
      </c>
      <c r="B5" s="299" t="s">
        <v>6</v>
      </c>
      <c r="C5" s="299" t="s">
        <v>327</v>
      </c>
      <c r="D5" s="299"/>
      <c r="E5" s="299" t="s">
        <v>328</v>
      </c>
      <c r="F5" s="299" t="s">
        <v>329</v>
      </c>
      <c r="G5" s="299"/>
      <c r="H5" s="299"/>
      <c r="I5" s="299"/>
      <c r="J5" s="299"/>
      <c r="K5" s="299" t="s">
        <v>330</v>
      </c>
      <c r="L5" s="299"/>
      <c r="M5" s="299"/>
      <c r="N5" s="299"/>
      <c r="O5" s="299"/>
      <c r="P5" s="299" t="s">
        <v>331</v>
      </c>
    </row>
    <row r="6" spans="1:25">
      <c r="A6" s="339"/>
      <c r="B6" s="299"/>
      <c r="C6" s="285" t="s">
        <v>332</v>
      </c>
      <c r="D6" s="285" t="s">
        <v>333</v>
      </c>
      <c r="E6" s="299"/>
      <c r="F6" s="285" t="s">
        <v>11</v>
      </c>
      <c r="G6" s="285" t="s">
        <v>12</v>
      </c>
      <c r="H6" s="285" t="s">
        <v>13</v>
      </c>
      <c r="I6" s="285" t="s">
        <v>14</v>
      </c>
      <c r="J6" s="285" t="s">
        <v>15</v>
      </c>
      <c r="K6" s="285" t="s">
        <v>11</v>
      </c>
      <c r="L6" s="285" t="s">
        <v>12</v>
      </c>
      <c r="M6" s="285" t="s">
        <v>13</v>
      </c>
      <c r="N6" s="285" t="s">
        <v>14</v>
      </c>
      <c r="O6" s="285" t="s">
        <v>15</v>
      </c>
      <c r="P6" s="299"/>
    </row>
    <row r="7" spans="1:25">
      <c r="A7" s="80" t="s">
        <v>54</v>
      </c>
      <c r="B7" s="81"/>
      <c r="C7" s="81"/>
      <c r="D7" s="81"/>
      <c r="E7" s="81"/>
      <c r="F7" s="82">
        <f>+F8+F13+F21</f>
        <v>4116000</v>
      </c>
      <c r="G7" s="82">
        <f t="shared" ref="G7:P7" si="0">+G8+G13+G21</f>
        <v>4116000</v>
      </c>
      <c r="H7" s="82">
        <f t="shared" si="0"/>
        <v>4116000</v>
      </c>
      <c r="I7" s="82">
        <f t="shared" si="0"/>
        <v>4116000</v>
      </c>
      <c r="J7" s="82">
        <f t="shared" si="0"/>
        <v>4116000</v>
      </c>
      <c r="K7" s="82">
        <f t="shared" si="0"/>
        <v>1228656.7164179103</v>
      </c>
      <c r="L7" s="82">
        <f t="shared" si="0"/>
        <v>1228656.7164179103</v>
      </c>
      <c r="M7" s="82">
        <f t="shared" si="0"/>
        <v>1228656.7164179103</v>
      </c>
      <c r="N7" s="82">
        <f t="shared" si="0"/>
        <v>1228656.7164179103</v>
      </c>
      <c r="O7" s="82">
        <f t="shared" si="0"/>
        <v>1228656.7164179103</v>
      </c>
      <c r="P7" s="82">
        <f t="shared" si="0"/>
        <v>6143283.5820895527</v>
      </c>
      <c r="S7" s="75">
        <v>0.18</v>
      </c>
      <c r="X7" s="64" t="s">
        <v>334</v>
      </c>
      <c r="Y7" s="64" t="s">
        <v>335</v>
      </c>
    </row>
    <row r="8" spans="1:25">
      <c r="A8" s="76" t="s">
        <v>55</v>
      </c>
      <c r="B8" s="67"/>
      <c r="C8" s="67"/>
      <c r="D8" s="67"/>
      <c r="E8" s="67"/>
      <c r="F8" s="79">
        <f>+SUM(F9:F12)</f>
        <v>564000</v>
      </c>
      <c r="G8" s="79">
        <f t="shared" ref="G8:P8" si="1">+SUM(G9:G12)</f>
        <v>564000</v>
      </c>
      <c r="H8" s="79">
        <f t="shared" si="1"/>
        <v>564000</v>
      </c>
      <c r="I8" s="79">
        <f t="shared" si="1"/>
        <v>564000</v>
      </c>
      <c r="J8" s="79">
        <f t="shared" si="1"/>
        <v>564000</v>
      </c>
      <c r="K8" s="79">
        <f t="shared" si="1"/>
        <v>168358.20895522388</v>
      </c>
      <c r="L8" s="79">
        <f t="shared" si="1"/>
        <v>168358.20895522388</v>
      </c>
      <c r="M8" s="79">
        <f t="shared" si="1"/>
        <v>168358.20895522388</v>
      </c>
      <c r="N8" s="79">
        <f t="shared" si="1"/>
        <v>168358.20895522388</v>
      </c>
      <c r="O8" s="79">
        <f t="shared" si="1"/>
        <v>168358.20895522388</v>
      </c>
      <c r="P8" s="79">
        <f t="shared" si="1"/>
        <v>841791.04477611941</v>
      </c>
      <c r="S8" s="64">
        <v>12.5</v>
      </c>
      <c r="T8" s="64">
        <f>+S8*$S$7</f>
        <v>2.25</v>
      </c>
      <c r="U8" s="64">
        <f>+S8-T8</f>
        <v>10.25</v>
      </c>
      <c r="W8" s="64" t="s">
        <v>336</v>
      </c>
      <c r="X8" s="64">
        <v>7</v>
      </c>
      <c r="Y8" s="64">
        <v>2.5</v>
      </c>
    </row>
    <row r="9" spans="1:25">
      <c r="A9" s="156" t="s">
        <v>56</v>
      </c>
      <c r="B9" s="70">
        <v>1</v>
      </c>
      <c r="C9" s="69">
        <v>22000</v>
      </c>
      <c r="D9" s="69">
        <v>12</v>
      </c>
      <c r="E9" s="69">
        <f>+(B9*C9*D9)/2</f>
        <v>132000</v>
      </c>
      <c r="F9" s="71">
        <f>+$E9</f>
        <v>132000</v>
      </c>
      <c r="G9" s="71">
        <f t="shared" ref="G9:J24" si="2">+$E9</f>
        <v>132000</v>
      </c>
      <c r="H9" s="71">
        <f t="shared" si="2"/>
        <v>132000</v>
      </c>
      <c r="I9" s="71">
        <f t="shared" si="2"/>
        <v>132000</v>
      </c>
      <c r="J9" s="71">
        <f t="shared" si="2"/>
        <v>132000</v>
      </c>
      <c r="K9" s="71">
        <f t="shared" ref="K9:O12" si="3">+F9/$S$4</f>
        <v>39402.985074626864</v>
      </c>
      <c r="L9" s="71">
        <f t="shared" si="3"/>
        <v>39402.985074626864</v>
      </c>
      <c r="M9" s="71">
        <f t="shared" si="3"/>
        <v>39402.985074626864</v>
      </c>
      <c r="N9" s="71">
        <f t="shared" si="3"/>
        <v>39402.985074626864</v>
      </c>
      <c r="O9" s="71">
        <f t="shared" si="3"/>
        <v>39402.985074626864</v>
      </c>
      <c r="P9" s="71">
        <f>+SUM(K9:O9)</f>
        <v>197014.92537313432</v>
      </c>
      <c r="R9" s="64" t="s">
        <v>337</v>
      </c>
      <c r="S9" s="64">
        <v>54.4</v>
      </c>
      <c r="T9" s="64">
        <f>+S9*$S$7</f>
        <v>9.7919999999999998</v>
      </c>
      <c r="U9" s="64">
        <f t="shared" ref="U9:U10" si="4">+S9-T9</f>
        <v>44.607999999999997</v>
      </c>
      <c r="W9" s="64" t="s">
        <v>338</v>
      </c>
      <c r="X9" s="64">
        <v>10</v>
      </c>
      <c r="Y9" s="64">
        <v>3.5</v>
      </c>
    </row>
    <row r="10" spans="1:25">
      <c r="A10" s="78" t="s">
        <v>57</v>
      </c>
      <c r="B10" s="70">
        <v>1</v>
      </c>
      <c r="C10" s="69">
        <v>18000</v>
      </c>
      <c r="D10" s="69">
        <v>12</v>
      </c>
      <c r="E10" s="69">
        <f t="shared" ref="E10:E29" si="5">+B10*C10*D10</f>
        <v>216000</v>
      </c>
      <c r="F10" s="71">
        <f>+$E10</f>
        <v>216000</v>
      </c>
      <c r="G10" s="71">
        <f t="shared" si="2"/>
        <v>216000</v>
      </c>
      <c r="H10" s="71">
        <f t="shared" si="2"/>
        <v>216000</v>
      </c>
      <c r="I10" s="71">
        <f t="shared" si="2"/>
        <v>216000</v>
      </c>
      <c r="J10" s="71">
        <f t="shared" si="2"/>
        <v>216000</v>
      </c>
      <c r="K10" s="71">
        <f t="shared" si="3"/>
        <v>64477.611940298506</v>
      </c>
      <c r="L10" s="71">
        <f t="shared" si="3"/>
        <v>64477.611940298506</v>
      </c>
      <c r="M10" s="71">
        <f t="shared" si="3"/>
        <v>64477.611940298506</v>
      </c>
      <c r="N10" s="71">
        <f t="shared" si="3"/>
        <v>64477.611940298506</v>
      </c>
      <c r="O10" s="71">
        <f t="shared" si="3"/>
        <v>64477.611940298506</v>
      </c>
      <c r="P10" s="71">
        <f t="shared" ref="P10:P40" si="6">+SUM(K10:O10)</f>
        <v>322388.05970149254</v>
      </c>
      <c r="S10" s="64">
        <v>75</v>
      </c>
      <c r="T10" s="64">
        <f>+S10*$S$7</f>
        <v>13.5</v>
      </c>
      <c r="U10" s="64">
        <f t="shared" si="4"/>
        <v>61.5</v>
      </c>
    </row>
    <row r="11" spans="1:25">
      <c r="A11" s="78" t="s">
        <v>58</v>
      </c>
      <c r="B11" s="70">
        <v>1</v>
      </c>
      <c r="C11" s="69">
        <v>14000</v>
      </c>
      <c r="D11" s="69">
        <v>12</v>
      </c>
      <c r="E11" s="69">
        <f t="shared" si="5"/>
        <v>168000</v>
      </c>
      <c r="F11" s="71">
        <f t="shared" ref="F11:J32" si="7">+$E11</f>
        <v>168000</v>
      </c>
      <c r="G11" s="71">
        <f t="shared" si="2"/>
        <v>168000</v>
      </c>
      <c r="H11" s="71">
        <f t="shared" si="2"/>
        <v>168000</v>
      </c>
      <c r="I11" s="71">
        <f t="shared" si="2"/>
        <v>168000</v>
      </c>
      <c r="J11" s="71">
        <f t="shared" si="2"/>
        <v>168000</v>
      </c>
      <c r="K11" s="71">
        <f t="shared" si="3"/>
        <v>50149.253731343284</v>
      </c>
      <c r="L11" s="71">
        <f t="shared" si="3"/>
        <v>50149.253731343284</v>
      </c>
      <c r="M11" s="71">
        <f t="shared" si="3"/>
        <v>50149.253731343284</v>
      </c>
      <c r="N11" s="71">
        <f t="shared" si="3"/>
        <v>50149.253731343284</v>
      </c>
      <c r="O11" s="71">
        <f t="shared" si="3"/>
        <v>50149.253731343284</v>
      </c>
      <c r="P11" s="71">
        <f t="shared" si="6"/>
        <v>250746.26865671642</v>
      </c>
      <c r="S11" s="64">
        <v>8.1</v>
      </c>
      <c r="T11" s="64">
        <v>7.1</v>
      </c>
      <c r="U11" s="64">
        <f>+S11-T11</f>
        <v>1</v>
      </c>
    </row>
    <row r="12" spans="1:25">
      <c r="A12" s="78" t="s">
        <v>59</v>
      </c>
      <c r="B12" s="70">
        <v>1</v>
      </c>
      <c r="C12" s="69">
        <v>4000</v>
      </c>
      <c r="D12" s="69">
        <v>12</v>
      </c>
      <c r="E12" s="69">
        <f t="shared" si="5"/>
        <v>48000</v>
      </c>
      <c r="F12" s="71">
        <f t="shared" si="7"/>
        <v>48000</v>
      </c>
      <c r="G12" s="71">
        <f t="shared" si="2"/>
        <v>48000</v>
      </c>
      <c r="H12" s="71">
        <f t="shared" si="2"/>
        <v>48000</v>
      </c>
      <c r="I12" s="71">
        <f t="shared" si="2"/>
        <v>48000</v>
      </c>
      <c r="J12" s="71">
        <f t="shared" si="2"/>
        <v>48000</v>
      </c>
      <c r="K12" s="71">
        <f t="shared" si="3"/>
        <v>14328.358208955224</v>
      </c>
      <c r="L12" s="71">
        <f t="shared" si="3"/>
        <v>14328.358208955224</v>
      </c>
      <c r="M12" s="71">
        <f t="shared" si="3"/>
        <v>14328.358208955224</v>
      </c>
      <c r="N12" s="71">
        <f t="shared" si="3"/>
        <v>14328.358208955224</v>
      </c>
      <c r="O12" s="71">
        <f t="shared" si="3"/>
        <v>14328.358208955224</v>
      </c>
      <c r="P12" s="71">
        <f t="shared" si="6"/>
        <v>71641.791044776124</v>
      </c>
      <c r="S12" s="64">
        <f>+SUM(S8:S11)</f>
        <v>150</v>
      </c>
    </row>
    <row r="13" spans="1:25">
      <c r="A13" s="76" t="s">
        <v>60</v>
      </c>
      <c r="B13" s="70"/>
      <c r="C13" s="67"/>
      <c r="D13" s="69"/>
      <c r="E13" s="69"/>
      <c r="F13" s="79">
        <f>+SUM(F14:F20)</f>
        <v>960000</v>
      </c>
      <c r="G13" s="79">
        <f t="shared" ref="G13:P13" si="8">+SUM(G14:G20)</f>
        <v>960000</v>
      </c>
      <c r="H13" s="79">
        <f t="shared" si="8"/>
        <v>960000</v>
      </c>
      <c r="I13" s="79">
        <f t="shared" si="8"/>
        <v>960000</v>
      </c>
      <c r="J13" s="79">
        <f t="shared" si="8"/>
        <v>960000</v>
      </c>
      <c r="K13" s="79">
        <f t="shared" si="8"/>
        <v>286567.16417910444</v>
      </c>
      <c r="L13" s="79">
        <f t="shared" si="8"/>
        <v>286567.16417910444</v>
      </c>
      <c r="M13" s="79">
        <f t="shared" si="8"/>
        <v>286567.16417910444</v>
      </c>
      <c r="N13" s="79">
        <f t="shared" si="8"/>
        <v>286567.16417910444</v>
      </c>
      <c r="O13" s="79">
        <f t="shared" si="8"/>
        <v>286567.16417910444</v>
      </c>
      <c r="P13" s="79">
        <f t="shared" si="8"/>
        <v>1432835.8208955226</v>
      </c>
    </row>
    <row r="14" spans="1:25">
      <c r="A14" s="78" t="s">
        <v>61</v>
      </c>
      <c r="B14" s="70">
        <v>2</v>
      </c>
      <c r="C14" s="69">
        <v>10000</v>
      </c>
      <c r="D14" s="69">
        <v>12</v>
      </c>
      <c r="E14" s="69">
        <f t="shared" si="5"/>
        <v>240000</v>
      </c>
      <c r="F14" s="71">
        <f t="shared" si="7"/>
        <v>240000</v>
      </c>
      <c r="G14" s="71">
        <f t="shared" si="2"/>
        <v>240000</v>
      </c>
      <c r="H14" s="71">
        <f t="shared" si="2"/>
        <v>240000</v>
      </c>
      <c r="I14" s="71">
        <f t="shared" si="2"/>
        <v>240000</v>
      </c>
      <c r="J14" s="71">
        <f t="shared" si="2"/>
        <v>240000</v>
      </c>
      <c r="K14" s="71">
        <f t="shared" ref="K14:O20" si="9">+F14/$S$4</f>
        <v>71641.791044776124</v>
      </c>
      <c r="L14" s="71">
        <f t="shared" si="9"/>
        <v>71641.791044776124</v>
      </c>
      <c r="M14" s="71">
        <f t="shared" si="9"/>
        <v>71641.791044776124</v>
      </c>
      <c r="N14" s="71">
        <f t="shared" si="9"/>
        <v>71641.791044776124</v>
      </c>
      <c r="O14" s="71">
        <f t="shared" si="9"/>
        <v>71641.791044776124</v>
      </c>
      <c r="P14" s="71">
        <f t="shared" si="6"/>
        <v>358208.95522388059</v>
      </c>
    </row>
    <row r="15" spans="1:25">
      <c r="A15" s="78" t="s">
        <v>62</v>
      </c>
      <c r="B15" s="70">
        <v>2</v>
      </c>
      <c r="C15" s="69">
        <v>10000</v>
      </c>
      <c r="D15" s="69">
        <v>12</v>
      </c>
      <c r="E15" s="69">
        <f t="shared" si="5"/>
        <v>240000</v>
      </c>
      <c r="F15" s="71">
        <f t="shared" si="7"/>
        <v>240000</v>
      </c>
      <c r="G15" s="71">
        <f t="shared" si="2"/>
        <v>240000</v>
      </c>
      <c r="H15" s="71">
        <f t="shared" si="2"/>
        <v>240000</v>
      </c>
      <c r="I15" s="71">
        <f t="shared" si="2"/>
        <v>240000</v>
      </c>
      <c r="J15" s="71">
        <f t="shared" si="2"/>
        <v>240000</v>
      </c>
      <c r="K15" s="71">
        <f t="shared" si="9"/>
        <v>71641.791044776124</v>
      </c>
      <c r="L15" s="71">
        <f t="shared" si="9"/>
        <v>71641.791044776124</v>
      </c>
      <c r="M15" s="71">
        <f t="shared" si="9"/>
        <v>71641.791044776124</v>
      </c>
      <c r="N15" s="71">
        <f t="shared" si="9"/>
        <v>71641.791044776124</v>
      </c>
      <c r="O15" s="71">
        <f t="shared" si="9"/>
        <v>71641.791044776124</v>
      </c>
      <c r="P15" s="71">
        <f t="shared" si="6"/>
        <v>358208.95522388059</v>
      </c>
      <c r="S15" s="75">
        <v>0.08</v>
      </c>
      <c r="T15" s="64" t="s">
        <v>339</v>
      </c>
      <c r="U15" s="64" t="s">
        <v>338</v>
      </c>
    </row>
    <row r="16" spans="1:25">
      <c r="A16" s="78" t="s">
        <v>63</v>
      </c>
      <c r="B16" s="70">
        <v>1</v>
      </c>
      <c r="C16" s="69">
        <v>10000</v>
      </c>
      <c r="D16" s="69">
        <v>12</v>
      </c>
      <c r="E16" s="69">
        <f t="shared" si="5"/>
        <v>120000</v>
      </c>
      <c r="F16" s="71">
        <f t="shared" si="7"/>
        <v>120000</v>
      </c>
      <c r="G16" s="71">
        <f t="shared" si="2"/>
        <v>120000</v>
      </c>
      <c r="H16" s="71">
        <f t="shared" si="2"/>
        <v>120000</v>
      </c>
      <c r="I16" s="71">
        <f t="shared" si="2"/>
        <v>120000</v>
      </c>
      <c r="J16" s="71">
        <f t="shared" si="2"/>
        <v>120000</v>
      </c>
      <c r="K16" s="71">
        <f t="shared" si="9"/>
        <v>35820.895522388062</v>
      </c>
      <c r="L16" s="71">
        <f t="shared" si="9"/>
        <v>35820.895522388062</v>
      </c>
      <c r="M16" s="71">
        <f t="shared" si="9"/>
        <v>35820.895522388062</v>
      </c>
      <c r="N16" s="71">
        <f t="shared" si="9"/>
        <v>35820.895522388062</v>
      </c>
      <c r="O16" s="71">
        <f t="shared" si="9"/>
        <v>35820.895522388062</v>
      </c>
      <c r="P16" s="71">
        <f t="shared" si="6"/>
        <v>179104.4776119403</v>
      </c>
      <c r="S16" s="75">
        <v>0.05</v>
      </c>
      <c r="T16" s="64" t="s">
        <v>339</v>
      </c>
      <c r="U16" s="64" t="s">
        <v>336</v>
      </c>
    </row>
    <row r="17" spans="1:16">
      <c r="A17" s="78" t="s">
        <v>64</v>
      </c>
      <c r="B17" s="70">
        <v>1</v>
      </c>
      <c r="C17" s="69">
        <v>10000</v>
      </c>
      <c r="D17" s="69">
        <v>12</v>
      </c>
      <c r="E17" s="69">
        <f t="shared" si="5"/>
        <v>120000</v>
      </c>
      <c r="F17" s="71">
        <f t="shared" si="7"/>
        <v>120000</v>
      </c>
      <c r="G17" s="71">
        <f t="shared" si="2"/>
        <v>120000</v>
      </c>
      <c r="H17" s="71">
        <f t="shared" si="2"/>
        <v>120000</v>
      </c>
      <c r="I17" s="71">
        <f t="shared" si="2"/>
        <v>120000</v>
      </c>
      <c r="J17" s="71">
        <f t="shared" si="2"/>
        <v>120000</v>
      </c>
      <c r="K17" s="71">
        <f t="shared" si="9"/>
        <v>35820.895522388062</v>
      </c>
      <c r="L17" s="71">
        <f t="shared" si="9"/>
        <v>35820.895522388062</v>
      </c>
      <c r="M17" s="71">
        <f t="shared" si="9"/>
        <v>35820.895522388062</v>
      </c>
      <c r="N17" s="71">
        <f t="shared" si="9"/>
        <v>35820.895522388062</v>
      </c>
      <c r="O17" s="71">
        <f t="shared" si="9"/>
        <v>35820.895522388062</v>
      </c>
      <c r="P17" s="71">
        <f t="shared" si="6"/>
        <v>179104.4776119403</v>
      </c>
    </row>
    <row r="18" spans="1:16">
      <c r="A18" s="78" t="s">
        <v>65</v>
      </c>
      <c r="B18" s="70">
        <v>1</v>
      </c>
      <c r="C18" s="69">
        <v>10000</v>
      </c>
      <c r="D18" s="69">
        <v>12</v>
      </c>
      <c r="E18" s="69">
        <f t="shared" si="5"/>
        <v>120000</v>
      </c>
      <c r="F18" s="71">
        <f t="shared" si="7"/>
        <v>120000</v>
      </c>
      <c r="G18" s="71">
        <f t="shared" si="2"/>
        <v>120000</v>
      </c>
      <c r="H18" s="71">
        <f t="shared" si="2"/>
        <v>120000</v>
      </c>
      <c r="I18" s="71">
        <f t="shared" si="2"/>
        <v>120000</v>
      </c>
      <c r="J18" s="71">
        <f t="shared" si="2"/>
        <v>120000</v>
      </c>
      <c r="K18" s="71">
        <f t="shared" si="9"/>
        <v>35820.895522388062</v>
      </c>
      <c r="L18" s="71">
        <f t="shared" si="9"/>
        <v>35820.895522388062</v>
      </c>
      <c r="M18" s="71">
        <f t="shared" si="9"/>
        <v>35820.895522388062</v>
      </c>
      <c r="N18" s="71">
        <f t="shared" si="9"/>
        <v>35820.895522388062</v>
      </c>
      <c r="O18" s="71">
        <f t="shared" si="9"/>
        <v>35820.895522388062</v>
      </c>
      <c r="P18" s="71">
        <f t="shared" si="6"/>
        <v>179104.4776119403</v>
      </c>
    </row>
    <row r="19" spans="1:16">
      <c r="A19" s="78" t="s">
        <v>66</v>
      </c>
      <c r="B19" s="70">
        <v>1</v>
      </c>
      <c r="C19" s="69">
        <v>6000</v>
      </c>
      <c r="D19" s="69">
        <v>12</v>
      </c>
      <c r="E19" s="69">
        <f t="shared" si="5"/>
        <v>72000</v>
      </c>
      <c r="F19" s="71">
        <f t="shared" si="7"/>
        <v>72000</v>
      </c>
      <c r="G19" s="71">
        <f t="shared" si="2"/>
        <v>72000</v>
      </c>
      <c r="H19" s="71">
        <f t="shared" si="2"/>
        <v>72000</v>
      </c>
      <c r="I19" s="71">
        <f t="shared" si="2"/>
        <v>72000</v>
      </c>
      <c r="J19" s="71">
        <f t="shared" si="2"/>
        <v>72000</v>
      </c>
      <c r="K19" s="71">
        <f t="shared" si="9"/>
        <v>21492.537313432837</v>
      </c>
      <c r="L19" s="71">
        <f t="shared" si="9"/>
        <v>21492.537313432837</v>
      </c>
      <c r="M19" s="71">
        <f t="shared" si="9"/>
        <v>21492.537313432837</v>
      </c>
      <c r="N19" s="71">
        <f t="shared" si="9"/>
        <v>21492.537313432837</v>
      </c>
      <c r="O19" s="71">
        <f t="shared" si="9"/>
        <v>21492.537313432837</v>
      </c>
      <c r="P19" s="71">
        <f t="shared" si="6"/>
        <v>107462.68656716419</v>
      </c>
    </row>
    <row r="20" spans="1:16">
      <c r="A20" s="78" t="s">
        <v>59</v>
      </c>
      <c r="B20" s="70">
        <v>1</v>
      </c>
      <c r="C20" s="69">
        <v>4000</v>
      </c>
      <c r="D20" s="69">
        <v>12</v>
      </c>
      <c r="E20" s="69">
        <f t="shared" si="5"/>
        <v>48000</v>
      </c>
      <c r="F20" s="71">
        <f t="shared" si="7"/>
        <v>48000</v>
      </c>
      <c r="G20" s="71">
        <f t="shared" si="2"/>
        <v>48000</v>
      </c>
      <c r="H20" s="71">
        <f t="shared" si="2"/>
        <v>48000</v>
      </c>
      <c r="I20" s="71">
        <f t="shared" si="2"/>
        <v>48000</v>
      </c>
      <c r="J20" s="71">
        <f t="shared" si="2"/>
        <v>48000</v>
      </c>
      <c r="K20" s="71">
        <f t="shared" si="9"/>
        <v>14328.358208955224</v>
      </c>
      <c r="L20" s="71">
        <f t="shared" si="9"/>
        <v>14328.358208955224</v>
      </c>
      <c r="M20" s="71">
        <f t="shared" si="9"/>
        <v>14328.358208955224</v>
      </c>
      <c r="N20" s="71">
        <f t="shared" si="9"/>
        <v>14328.358208955224</v>
      </c>
      <c r="O20" s="71">
        <f t="shared" si="9"/>
        <v>14328.358208955224</v>
      </c>
      <c r="P20" s="71">
        <f t="shared" si="6"/>
        <v>71641.791044776124</v>
      </c>
    </row>
    <row r="21" spans="1:16">
      <c r="A21" s="76" t="s">
        <v>67</v>
      </c>
      <c r="B21" s="70"/>
      <c r="C21" s="69"/>
      <c r="D21" s="69"/>
      <c r="E21" s="69"/>
      <c r="F21" s="79">
        <f>+SUM(F22:F29)</f>
        <v>2592000</v>
      </c>
      <c r="G21" s="79">
        <f t="shared" ref="G21:P21" si="10">+SUM(G22:G29)</f>
        <v>2592000</v>
      </c>
      <c r="H21" s="79">
        <f t="shared" si="10"/>
        <v>2592000</v>
      </c>
      <c r="I21" s="79">
        <f t="shared" si="10"/>
        <v>2592000</v>
      </c>
      <c r="J21" s="79">
        <f t="shared" si="10"/>
        <v>2592000</v>
      </c>
      <c r="K21" s="79">
        <f t="shared" si="10"/>
        <v>773731.34328358201</v>
      </c>
      <c r="L21" s="79">
        <f t="shared" si="10"/>
        <v>773731.34328358201</v>
      </c>
      <c r="M21" s="79">
        <f t="shared" si="10"/>
        <v>773731.34328358201</v>
      </c>
      <c r="N21" s="79">
        <f t="shared" si="10"/>
        <v>773731.34328358201</v>
      </c>
      <c r="O21" s="79">
        <f t="shared" si="10"/>
        <v>773731.34328358201</v>
      </c>
      <c r="P21" s="79">
        <f t="shared" si="10"/>
        <v>3868656.7164179105</v>
      </c>
    </row>
    <row r="22" spans="1:16">
      <c r="A22" s="78" t="s">
        <v>68</v>
      </c>
      <c r="B22" s="70">
        <v>1</v>
      </c>
      <c r="C22" s="69">
        <v>9000</v>
      </c>
      <c r="D22" s="69">
        <v>12</v>
      </c>
      <c r="E22" s="69">
        <f t="shared" si="5"/>
        <v>108000</v>
      </c>
      <c r="F22" s="71">
        <f t="shared" si="7"/>
        <v>108000</v>
      </c>
      <c r="G22" s="71">
        <f t="shared" si="2"/>
        <v>108000</v>
      </c>
      <c r="H22" s="71">
        <f t="shared" si="2"/>
        <v>108000</v>
      </c>
      <c r="I22" s="71">
        <f t="shared" si="2"/>
        <v>108000</v>
      </c>
      <c r="J22" s="71">
        <f t="shared" si="2"/>
        <v>108000</v>
      </c>
      <c r="K22" s="71">
        <f t="shared" ref="K22:O29" si="11">+F22/$S$4</f>
        <v>32238.805970149253</v>
      </c>
      <c r="L22" s="71">
        <f t="shared" si="11"/>
        <v>32238.805970149253</v>
      </c>
      <c r="M22" s="71">
        <f t="shared" si="11"/>
        <v>32238.805970149253</v>
      </c>
      <c r="N22" s="71">
        <f t="shared" si="11"/>
        <v>32238.805970149253</v>
      </c>
      <c r="O22" s="71">
        <f t="shared" si="11"/>
        <v>32238.805970149253</v>
      </c>
      <c r="P22" s="71">
        <f t="shared" si="6"/>
        <v>161194.02985074627</v>
      </c>
    </row>
    <row r="23" spans="1:16">
      <c r="A23" s="78" t="s">
        <v>69</v>
      </c>
      <c r="B23" s="70">
        <v>1</v>
      </c>
      <c r="C23" s="69">
        <v>9000</v>
      </c>
      <c r="D23" s="69">
        <v>12</v>
      </c>
      <c r="E23" s="69">
        <f t="shared" si="5"/>
        <v>108000</v>
      </c>
      <c r="F23" s="71">
        <f t="shared" si="7"/>
        <v>108000</v>
      </c>
      <c r="G23" s="71">
        <f t="shared" si="2"/>
        <v>108000</v>
      </c>
      <c r="H23" s="71">
        <f t="shared" si="2"/>
        <v>108000</v>
      </c>
      <c r="I23" s="71">
        <f t="shared" si="2"/>
        <v>108000</v>
      </c>
      <c r="J23" s="71">
        <f t="shared" si="2"/>
        <v>108000</v>
      </c>
      <c r="K23" s="71">
        <f t="shared" si="11"/>
        <v>32238.805970149253</v>
      </c>
      <c r="L23" s="71">
        <f t="shared" si="11"/>
        <v>32238.805970149253</v>
      </c>
      <c r="M23" s="71">
        <f t="shared" si="11"/>
        <v>32238.805970149253</v>
      </c>
      <c r="N23" s="71">
        <f t="shared" si="11"/>
        <v>32238.805970149253</v>
      </c>
      <c r="O23" s="71">
        <f t="shared" si="11"/>
        <v>32238.805970149253</v>
      </c>
      <c r="P23" s="71">
        <f t="shared" si="6"/>
        <v>161194.02985074627</v>
      </c>
    </row>
    <row r="24" spans="1:16">
      <c r="A24" s="78" t="s">
        <v>70</v>
      </c>
      <c r="B24" s="70">
        <v>1</v>
      </c>
      <c r="C24" s="69">
        <v>9000</v>
      </c>
      <c r="D24" s="69">
        <v>12</v>
      </c>
      <c r="E24" s="69">
        <f t="shared" si="5"/>
        <v>108000</v>
      </c>
      <c r="F24" s="71">
        <f t="shared" si="7"/>
        <v>108000</v>
      </c>
      <c r="G24" s="71">
        <f t="shared" si="2"/>
        <v>108000</v>
      </c>
      <c r="H24" s="71">
        <f t="shared" si="2"/>
        <v>108000</v>
      </c>
      <c r="I24" s="71">
        <f t="shared" si="2"/>
        <v>108000</v>
      </c>
      <c r="J24" s="71">
        <f t="shared" si="2"/>
        <v>108000</v>
      </c>
      <c r="K24" s="71">
        <f t="shared" si="11"/>
        <v>32238.805970149253</v>
      </c>
      <c r="L24" s="71">
        <f t="shared" si="11"/>
        <v>32238.805970149253</v>
      </c>
      <c r="M24" s="71">
        <f t="shared" si="11"/>
        <v>32238.805970149253</v>
      </c>
      <c r="N24" s="71">
        <f t="shared" si="11"/>
        <v>32238.805970149253</v>
      </c>
      <c r="O24" s="71">
        <f t="shared" si="11"/>
        <v>32238.805970149253</v>
      </c>
      <c r="P24" s="71">
        <f t="shared" si="6"/>
        <v>161194.02985074627</v>
      </c>
    </row>
    <row r="25" spans="1:16">
      <c r="A25" s="78" t="s">
        <v>71</v>
      </c>
      <c r="B25" s="70">
        <v>1</v>
      </c>
      <c r="C25" s="69">
        <v>9000</v>
      </c>
      <c r="D25" s="69">
        <v>12</v>
      </c>
      <c r="E25" s="69">
        <f t="shared" si="5"/>
        <v>108000</v>
      </c>
      <c r="F25" s="71">
        <f t="shared" si="7"/>
        <v>108000</v>
      </c>
      <c r="G25" s="71">
        <f t="shared" si="7"/>
        <v>108000</v>
      </c>
      <c r="H25" s="71">
        <f t="shared" si="7"/>
        <v>108000</v>
      </c>
      <c r="I25" s="71">
        <f t="shared" si="7"/>
        <v>108000</v>
      </c>
      <c r="J25" s="71">
        <f t="shared" si="7"/>
        <v>108000</v>
      </c>
      <c r="K25" s="71">
        <f t="shared" si="11"/>
        <v>32238.805970149253</v>
      </c>
      <c r="L25" s="71">
        <f t="shared" si="11"/>
        <v>32238.805970149253</v>
      </c>
      <c r="M25" s="71">
        <f t="shared" si="11"/>
        <v>32238.805970149253</v>
      </c>
      <c r="N25" s="71">
        <f t="shared" si="11"/>
        <v>32238.805970149253</v>
      </c>
      <c r="O25" s="71">
        <f t="shared" si="11"/>
        <v>32238.805970149253</v>
      </c>
      <c r="P25" s="71">
        <f t="shared" si="6"/>
        <v>161194.02985074627</v>
      </c>
    </row>
    <row r="26" spans="1:16">
      <c r="A26" s="78" t="s">
        <v>72</v>
      </c>
      <c r="B26" s="70">
        <v>4</v>
      </c>
      <c r="C26" s="69">
        <v>10000</v>
      </c>
      <c r="D26" s="69">
        <v>12</v>
      </c>
      <c r="E26" s="69">
        <f t="shared" si="5"/>
        <v>480000</v>
      </c>
      <c r="F26" s="71">
        <f t="shared" si="7"/>
        <v>480000</v>
      </c>
      <c r="G26" s="71">
        <f t="shared" si="7"/>
        <v>480000</v>
      </c>
      <c r="H26" s="71">
        <f t="shared" si="7"/>
        <v>480000</v>
      </c>
      <c r="I26" s="71">
        <f t="shared" si="7"/>
        <v>480000</v>
      </c>
      <c r="J26" s="71">
        <f t="shared" si="7"/>
        <v>480000</v>
      </c>
      <c r="K26" s="71">
        <f t="shared" si="11"/>
        <v>143283.58208955225</v>
      </c>
      <c r="L26" s="71">
        <f t="shared" si="11"/>
        <v>143283.58208955225</v>
      </c>
      <c r="M26" s="71">
        <f t="shared" si="11"/>
        <v>143283.58208955225</v>
      </c>
      <c r="N26" s="71">
        <f t="shared" si="11"/>
        <v>143283.58208955225</v>
      </c>
      <c r="O26" s="71">
        <f t="shared" si="11"/>
        <v>143283.58208955225</v>
      </c>
      <c r="P26" s="71">
        <f t="shared" si="6"/>
        <v>716417.91044776118</v>
      </c>
    </row>
    <row r="27" spans="1:16">
      <c r="A27" s="78" t="s">
        <v>73</v>
      </c>
      <c r="B27" s="70">
        <v>4</v>
      </c>
      <c r="C27" s="69">
        <v>10000</v>
      </c>
      <c r="D27" s="69">
        <v>12</v>
      </c>
      <c r="E27" s="69">
        <f t="shared" si="5"/>
        <v>480000</v>
      </c>
      <c r="F27" s="71">
        <f t="shared" si="7"/>
        <v>480000</v>
      </c>
      <c r="G27" s="71">
        <f t="shared" si="7"/>
        <v>480000</v>
      </c>
      <c r="H27" s="71">
        <f t="shared" si="7"/>
        <v>480000</v>
      </c>
      <c r="I27" s="71">
        <f t="shared" si="7"/>
        <v>480000</v>
      </c>
      <c r="J27" s="71">
        <f t="shared" si="7"/>
        <v>480000</v>
      </c>
      <c r="K27" s="71">
        <f t="shared" si="11"/>
        <v>143283.58208955225</v>
      </c>
      <c r="L27" s="71">
        <f t="shared" si="11"/>
        <v>143283.58208955225</v>
      </c>
      <c r="M27" s="71">
        <f t="shared" si="11"/>
        <v>143283.58208955225</v>
      </c>
      <c r="N27" s="71">
        <f t="shared" si="11"/>
        <v>143283.58208955225</v>
      </c>
      <c r="O27" s="71">
        <f t="shared" si="11"/>
        <v>143283.58208955225</v>
      </c>
      <c r="P27" s="71">
        <f t="shared" si="6"/>
        <v>716417.91044776118</v>
      </c>
    </row>
    <row r="28" spans="1:16">
      <c r="A28" s="78" t="s">
        <v>74</v>
      </c>
      <c r="B28" s="70">
        <v>5</v>
      </c>
      <c r="C28" s="69">
        <v>10000</v>
      </c>
      <c r="D28" s="69">
        <v>12</v>
      </c>
      <c r="E28" s="69">
        <f t="shared" si="5"/>
        <v>600000</v>
      </c>
      <c r="F28" s="71">
        <f t="shared" si="7"/>
        <v>600000</v>
      </c>
      <c r="G28" s="71">
        <f t="shared" si="7"/>
        <v>600000</v>
      </c>
      <c r="H28" s="71">
        <f t="shared" si="7"/>
        <v>600000</v>
      </c>
      <c r="I28" s="71">
        <f t="shared" si="7"/>
        <v>600000</v>
      </c>
      <c r="J28" s="71">
        <f t="shared" si="7"/>
        <v>600000</v>
      </c>
      <c r="K28" s="71">
        <f t="shared" si="11"/>
        <v>179104.4776119403</v>
      </c>
      <c r="L28" s="71">
        <f t="shared" si="11"/>
        <v>179104.4776119403</v>
      </c>
      <c r="M28" s="71">
        <f t="shared" si="11"/>
        <v>179104.4776119403</v>
      </c>
      <c r="N28" s="71">
        <f t="shared" si="11"/>
        <v>179104.4776119403</v>
      </c>
      <c r="O28" s="71">
        <f t="shared" si="11"/>
        <v>179104.4776119403</v>
      </c>
      <c r="P28" s="71">
        <f t="shared" si="6"/>
        <v>895522.38805970154</v>
      </c>
    </row>
    <row r="29" spans="1:16">
      <c r="A29" s="78" t="s">
        <v>75</v>
      </c>
      <c r="B29" s="70">
        <v>5</v>
      </c>
      <c r="C29" s="69">
        <v>10000</v>
      </c>
      <c r="D29" s="69">
        <v>12</v>
      </c>
      <c r="E29" s="69">
        <f t="shared" si="5"/>
        <v>600000</v>
      </c>
      <c r="F29" s="71">
        <f t="shared" si="7"/>
        <v>600000</v>
      </c>
      <c r="G29" s="71">
        <f t="shared" si="7"/>
        <v>600000</v>
      </c>
      <c r="H29" s="71">
        <f t="shared" si="7"/>
        <v>600000</v>
      </c>
      <c r="I29" s="71">
        <f t="shared" si="7"/>
        <v>600000</v>
      </c>
      <c r="J29" s="71">
        <f t="shared" si="7"/>
        <v>600000</v>
      </c>
      <c r="K29" s="71">
        <f t="shared" si="11"/>
        <v>179104.4776119403</v>
      </c>
      <c r="L29" s="71">
        <f t="shared" si="11"/>
        <v>179104.4776119403</v>
      </c>
      <c r="M29" s="71">
        <f t="shared" si="11"/>
        <v>179104.4776119403</v>
      </c>
      <c r="N29" s="71">
        <f t="shared" si="11"/>
        <v>179104.4776119403</v>
      </c>
      <c r="O29" s="71">
        <f t="shared" si="11"/>
        <v>179104.4776119403</v>
      </c>
      <c r="P29" s="71">
        <f t="shared" si="6"/>
        <v>895522.38805970154</v>
      </c>
    </row>
    <row r="30" spans="1:16">
      <c r="A30" s="80" t="s">
        <v>76</v>
      </c>
      <c r="B30" s="81"/>
      <c r="C30" s="81"/>
      <c r="D30" s="81"/>
      <c r="E30" s="82">
        <f>+SUM(E31:E40)</f>
        <v>564000</v>
      </c>
      <c r="F30" s="82">
        <f t="shared" ref="F30:P30" si="12">+SUM(F31:F40)</f>
        <v>564000</v>
      </c>
      <c r="G30" s="82">
        <f t="shared" si="12"/>
        <v>564000</v>
      </c>
      <c r="H30" s="82">
        <f t="shared" si="12"/>
        <v>564000</v>
      </c>
      <c r="I30" s="82">
        <f t="shared" si="12"/>
        <v>564000</v>
      </c>
      <c r="J30" s="82">
        <f t="shared" si="12"/>
        <v>564000</v>
      </c>
      <c r="K30" s="82">
        <f t="shared" si="12"/>
        <v>168358.2089552239</v>
      </c>
      <c r="L30" s="82">
        <f t="shared" si="12"/>
        <v>168358.2089552239</v>
      </c>
      <c r="M30" s="82">
        <f t="shared" si="12"/>
        <v>168358.2089552239</v>
      </c>
      <c r="N30" s="82">
        <f t="shared" si="12"/>
        <v>168358.2089552239</v>
      </c>
      <c r="O30" s="82">
        <f t="shared" si="12"/>
        <v>168358.2089552239</v>
      </c>
      <c r="P30" s="82">
        <f t="shared" si="12"/>
        <v>841791.04477611929</v>
      </c>
    </row>
    <row r="31" spans="1:16">
      <c r="A31" s="73" t="s">
        <v>77</v>
      </c>
      <c r="B31" s="70">
        <v>1</v>
      </c>
      <c r="C31" s="69">
        <v>44000</v>
      </c>
      <c r="D31" s="67">
        <v>12</v>
      </c>
      <c r="E31" s="72">
        <f>+(D31*C31*B31)/2</f>
        <v>264000</v>
      </c>
      <c r="F31" s="71">
        <f t="shared" si="7"/>
        <v>264000</v>
      </c>
      <c r="G31" s="71">
        <f t="shared" si="7"/>
        <v>264000</v>
      </c>
      <c r="H31" s="71">
        <f t="shared" si="7"/>
        <v>264000</v>
      </c>
      <c r="I31" s="71">
        <f t="shared" si="7"/>
        <v>264000</v>
      </c>
      <c r="J31" s="71">
        <f t="shared" si="7"/>
        <v>264000</v>
      </c>
      <c r="K31" s="71">
        <f>+F31/$S$4</f>
        <v>78805.970149253728</v>
      </c>
      <c r="L31" s="71">
        <f>+G31/$S$4</f>
        <v>78805.970149253728</v>
      </c>
      <c r="M31" s="71">
        <f>+H31/$S$4</f>
        <v>78805.970149253728</v>
      </c>
      <c r="N31" s="71">
        <f>+I31/$S$4</f>
        <v>78805.970149253728</v>
      </c>
      <c r="O31" s="71">
        <f>+J31/$S$4</f>
        <v>78805.970149253728</v>
      </c>
      <c r="P31" s="71">
        <f t="shared" si="6"/>
        <v>394029.85074626864</v>
      </c>
    </row>
    <row r="32" spans="1:16">
      <c r="A32" s="73" t="s">
        <v>78</v>
      </c>
      <c r="B32" s="70">
        <v>1</v>
      </c>
      <c r="C32" s="69">
        <v>800</v>
      </c>
      <c r="D32" s="67">
        <v>12</v>
      </c>
      <c r="E32" s="72">
        <f t="shared" ref="E32:E40" si="13">+(D32*C32*B32)/2</f>
        <v>4800</v>
      </c>
      <c r="F32" s="71">
        <f t="shared" si="7"/>
        <v>4800</v>
      </c>
      <c r="G32" s="71">
        <f t="shared" si="7"/>
        <v>4800</v>
      </c>
      <c r="H32" s="71">
        <f t="shared" si="7"/>
        <v>4800</v>
      </c>
      <c r="I32" s="71">
        <f t="shared" si="7"/>
        <v>4800</v>
      </c>
      <c r="J32" s="71">
        <f t="shared" si="7"/>
        <v>4800</v>
      </c>
      <c r="K32" s="71">
        <f t="shared" ref="K32:K40" si="14">+F32/$S$4</f>
        <v>1432.8358208955224</v>
      </c>
      <c r="L32" s="71">
        <f t="shared" ref="L32:L40" si="15">+G32/$S$4</f>
        <v>1432.8358208955224</v>
      </c>
      <c r="M32" s="71">
        <f t="shared" ref="M32:M40" si="16">+H32/$S$4</f>
        <v>1432.8358208955224</v>
      </c>
      <c r="N32" s="71">
        <f t="shared" ref="N32:N40" si="17">+I32/$S$4</f>
        <v>1432.8358208955224</v>
      </c>
      <c r="O32" s="71">
        <f t="shared" ref="O32:O40" si="18">+J32/$S$4</f>
        <v>1432.8358208955224</v>
      </c>
      <c r="P32" s="71">
        <f t="shared" si="6"/>
        <v>7164.1791044776119</v>
      </c>
    </row>
    <row r="33" spans="1:16">
      <c r="A33" s="73" t="s">
        <v>79</v>
      </c>
      <c r="B33" s="70">
        <v>1</v>
      </c>
      <c r="C33" s="69">
        <v>200</v>
      </c>
      <c r="D33" s="67">
        <v>12</v>
      </c>
      <c r="E33" s="72">
        <f t="shared" si="13"/>
        <v>1200</v>
      </c>
      <c r="F33" s="71">
        <f t="shared" ref="F33:J48" si="19">+$E33</f>
        <v>1200</v>
      </c>
      <c r="G33" s="71">
        <f t="shared" si="19"/>
        <v>1200</v>
      </c>
      <c r="H33" s="71">
        <f t="shared" si="19"/>
        <v>1200</v>
      </c>
      <c r="I33" s="71">
        <f t="shared" si="19"/>
        <v>1200</v>
      </c>
      <c r="J33" s="71">
        <f t="shared" si="19"/>
        <v>1200</v>
      </c>
      <c r="K33" s="71">
        <f t="shared" si="14"/>
        <v>358.20895522388059</v>
      </c>
      <c r="L33" s="71">
        <f t="shared" si="15"/>
        <v>358.20895522388059</v>
      </c>
      <c r="M33" s="71">
        <f t="shared" si="16"/>
        <v>358.20895522388059</v>
      </c>
      <c r="N33" s="71">
        <f t="shared" si="17"/>
        <v>358.20895522388059</v>
      </c>
      <c r="O33" s="71">
        <f t="shared" si="18"/>
        <v>358.20895522388059</v>
      </c>
      <c r="P33" s="71">
        <f t="shared" si="6"/>
        <v>1791.044776119403</v>
      </c>
    </row>
    <row r="34" spans="1:16">
      <c r="A34" s="73" t="s">
        <v>80</v>
      </c>
      <c r="B34" s="70">
        <v>1</v>
      </c>
      <c r="C34" s="69">
        <v>10000</v>
      </c>
      <c r="D34" s="67">
        <v>12</v>
      </c>
      <c r="E34" s="72">
        <f t="shared" si="13"/>
        <v>60000</v>
      </c>
      <c r="F34" s="71">
        <f t="shared" si="19"/>
        <v>60000</v>
      </c>
      <c r="G34" s="71">
        <f t="shared" si="19"/>
        <v>60000</v>
      </c>
      <c r="H34" s="71">
        <f t="shared" si="19"/>
        <v>60000</v>
      </c>
      <c r="I34" s="71">
        <f t="shared" si="19"/>
        <v>60000</v>
      </c>
      <c r="J34" s="71">
        <f t="shared" si="19"/>
        <v>60000</v>
      </c>
      <c r="K34" s="71">
        <f t="shared" si="14"/>
        <v>17910.447761194031</v>
      </c>
      <c r="L34" s="71">
        <f t="shared" si="15"/>
        <v>17910.447761194031</v>
      </c>
      <c r="M34" s="71">
        <f t="shared" si="16"/>
        <v>17910.447761194031</v>
      </c>
      <c r="N34" s="71">
        <f t="shared" si="17"/>
        <v>17910.447761194031</v>
      </c>
      <c r="O34" s="71">
        <f t="shared" si="18"/>
        <v>17910.447761194031</v>
      </c>
      <c r="P34" s="71">
        <f t="shared" si="6"/>
        <v>89552.238805970148</v>
      </c>
    </row>
    <row r="35" spans="1:16">
      <c r="A35" s="73" t="s">
        <v>81</v>
      </c>
      <c r="B35" s="70">
        <v>2</v>
      </c>
      <c r="C35" s="69">
        <v>2000</v>
      </c>
      <c r="D35" s="67">
        <v>12</v>
      </c>
      <c r="E35" s="72">
        <f t="shared" si="13"/>
        <v>24000</v>
      </c>
      <c r="F35" s="71">
        <f t="shared" si="19"/>
        <v>24000</v>
      </c>
      <c r="G35" s="71">
        <f t="shared" si="19"/>
        <v>24000</v>
      </c>
      <c r="H35" s="71">
        <f t="shared" si="19"/>
        <v>24000</v>
      </c>
      <c r="I35" s="71">
        <f t="shared" si="19"/>
        <v>24000</v>
      </c>
      <c r="J35" s="71">
        <f t="shared" si="19"/>
        <v>24000</v>
      </c>
      <c r="K35" s="71">
        <f t="shared" si="14"/>
        <v>7164.1791044776119</v>
      </c>
      <c r="L35" s="71">
        <f t="shared" si="15"/>
        <v>7164.1791044776119</v>
      </c>
      <c r="M35" s="71">
        <f t="shared" si="16"/>
        <v>7164.1791044776119</v>
      </c>
      <c r="N35" s="71">
        <f t="shared" si="17"/>
        <v>7164.1791044776119</v>
      </c>
      <c r="O35" s="71">
        <f t="shared" si="18"/>
        <v>7164.1791044776119</v>
      </c>
      <c r="P35" s="71">
        <f t="shared" si="6"/>
        <v>35820.895522388062</v>
      </c>
    </row>
    <row r="36" spans="1:16">
      <c r="A36" s="73" t="s">
        <v>82</v>
      </c>
      <c r="B36" s="70">
        <v>3</v>
      </c>
      <c r="C36" s="69">
        <v>1500</v>
      </c>
      <c r="D36" s="67">
        <v>12</v>
      </c>
      <c r="E36" s="72">
        <f t="shared" si="13"/>
        <v>27000</v>
      </c>
      <c r="F36" s="71">
        <f t="shared" si="19"/>
        <v>27000</v>
      </c>
      <c r="G36" s="71">
        <f t="shared" si="19"/>
        <v>27000</v>
      </c>
      <c r="H36" s="71">
        <f t="shared" si="19"/>
        <v>27000</v>
      </c>
      <c r="I36" s="71">
        <f t="shared" si="19"/>
        <v>27000</v>
      </c>
      <c r="J36" s="71">
        <f t="shared" si="19"/>
        <v>27000</v>
      </c>
      <c r="K36" s="71">
        <f t="shared" si="14"/>
        <v>8059.7014925373132</v>
      </c>
      <c r="L36" s="71">
        <f t="shared" si="15"/>
        <v>8059.7014925373132</v>
      </c>
      <c r="M36" s="71">
        <f t="shared" si="16"/>
        <v>8059.7014925373132</v>
      </c>
      <c r="N36" s="71">
        <f t="shared" si="17"/>
        <v>8059.7014925373132</v>
      </c>
      <c r="O36" s="71">
        <f t="shared" si="18"/>
        <v>8059.7014925373132</v>
      </c>
      <c r="P36" s="71">
        <f t="shared" si="6"/>
        <v>40298.507462686568</v>
      </c>
    </row>
    <row r="37" spans="1:16">
      <c r="A37" s="73" t="s">
        <v>83</v>
      </c>
      <c r="B37" s="70">
        <v>1</v>
      </c>
      <c r="C37" s="69">
        <v>3000</v>
      </c>
      <c r="D37" s="67">
        <v>12</v>
      </c>
      <c r="E37" s="72">
        <f t="shared" si="13"/>
        <v>18000</v>
      </c>
      <c r="F37" s="71">
        <f t="shared" si="19"/>
        <v>18000</v>
      </c>
      <c r="G37" s="71">
        <f t="shared" si="19"/>
        <v>18000</v>
      </c>
      <c r="H37" s="71">
        <f t="shared" si="19"/>
        <v>18000</v>
      </c>
      <c r="I37" s="71">
        <f t="shared" si="19"/>
        <v>18000</v>
      </c>
      <c r="J37" s="71">
        <f t="shared" si="19"/>
        <v>18000</v>
      </c>
      <c r="K37" s="71">
        <f t="shared" si="14"/>
        <v>5373.1343283582091</v>
      </c>
      <c r="L37" s="71">
        <f t="shared" si="15"/>
        <v>5373.1343283582091</v>
      </c>
      <c r="M37" s="71">
        <f t="shared" si="16"/>
        <v>5373.1343283582091</v>
      </c>
      <c r="N37" s="71">
        <f t="shared" si="17"/>
        <v>5373.1343283582091</v>
      </c>
      <c r="O37" s="71">
        <f t="shared" si="18"/>
        <v>5373.1343283582091</v>
      </c>
      <c r="P37" s="71">
        <f t="shared" si="6"/>
        <v>26865.671641791047</v>
      </c>
    </row>
    <row r="38" spans="1:16">
      <c r="A38" s="73" t="s">
        <v>84</v>
      </c>
      <c r="B38" s="70">
        <v>1</v>
      </c>
      <c r="C38" s="69">
        <v>7000</v>
      </c>
      <c r="D38" s="67">
        <v>12</v>
      </c>
      <c r="E38" s="72">
        <f t="shared" si="13"/>
        <v>42000</v>
      </c>
      <c r="F38" s="71">
        <f t="shared" si="19"/>
        <v>42000</v>
      </c>
      <c r="G38" s="71">
        <f t="shared" si="19"/>
        <v>42000</v>
      </c>
      <c r="H38" s="71">
        <f t="shared" si="19"/>
        <v>42000</v>
      </c>
      <c r="I38" s="71">
        <f t="shared" si="19"/>
        <v>42000</v>
      </c>
      <c r="J38" s="71">
        <f t="shared" si="19"/>
        <v>42000</v>
      </c>
      <c r="K38" s="71">
        <f t="shared" si="14"/>
        <v>12537.313432835821</v>
      </c>
      <c r="L38" s="71">
        <f t="shared" si="15"/>
        <v>12537.313432835821</v>
      </c>
      <c r="M38" s="71">
        <f t="shared" si="16"/>
        <v>12537.313432835821</v>
      </c>
      <c r="N38" s="71">
        <f t="shared" si="17"/>
        <v>12537.313432835821</v>
      </c>
      <c r="O38" s="71">
        <f t="shared" si="18"/>
        <v>12537.313432835821</v>
      </c>
      <c r="P38" s="71">
        <f t="shared" si="6"/>
        <v>62686.567164179105</v>
      </c>
    </row>
    <row r="39" spans="1:16">
      <c r="A39" s="73" t="s">
        <v>85</v>
      </c>
      <c r="B39" s="70">
        <v>1</v>
      </c>
      <c r="C39" s="69">
        <v>20000</v>
      </c>
      <c r="D39" s="67">
        <v>12</v>
      </c>
      <c r="E39" s="72">
        <f t="shared" si="13"/>
        <v>120000</v>
      </c>
      <c r="F39" s="71">
        <f t="shared" si="19"/>
        <v>120000</v>
      </c>
      <c r="G39" s="71">
        <f t="shared" si="19"/>
        <v>120000</v>
      </c>
      <c r="H39" s="71">
        <f t="shared" si="19"/>
        <v>120000</v>
      </c>
      <c r="I39" s="71">
        <f t="shared" si="19"/>
        <v>120000</v>
      </c>
      <c r="J39" s="71">
        <f t="shared" si="19"/>
        <v>120000</v>
      </c>
      <c r="K39" s="71">
        <f t="shared" si="14"/>
        <v>35820.895522388062</v>
      </c>
      <c r="L39" s="71">
        <f t="shared" si="15"/>
        <v>35820.895522388062</v>
      </c>
      <c r="M39" s="71">
        <f t="shared" si="16"/>
        <v>35820.895522388062</v>
      </c>
      <c r="N39" s="71">
        <f t="shared" si="17"/>
        <v>35820.895522388062</v>
      </c>
      <c r="O39" s="71">
        <f t="shared" si="18"/>
        <v>35820.895522388062</v>
      </c>
      <c r="P39" s="71">
        <f t="shared" si="6"/>
        <v>179104.4776119403</v>
      </c>
    </row>
    <row r="40" spans="1:16">
      <c r="A40" s="73" t="s">
        <v>86</v>
      </c>
      <c r="B40" s="70">
        <v>1</v>
      </c>
      <c r="C40" s="69">
        <v>500</v>
      </c>
      <c r="D40" s="67">
        <v>12</v>
      </c>
      <c r="E40" s="72">
        <f t="shared" si="13"/>
        <v>3000</v>
      </c>
      <c r="F40" s="71">
        <f t="shared" si="19"/>
        <v>3000</v>
      </c>
      <c r="G40" s="71">
        <f t="shared" si="19"/>
        <v>3000</v>
      </c>
      <c r="H40" s="71">
        <f t="shared" si="19"/>
        <v>3000</v>
      </c>
      <c r="I40" s="71">
        <f t="shared" si="19"/>
        <v>3000</v>
      </c>
      <c r="J40" s="71">
        <f t="shared" si="19"/>
        <v>3000</v>
      </c>
      <c r="K40" s="71">
        <f t="shared" si="14"/>
        <v>895.52238805970148</v>
      </c>
      <c r="L40" s="71">
        <f t="shared" si="15"/>
        <v>895.52238805970148</v>
      </c>
      <c r="M40" s="71">
        <f t="shared" si="16"/>
        <v>895.52238805970148</v>
      </c>
      <c r="N40" s="71">
        <f t="shared" si="17"/>
        <v>895.52238805970148</v>
      </c>
      <c r="O40" s="71">
        <f t="shared" si="18"/>
        <v>895.52238805970148</v>
      </c>
      <c r="P40" s="71">
        <f t="shared" si="6"/>
        <v>4477.6119402985078</v>
      </c>
    </row>
    <row r="41" spans="1:16">
      <c r="A41" s="80" t="s">
        <v>87</v>
      </c>
      <c r="B41" s="81"/>
      <c r="C41" s="81"/>
      <c r="D41" s="81"/>
      <c r="E41" s="81"/>
      <c r="F41" s="82">
        <f>+SUM(F42:F56)</f>
        <v>553700</v>
      </c>
      <c r="G41" s="82">
        <f t="shared" ref="G41:P41" si="20">+SUM(G42:G56)</f>
        <v>0</v>
      </c>
      <c r="H41" s="82">
        <f t="shared" si="20"/>
        <v>0</v>
      </c>
      <c r="I41" s="82">
        <f t="shared" si="20"/>
        <v>0</v>
      </c>
      <c r="J41" s="82">
        <f t="shared" si="20"/>
        <v>0</v>
      </c>
      <c r="K41" s="82">
        <f t="shared" si="20"/>
        <v>165283.58208955225</v>
      </c>
      <c r="L41" s="82">
        <f t="shared" si="20"/>
        <v>0</v>
      </c>
      <c r="M41" s="82">
        <f t="shared" si="20"/>
        <v>0</v>
      </c>
      <c r="N41" s="82">
        <f t="shared" si="20"/>
        <v>0</v>
      </c>
      <c r="O41" s="82">
        <f t="shared" si="20"/>
        <v>0</v>
      </c>
      <c r="P41" s="82">
        <f t="shared" si="20"/>
        <v>165283.58208955225</v>
      </c>
    </row>
    <row r="42" spans="1:16">
      <c r="A42" s="73" t="s">
        <v>88</v>
      </c>
      <c r="B42" s="70">
        <v>34.5</v>
      </c>
      <c r="C42" s="69">
        <v>5000</v>
      </c>
      <c r="D42" s="67"/>
      <c r="E42" s="72">
        <f>+C42*B42</f>
        <v>172500</v>
      </c>
      <c r="F42" s="71">
        <f t="shared" si="19"/>
        <v>172500</v>
      </c>
      <c r="G42" s="68"/>
      <c r="H42" s="68"/>
      <c r="I42" s="68"/>
      <c r="J42" s="68"/>
      <c r="K42" s="71">
        <f>+F42/$S$4</f>
        <v>51492.537313432833</v>
      </c>
      <c r="L42" s="68"/>
      <c r="M42" s="68"/>
      <c r="N42" s="68"/>
      <c r="O42" s="68"/>
      <c r="P42" s="71">
        <f>+SUM(K42:O42)</f>
        <v>51492.537313432833</v>
      </c>
    </row>
    <row r="43" spans="1:16">
      <c r="A43" s="73" t="s">
        <v>89</v>
      </c>
      <c r="B43" s="70">
        <v>3</v>
      </c>
      <c r="C43" s="69">
        <v>5000</v>
      </c>
      <c r="D43" s="67"/>
      <c r="E43" s="72">
        <f t="shared" ref="E43:E56" si="21">+C43*B43</f>
        <v>15000</v>
      </c>
      <c r="F43" s="71">
        <f t="shared" si="19"/>
        <v>15000</v>
      </c>
      <c r="G43" s="68"/>
      <c r="H43" s="68"/>
      <c r="I43" s="68"/>
      <c r="J43" s="68"/>
      <c r="K43" s="71">
        <f t="shared" ref="K43:K56" si="22">+F43/$S$4</f>
        <v>4477.6119402985078</v>
      </c>
      <c r="L43" s="68"/>
      <c r="M43" s="68"/>
      <c r="N43" s="68"/>
      <c r="O43" s="68"/>
      <c r="P43" s="71">
        <f t="shared" ref="P43:P56" si="23">+SUM(K43:O43)</f>
        <v>4477.6119402985078</v>
      </c>
    </row>
    <row r="44" spans="1:16">
      <c r="A44" s="73" t="s">
        <v>90</v>
      </c>
      <c r="B44" s="70">
        <v>10</v>
      </c>
      <c r="C44" s="69">
        <v>2000</v>
      </c>
      <c r="D44" s="67"/>
      <c r="E44" s="72">
        <f t="shared" si="21"/>
        <v>20000</v>
      </c>
      <c r="F44" s="71">
        <f t="shared" si="19"/>
        <v>20000</v>
      </c>
      <c r="G44" s="68"/>
      <c r="H44" s="68"/>
      <c r="I44" s="68"/>
      <c r="J44" s="68"/>
      <c r="K44" s="71">
        <f t="shared" si="22"/>
        <v>5970.1492537313434</v>
      </c>
      <c r="L44" s="68"/>
      <c r="M44" s="68"/>
      <c r="N44" s="68"/>
      <c r="O44" s="68"/>
      <c r="P44" s="71">
        <f t="shared" si="23"/>
        <v>5970.1492537313434</v>
      </c>
    </row>
    <row r="45" spans="1:16">
      <c r="A45" s="73" t="s">
        <v>91</v>
      </c>
      <c r="B45" s="70">
        <v>2</v>
      </c>
      <c r="C45" s="69">
        <v>10000</v>
      </c>
      <c r="D45" s="67"/>
      <c r="E45" s="72">
        <f t="shared" si="21"/>
        <v>20000</v>
      </c>
      <c r="F45" s="71">
        <f t="shared" si="19"/>
        <v>20000</v>
      </c>
      <c r="G45" s="68"/>
      <c r="H45" s="68"/>
      <c r="I45" s="68"/>
      <c r="J45" s="68"/>
      <c r="K45" s="71">
        <f t="shared" si="22"/>
        <v>5970.1492537313434</v>
      </c>
      <c r="L45" s="68"/>
      <c r="M45" s="68"/>
      <c r="N45" s="68"/>
      <c r="O45" s="68"/>
      <c r="P45" s="71">
        <f t="shared" si="23"/>
        <v>5970.1492537313434</v>
      </c>
    </row>
    <row r="46" spans="1:16">
      <c r="A46" s="73" t="s">
        <v>92</v>
      </c>
      <c r="B46" s="70">
        <v>5</v>
      </c>
      <c r="C46" s="69">
        <v>1500</v>
      </c>
      <c r="D46" s="67"/>
      <c r="E46" s="72">
        <f t="shared" si="21"/>
        <v>7500</v>
      </c>
      <c r="F46" s="71">
        <f t="shared" si="19"/>
        <v>7500</v>
      </c>
      <c r="G46" s="68"/>
      <c r="H46" s="68"/>
      <c r="I46" s="68"/>
      <c r="J46" s="68"/>
      <c r="K46" s="71">
        <f t="shared" si="22"/>
        <v>2238.8059701492539</v>
      </c>
      <c r="L46" s="68"/>
      <c r="M46" s="68"/>
      <c r="N46" s="68"/>
      <c r="O46" s="68"/>
      <c r="P46" s="71">
        <f t="shared" si="23"/>
        <v>2238.8059701492539</v>
      </c>
    </row>
    <row r="47" spans="1:16">
      <c r="A47" s="73" t="s">
        <v>93</v>
      </c>
      <c r="B47" s="70">
        <v>4</v>
      </c>
      <c r="C47" s="69">
        <v>4500</v>
      </c>
      <c r="D47" s="67"/>
      <c r="E47" s="72">
        <f t="shared" si="21"/>
        <v>18000</v>
      </c>
      <c r="F47" s="71">
        <f t="shared" si="19"/>
        <v>18000</v>
      </c>
      <c r="G47" s="68"/>
      <c r="H47" s="68"/>
      <c r="I47" s="68"/>
      <c r="J47" s="68"/>
      <c r="K47" s="71">
        <f t="shared" si="22"/>
        <v>5373.1343283582091</v>
      </c>
      <c r="L47" s="68"/>
      <c r="M47" s="68"/>
      <c r="N47" s="68"/>
      <c r="O47" s="68"/>
      <c r="P47" s="71">
        <f t="shared" si="23"/>
        <v>5373.1343283582091</v>
      </c>
    </row>
    <row r="48" spans="1:16">
      <c r="A48" s="73" t="s">
        <v>94</v>
      </c>
      <c r="B48" s="70">
        <v>4</v>
      </c>
      <c r="C48" s="69">
        <v>4000</v>
      </c>
      <c r="D48" s="67"/>
      <c r="E48" s="72">
        <f t="shared" si="21"/>
        <v>16000</v>
      </c>
      <c r="F48" s="71">
        <f t="shared" si="19"/>
        <v>16000</v>
      </c>
      <c r="G48" s="68"/>
      <c r="H48" s="68"/>
      <c r="I48" s="68"/>
      <c r="J48" s="68"/>
      <c r="K48" s="71">
        <f t="shared" si="22"/>
        <v>4776.1194029850749</v>
      </c>
      <c r="L48" s="68"/>
      <c r="M48" s="68"/>
      <c r="N48" s="68"/>
      <c r="O48" s="68"/>
      <c r="P48" s="71">
        <f t="shared" si="23"/>
        <v>4776.1194029850749</v>
      </c>
    </row>
    <row r="49" spans="1:16">
      <c r="A49" s="73" t="s">
        <v>95</v>
      </c>
      <c r="B49" s="70">
        <v>4</v>
      </c>
      <c r="C49" s="69">
        <v>1000</v>
      </c>
      <c r="D49" s="67"/>
      <c r="E49" s="72">
        <f t="shared" si="21"/>
        <v>4000</v>
      </c>
      <c r="F49" s="71">
        <f t="shared" ref="F49:F56" si="24">+$E49</f>
        <v>4000</v>
      </c>
      <c r="G49" s="68"/>
      <c r="H49" s="68"/>
      <c r="I49" s="68"/>
      <c r="J49" s="68"/>
      <c r="K49" s="71">
        <f t="shared" si="22"/>
        <v>1194.0298507462687</v>
      </c>
      <c r="L49" s="68"/>
      <c r="M49" s="68"/>
      <c r="N49" s="68"/>
      <c r="O49" s="68"/>
      <c r="P49" s="71">
        <f t="shared" si="23"/>
        <v>1194.0298507462687</v>
      </c>
    </row>
    <row r="50" spans="1:16">
      <c r="A50" s="73" t="s">
        <v>96</v>
      </c>
      <c r="B50" s="70">
        <v>34.5</v>
      </c>
      <c r="C50" s="69">
        <v>3500</v>
      </c>
      <c r="D50" s="67"/>
      <c r="E50" s="72">
        <f t="shared" si="21"/>
        <v>120750</v>
      </c>
      <c r="F50" s="71">
        <f t="shared" si="24"/>
        <v>120750</v>
      </c>
      <c r="G50" s="68"/>
      <c r="H50" s="68"/>
      <c r="I50" s="68"/>
      <c r="J50" s="68"/>
      <c r="K50" s="71">
        <f t="shared" si="22"/>
        <v>36044.776119402981</v>
      </c>
      <c r="L50" s="68"/>
      <c r="M50" s="68"/>
      <c r="N50" s="68"/>
      <c r="O50" s="68"/>
      <c r="P50" s="71">
        <f t="shared" si="23"/>
        <v>36044.776119402981</v>
      </c>
    </row>
    <row r="51" spans="1:16">
      <c r="A51" s="73" t="s">
        <v>97</v>
      </c>
      <c r="B51" s="70">
        <v>34.5</v>
      </c>
      <c r="C51" s="69">
        <v>1100</v>
      </c>
      <c r="D51" s="67"/>
      <c r="E51" s="72">
        <f t="shared" si="21"/>
        <v>37950</v>
      </c>
      <c r="F51" s="71">
        <f t="shared" si="24"/>
        <v>37950</v>
      </c>
      <c r="G51" s="68"/>
      <c r="H51" s="68"/>
      <c r="I51" s="68"/>
      <c r="J51" s="68"/>
      <c r="K51" s="71">
        <f t="shared" si="22"/>
        <v>11328.358208955224</v>
      </c>
      <c r="L51" s="68"/>
      <c r="M51" s="68"/>
      <c r="N51" s="68"/>
      <c r="O51" s="68"/>
      <c r="P51" s="71">
        <f t="shared" si="23"/>
        <v>11328.358208955224</v>
      </c>
    </row>
    <row r="52" spans="1:16">
      <c r="A52" s="73" t="s">
        <v>98</v>
      </c>
      <c r="B52" s="70">
        <v>2</v>
      </c>
      <c r="C52" s="69">
        <v>2000</v>
      </c>
      <c r="D52" s="67"/>
      <c r="E52" s="72">
        <f t="shared" si="21"/>
        <v>4000</v>
      </c>
      <c r="F52" s="71">
        <f t="shared" si="24"/>
        <v>4000</v>
      </c>
      <c r="G52" s="68"/>
      <c r="H52" s="68"/>
      <c r="I52" s="68"/>
      <c r="J52" s="68"/>
      <c r="K52" s="71">
        <f t="shared" si="22"/>
        <v>1194.0298507462687</v>
      </c>
      <c r="L52" s="68"/>
      <c r="M52" s="68"/>
      <c r="N52" s="68"/>
      <c r="O52" s="68"/>
      <c r="P52" s="71">
        <f t="shared" si="23"/>
        <v>1194.0298507462687</v>
      </c>
    </row>
    <row r="53" spans="1:16">
      <c r="A53" s="73" t="s">
        <v>99</v>
      </c>
      <c r="B53" s="70">
        <v>40</v>
      </c>
      <c r="C53" s="69">
        <v>700</v>
      </c>
      <c r="D53" s="67"/>
      <c r="E53" s="72">
        <f t="shared" si="21"/>
        <v>28000</v>
      </c>
      <c r="F53" s="71">
        <f t="shared" si="24"/>
        <v>28000</v>
      </c>
      <c r="G53" s="68"/>
      <c r="H53" s="68"/>
      <c r="I53" s="68"/>
      <c r="J53" s="68"/>
      <c r="K53" s="71">
        <f t="shared" si="22"/>
        <v>8358.2089552238813</v>
      </c>
      <c r="L53" s="68"/>
      <c r="M53" s="68"/>
      <c r="N53" s="68"/>
      <c r="O53" s="68"/>
      <c r="P53" s="71">
        <f t="shared" si="23"/>
        <v>8358.2089552238813</v>
      </c>
    </row>
    <row r="54" spans="1:16">
      <c r="A54" s="73" t="s">
        <v>100</v>
      </c>
      <c r="B54" s="70">
        <v>10</v>
      </c>
      <c r="C54" s="69">
        <v>1500</v>
      </c>
      <c r="D54" s="67"/>
      <c r="E54" s="72">
        <f t="shared" si="21"/>
        <v>15000</v>
      </c>
      <c r="F54" s="71">
        <f t="shared" si="24"/>
        <v>15000</v>
      </c>
      <c r="G54" s="68"/>
      <c r="H54" s="68"/>
      <c r="I54" s="68"/>
      <c r="J54" s="68"/>
      <c r="K54" s="71">
        <f t="shared" si="22"/>
        <v>4477.6119402985078</v>
      </c>
      <c r="L54" s="68"/>
      <c r="M54" s="68"/>
      <c r="N54" s="68"/>
      <c r="O54" s="68"/>
      <c r="P54" s="71">
        <f t="shared" si="23"/>
        <v>4477.6119402985078</v>
      </c>
    </row>
    <row r="55" spans="1:16">
      <c r="A55" s="73" t="s">
        <v>101</v>
      </c>
      <c r="B55" s="70">
        <v>2.5</v>
      </c>
      <c r="C55" s="69">
        <v>10000</v>
      </c>
      <c r="D55" s="67"/>
      <c r="E55" s="72">
        <f t="shared" si="21"/>
        <v>25000</v>
      </c>
      <c r="F55" s="71">
        <f t="shared" si="24"/>
        <v>25000</v>
      </c>
      <c r="G55" s="68"/>
      <c r="H55" s="68"/>
      <c r="I55" s="68"/>
      <c r="J55" s="68"/>
      <c r="K55" s="71">
        <f t="shared" si="22"/>
        <v>7462.686567164179</v>
      </c>
      <c r="L55" s="68"/>
      <c r="M55" s="68"/>
      <c r="N55" s="68"/>
      <c r="O55" s="68"/>
      <c r="P55" s="71">
        <f t="shared" si="23"/>
        <v>7462.686567164179</v>
      </c>
    </row>
    <row r="56" spans="1:16" ht="14.45" thickBot="1">
      <c r="A56" s="73" t="s">
        <v>102</v>
      </c>
      <c r="B56" s="70">
        <v>1</v>
      </c>
      <c r="C56" s="69">
        <v>50000</v>
      </c>
      <c r="D56" s="67"/>
      <c r="E56" s="72">
        <f t="shared" si="21"/>
        <v>50000</v>
      </c>
      <c r="F56" s="71">
        <f t="shared" si="24"/>
        <v>50000</v>
      </c>
      <c r="G56" s="68"/>
      <c r="H56" s="68"/>
      <c r="I56" s="68"/>
      <c r="J56" s="68"/>
      <c r="K56" s="71">
        <f t="shared" si="22"/>
        <v>14925.373134328358</v>
      </c>
      <c r="L56" s="68"/>
      <c r="M56" s="68"/>
      <c r="N56" s="68"/>
      <c r="O56" s="68"/>
      <c r="P56" s="88">
        <f t="shared" si="23"/>
        <v>14925.373134328358</v>
      </c>
    </row>
    <row r="57" spans="1:16" ht="15" thickBot="1">
      <c r="A57" s="84" t="s">
        <v>340</v>
      </c>
      <c r="B57" s="85"/>
      <c r="C57" s="85"/>
      <c r="D57" s="85"/>
      <c r="E57" s="85"/>
      <c r="F57" s="86">
        <f>+F41+F30+F7</f>
        <v>5233700</v>
      </c>
      <c r="G57" s="86">
        <f t="shared" ref="G57:P57" si="25">+G41+G30+G7</f>
        <v>4680000</v>
      </c>
      <c r="H57" s="86">
        <f t="shared" si="25"/>
        <v>4680000</v>
      </c>
      <c r="I57" s="86">
        <f t="shared" si="25"/>
        <v>4680000</v>
      </c>
      <c r="J57" s="86">
        <f t="shared" si="25"/>
        <v>4680000</v>
      </c>
      <c r="K57" s="86">
        <f t="shared" si="25"/>
        <v>1562298.5074626864</v>
      </c>
      <c r="L57" s="86">
        <f t="shared" si="25"/>
        <v>1397014.9253731342</v>
      </c>
      <c r="M57" s="86">
        <f t="shared" si="25"/>
        <v>1397014.9253731342</v>
      </c>
      <c r="N57" s="86">
        <f t="shared" si="25"/>
        <v>1397014.9253731342</v>
      </c>
      <c r="O57" s="87">
        <f t="shared" si="25"/>
        <v>1397014.9253731342</v>
      </c>
      <c r="P57" s="89">
        <f t="shared" si="25"/>
        <v>7150358.2089552246</v>
      </c>
    </row>
    <row r="58" spans="1:16">
      <c r="E58" s="74"/>
    </row>
    <row r="59" spans="1:16" hidden="1">
      <c r="A59" s="65" t="s">
        <v>341</v>
      </c>
      <c r="B59" s="64">
        <v>1</v>
      </c>
      <c r="C59" s="64" t="s">
        <v>342</v>
      </c>
      <c r="D59" s="64"/>
    </row>
    <row r="60" spans="1:16" hidden="1">
      <c r="B60" s="64"/>
      <c r="C60" s="64"/>
      <c r="D60" s="64"/>
    </row>
    <row r="61" spans="1:16" hidden="1">
      <c r="A61" s="65" t="s">
        <v>343</v>
      </c>
      <c r="B61" s="64">
        <v>1</v>
      </c>
      <c r="C61" s="64" t="s">
        <v>344</v>
      </c>
      <c r="D61" s="64"/>
    </row>
    <row r="62" spans="1:16" hidden="1">
      <c r="A62" s="65" t="s">
        <v>345</v>
      </c>
      <c r="B62" s="64">
        <v>2</v>
      </c>
      <c r="C62" s="64" t="s">
        <v>344</v>
      </c>
      <c r="D62" s="64"/>
    </row>
    <row r="63" spans="1:16" hidden="1">
      <c r="B63" s="64"/>
      <c r="C63" s="64"/>
      <c r="D63" s="64"/>
    </row>
    <row r="64" spans="1:16" hidden="1">
      <c r="A64" s="65" t="s">
        <v>346</v>
      </c>
      <c r="B64" s="64">
        <v>2</v>
      </c>
      <c r="C64" s="64" t="s">
        <v>344</v>
      </c>
      <c r="D64" s="64"/>
    </row>
    <row r="65" spans="1:4" hidden="1">
      <c r="A65" s="65" t="s">
        <v>347</v>
      </c>
      <c r="B65" s="64">
        <v>3</v>
      </c>
      <c r="C65" s="64" t="s">
        <v>344</v>
      </c>
      <c r="D65" s="64"/>
    </row>
    <row r="66" spans="1:4" hidden="1">
      <c r="A66" s="65" t="s">
        <v>348</v>
      </c>
      <c r="B66" s="64">
        <v>4</v>
      </c>
      <c r="C66" s="64" t="s">
        <v>344</v>
      </c>
      <c r="D66" s="64" t="s">
        <v>349</v>
      </c>
    </row>
    <row r="67" spans="1:4" hidden="1">
      <c r="B67" s="64">
        <v>12</v>
      </c>
      <c r="C67" s="64" t="s">
        <v>344</v>
      </c>
      <c r="D67" s="64" t="s">
        <v>350</v>
      </c>
    </row>
  </sheetData>
  <mergeCells count="9">
    <mergeCell ref="P5:P6"/>
    <mergeCell ref="A2:P2"/>
    <mergeCell ref="A3:P3"/>
    <mergeCell ref="C5:D5"/>
    <mergeCell ref="E5:E6"/>
    <mergeCell ref="A5:A6"/>
    <mergeCell ref="B5:B6"/>
    <mergeCell ref="F5:J5"/>
    <mergeCell ref="K5:O5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 - Simultaneous Disclosure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Peru</TermName>
          <TermId xmlns="http://schemas.microsoft.com/office/infopath/2007/PartnerControls">c988f60b-81f1-4c24-8da7-d5473741c5b0</TermId>
        </TermInfo>
      </Terms>
    </ic46d7e087fd4a108fb86518ca413cc6>
    <IDBDocs_x0020_Number xmlns="cdc7663a-08f0-4737-9e8c-148ce897a09c" xsi:nil="true"/>
    <Division_x0020_or_x0020_Unit xmlns="cdc7663a-08f0-4737-9e8c-148ce897a09c">SCL/SPH</Division_x0020_or_x0020_Unit>
    <Fiscal_x0020_Year_x0020_IDB xmlns="cdc7663a-08f0-4737-9e8c-148ce897a09c">2018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 xsi:nil="true"/>
    <Phase xmlns="cdc7663a-08f0-4737-9e8c-148ce897a09c" xsi:nil="true"/>
    <Document_x0020_Author xmlns="cdc7663a-08f0-4737-9e8c-148ce897a09c">Guanais de Aguiar, Frederico Campos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HEALTH SERVICES</TermName>
          <TermId xmlns="http://schemas.microsoft.com/office/infopath/2007/PartnerControls">954571c6-7732-4e5c-9c2e-8e1b5204c894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Spanish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axCatchAll xmlns="cdc7663a-08f0-4737-9e8c-148ce897a09c">
      <Value>34</Value>
      <Value>33</Value>
      <Value>32</Value>
      <Value>31</Value>
      <Value>1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PE-L1228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HEALTH</TermName>
          <TermId xmlns="http://schemas.microsoft.com/office/infopath/2007/PartnerControls">e15154b4-8fa2-4f19-a924-5a9b44dc8218</TermId>
        </TermInfo>
      </Terms>
    </nddeef1749674d76abdbe4b239a70bc6>
    <Record_x0020_Number xmlns="cdc7663a-08f0-4737-9e8c-148ce897a09c">R0002852312</Record_x0020_Number>
    <_dlc_DocId xmlns="cdc7663a-08f0-4737-9e8c-148ce897a09c">EZSHARE-2126757964-31</_dlc_DocId>
    <_dlc_DocIdUrl xmlns="cdc7663a-08f0-4737-9e8c-148ce897a09c">
      <Url>https://idbg.sharepoint.com/teams/EZ-PE-LON/PE-L1228/_layouts/15/DocIdRedir.aspx?ID=EZSHARE-2126757964-31</Url>
      <Description>EZSHARE-2126757964-31</Description>
    </_dlc_DocIdUrl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2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498E8411AAA3B64E8E6807709887C82B" ma:contentTypeVersion="1081" ma:contentTypeDescription="A content type to manage public (operations) IDB documents" ma:contentTypeScope="" ma:versionID="844dd53ca9bd56eff0290add3f0274cb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b3c9fe2b8c7386f891b35babde52ac3b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PE-L1228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UBR Contact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6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E21D76D7-4E6E-4067-8CAB-16E01F121543}"/>
</file>

<file path=customXml/itemProps2.xml><?xml version="1.0" encoding="utf-8"?>
<ds:datastoreItem xmlns:ds="http://schemas.openxmlformats.org/officeDocument/2006/customXml" ds:itemID="{DC928416-CCE0-4F25-9FB4-3F576F5D9915}"/>
</file>

<file path=customXml/itemProps3.xml><?xml version="1.0" encoding="utf-8"?>
<ds:datastoreItem xmlns:ds="http://schemas.openxmlformats.org/officeDocument/2006/customXml" ds:itemID="{EF361A50-9634-4EA2-AE06-1C15E5FD3994}"/>
</file>

<file path=customXml/itemProps4.xml><?xml version="1.0" encoding="utf-8"?>
<ds:datastoreItem xmlns:ds="http://schemas.openxmlformats.org/officeDocument/2006/customXml" ds:itemID="{35DC905D-B298-487E-8879-13B4DB29D607}"/>
</file>

<file path=customXml/itemProps5.xml><?xml version="1.0" encoding="utf-8"?>
<ds:datastoreItem xmlns:ds="http://schemas.openxmlformats.org/officeDocument/2006/customXml" ds:itemID="{4E497F5C-30B9-4B8F-8408-A8FAFB077BD3}"/>
</file>

<file path=customXml/itemProps6.xml><?xml version="1.0" encoding="utf-8"?>
<ds:datastoreItem xmlns:ds="http://schemas.openxmlformats.org/officeDocument/2006/customXml" ds:itemID="{4AF4494E-7DCD-4CAC-8DDA-C99F7355245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Cristina San Román</dc:creator>
  <cp:keywords/>
  <dc:description/>
  <cp:lastModifiedBy>Guanais de Aguiar, Frederico Campos</cp:lastModifiedBy>
  <cp:revision/>
  <dcterms:created xsi:type="dcterms:W3CDTF">2018-08-27T15:40:26Z</dcterms:created>
  <dcterms:modified xsi:type="dcterms:W3CDTF">2018-11-21T19:10:48Z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33;#HEALTH SERVICES|954571c6-7732-4e5c-9c2e-8e1b5204c894</vt:lpwstr>
  </property>
  <property fmtid="{D5CDD505-2E9C-101B-9397-08002B2CF9AE}" pid="7" name="Fund IDB">
    <vt:lpwstr>34;#ORC|c028a4b2-ad8b-4cf4-9cac-a2ae6a778e23</vt:lpwstr>
  </property>
  <property fmtid="{D5CDD505-2E9C-101B-9397-08002B2CF9AE}" pid="8" name="Country">
    <vt:lpwstr>31;#Peru|c988f60b-81f1-4c24-8da7-d5473741c5b0</vt:lpwstr>
  </property>
  <property fmtid="{D5CDD505-2E9C-101B-9397-08002B2CF9AE}" pid="9" name="Sector IDB">
    <vt:lpwstr>32;#HEALTH|e15154b4-8fa2-4f19-a924-5a9b44dc8218</vt:lpwstr>
  </property>
  <property fmtid="{D5CDD505-2E9C-101B-9397-08002B2CF9AE}" pid="10" name="Function Operations IDB">
    <vt:lpwstr>1;#Project Preparation, Planning and Design|29ca0c72-1fc4-435f-a09c-28585cb5eac9</vt:lpwstr>
  </property>
  <property fmtid="{D5CDD505-2E9C-101B-9397-08002B2CF9AE}" pid="11" name="_dlc_DocIdItemGuid">
    <vt:lpwstr>b441857a-7720-464b-89b7-bde3e8b7bba4</vt:lpwstr>
  </property>
  <property fmtid="{D5CDD505-2E9C-101B-9397-08002B2CF9AE}" pid="12" name="Disclosure Activity">
    <vt:lpwstr>Loan Proposal</vt:lpwstr>
  </property>
  <property fmtid="{D5CDD505-2E9C-101B-9397-08002B2CF9AE}" pid="13" name="ContentTypeId">
    <vt:lpwstr>0x0101001A458A224826124E8B45B1D613300CFC00498E8411AAA3B64E8E6807709887C82B</vt:lpwstr>
  </property>
</Properties>
</file>