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760" activeTab="1"/>
  </bookViews>
  <sheets>
    <sheet name="PRESUP.CONS." sheetId="1" r:id="rId1"/>
    <sheet name="PLAN.EJEC.PROG." sheetId="2" r:id="rId2"/>
    <sheet name="COST.ADMIN.SALARIOS" sheetId="3" r:id="rId3"/>
    <sheet name="COST.ADMIN.ACTIVOS" sheetId="4" r:id="rId4"/>
    <sheet name="COST.ADMIN.OPER." sheetId="5" r:id="rId5"/>
  </sheets>
  <calcPr calcId="145621"/>
</workbook>
</file>

<file path=xl/calcChain.xml><?xml version="1.0" encoding="utf-8"?>
<calcChain xmlns="http://schemas.openxmlformats.org/spreadsheetml/2006/main">
  <c r="E30" i="1" l="1"/>
  <c r="C30" i="1"/>
  <c r="C28" i="1"/>
  <c r="D28" i="1"/>
  <c r="Q81" i="2"/>
  <c r="D27" i="1"/>
  <c r="R82" i="2"/>
  <c r="Q82" i="2"/>
  <c r="O79" i="2"/>
  <c r="M79" i="2"/>
  <c r="L79" i="2"/>
  <c r="I79" i="2"/>
  <c r="H79" i="2"/>
  <c r="C79" i="2"/>
  <c r="T82" i="2" l="1"/>
  <c r="R83" i="2"/>
  <c r="O72" i="2"/>
  <c r="L72" i="2"/>
  <c r="I72" i="2"/>
  <c r="F72" i="2"/>
  <c r="C72" i="2"/>
  <c r="G30" i="3"/>
  <c r="G11" i="3"/>
  <c r="G17" i="3"/>
  <c r="D17" i="3"/>
  <c r="C31" i="1" l="1"/>
  <c r="L17" i="2"/>
  <c r="I17" i="2"/>
  <c r="F17" i="2"/>
  <c r="C17" i="2"/>
  <c r="C19" i="2" l="1"/>
  <c r="E19" i="2" s="1"/>
  <c r="E18" i="2" s="1"/>
  <c r="S19" i="2"/>
  <c r="S18" i="2" s="1"/>
  <c r="Q19" i="2"/>
  <c r="Q18" i="2" s="1"/>
  <c r="L19" i="2"/>
  <c r="N19" i="2" s="1"/>
  <c r="N18" i="2" s="1"/>
  <c r="I19" i="2"/>
  <c r="I18" i="2" s="1"/>
  <c r="F19" i="2"/>
  <c r="F18" i="2" s="1"/>
  <c r="P18" i="2"/>
  <c r="O18" i="2"/>
  <c r="M18" i="2"/>
  <c r="J18" i="2"/>
  <c r="G18" i="2"/>
  <c r="D18" i="2"/>
  <c r="D17" i="2"/>
  <c r="L18" i="2" l="1"/>
  <c r="H19" i="2"/>
  <c r="H18" i="2" s="1"/>
  <c r="K19" i="2"/>
  <c r="K18" i="2" s="1"/>
  <c r="C18" i="2"/>
  <c r="R19" i="2"/>
  <c r="E17" i="2"/>
  <c r="E16" i="2" s="1"/>
  <c r="E15" i="2" s="1"/>
  <c r="E14" i="2" s="1"/>
  <c r="E13" i="2" s="1"/>
  <c r="D36" i="5"/>
  <c r="C36" i="5"/>
  <c r="E36" i="5" s="1"/>
  <c r="E34" i="5" s="1"/>
  <c r="E35" i="5"/>
  <c r="D33" i="5"/>
  <c r="C33" i="5"/>
  <c r="E33" i="5" s="1"/>
  <c r="E32" i="5"/>
  <c r="E31" i="5" s="1"/>
  <c r="D32" i="5"/>
  <c r="C32" i="5"/>
  <c r="E30" i="5"/>
  <c r="D30" i="5"/>
  <c r="C30" i="5"/>
  <c r="D29" i="5"/>
  <c r="E29" i="5" s="1"/>
  <c r="C29" i="5"/>
  <c r="E28" i="5"/>
  <c r="E27" i="5" s="1"/>
  <c r="D28" i="5"/>
  <c r="C28" i="5"/>
  <c r="E26" i="5"/>
  <c r="D26" i="5"/>
  <c r="C26" i="5"/>
  <c r="D25" i="5"/>
  <c r="C25" i="5"/>
  <c r="E25" i="5" s="1"/>
  <c r="E24" i="5"/>
  <c r="E23" i="5" s="1"/>
  <c r="D24" i="5"/>
  <c r="C24" i="5"/>
  <c r="C22" i="5"/>
  <c r="D21" i="5"/>
  <c r="E21" i="5" s="1"/>
  <c r="C21" i="5"/>
  <c r="E20" i="5"/>
  <c r="D20" i="5"/>
  <c r="D22" i="5" s="1"/>
  <c r="C20" i="5"/>
  <c r="D18" i="5"/>
  <c r="C18" i="5"/>
  <c r="E18" i="5" s="1"/>
  <c r="D17" i="5"/>
  <c r="C17" i="5"/>
  <c r="E14" i="5"/>
  <c r="D14" i="5"/>
  <c r="C14" i="5"/>
  <c r="D13" i="5"/>
  <c r="C13" i="5"/>
  <c r="D35" i="4"/>
  <c r="E35" i="4" s="1"/>
  <c r="E34" i="4" s="1"/>
  <c r="C35" i="4"/>
  <c r="E33" i="4"/>
  <c r="E32" i="4"/>
  <c r="E31" i="4" s="1"/>
  <c r="E30" i="4"/>
  <c r="E28" i="4" s="1"/>
  <c r="E29" i="4"/>
  <c r="E27" i="4"/>
  <c r="E26" i="4"/>
  <c r="D26" i="4"/>
  <c r="C26" i="4"/>
  <c r="D25" i="4"/>
  <c r="E25" i="4" s="1"/>
  <c r="C25" i="4"/>
  <c r="D24" i="4"/>
  <c r="C24" i="4"/>
  <c r="E24" i="4" s="1"/>
  <c r="E23" i="4" s="1"/>
  <c r="E22" i="4"/>
  <c r="D22" i="4"/>
  <c r="C22" i="4"/>
  <c r="D21" i="4"/>
  <c r="E21" i="4" s="1"/>
  <c r="C21" i="4"/>
  <c r="D20" i="4"/>
  <c r="C20" i="4"/>
  <c r="E20" i="4" s="1"/>
  <c r="D19" i="4"/>
  <c r="C19" i="4"/>
  <c r="D18" i="4"/>
  <c r="C18" i="4"/>
  <c r="E18" i="4" s="1"/>
  <c r="D17" i="4"/>
  <c r="E17" i="4" s="1"/>
  <c r="C17" i="4"/>
  <c r="E16" i="4"/>
  <c r="D16" i="4"/>
  <c r="C16" i="4"/>
  <c r="D15" i="4"/>
  <c r="C15" i="4"/>
  <c r="E15" i="4" s="1"/>
  <c r="E14" i="4"/>
  <c r="D14" i="4"/>
  <c r="C14" i="4"/>
  <c r="D13" i="4"/>
  <c r="E13" i="4" s="1"/>
  <c r="C13" i="4"/>
  <c r="D12" i="4"/>
  <c r="C12" i="4"/>
  <c r="E12" i="4" s="1"/>
  <c r="F29" i="3"/>
  <c r="C29" i="3"/>
  <c r="G27" i="3"/>
  <c r="F27" i="3"/>
  <c r="D27" i="3"/>
  <c r="C27" i="3"/>
  <c r="G26" i="3"/>
  <c r="F26" i="3"/>
  <c r="D26" i="3"/>
  <c r="C26" i="3"/>
  <c r="G25" i="3"/>
  <c r="F25" i="3"/>
  <c r="D25" i="3"/>
  <c r="C25" i="3"/>
  <c r="G24" i="3"/>
  <c r="F24" i="3"/>
  <c r="D24" i="3"/>
  <c r="C24" i="3"/>
  <c r="G23" i="3"/>
  <c r="F23" i="3"/>
  <c r="D23" i="3"/>
  <c r="C23" i="3"/>
  <c r="G22" i="3"/>
  <c r="F22" i="3"/>
  <c r="D22" i="3"/>
  <c r="C22" i="3"/>
  <c r="G21" i="3"/>
  <c r="F21" i="3"/>
  <c r="D21" i="3"/>
  <c r="C21" i="3"/>
  <c r="G20" i="3"/>
  <c r="F20" i="3"/>
  <c r="D20" i="3"/>
  <c r="C20" i="3"/>
  <c r="G19" i="3"/>
  <c r="F19" i="3"/>
  <c r="D19" i="3"/>
  <c r="C19" i="3"/>
  <c r="G18" i="3"/>
  <c r="G16" i="3"/>
  <c r="F16" i="3"/>
  <c r="C16" i="3"/>
  <c r="D16" i="3" s="1"/>
  <c r="F15" i="3"/>
  <c r="C15" i="3"/>
  <c r="F14" i="3"/>
  <c r="C14" i="3"/>
  <c r="F13" i="3"/>
  <c r="C13" i="3"/>
  <c r="F12" i="3"/>
  <c r="C12" i="3"/>
  <c r="P83" i="2"/>
  <c r="Q83" i="2" s="1"/>
  <c r="M83" i="2"/>
  <c r="N83" i="2" s="1"/>
  <c r="J83" i="2"/>
  <c r="K83" i="2" s="1"/>
  <c r="G83" i="2"/>
  <c r="H83" i="2" s="1"/>
  <c r="D83" i="2"/>
  <c r="M81" i="2"/>
  <c r="L81" i="2"/>
  <c r="J81" i="2"/>
  <c r="G81" i="2"/>
  <c r="F81" i="2"/>
  <c r="D81" i="2"/>
  <c r="P80" i="2"/>
  <c r="P79" i="2" s="1"/>
  <c r="M80" i="2"/>
  <c r="L80" i="2"/>
  <c r="J80" i="2"/>
  <c r="G80" i="2"/>
  <c r="F80" i="2"/>
  <c r="F79" i="2" s="1"/>
  <c r="D80" i="2"/>
  <c r="E80" i="2" s="1"/>
  <c r="S78" i="2"/>
  <c r="S77" i="2" s="1"/>
  <c r="O78" i="2"/>
  <c r="Q78" i="2" s="1"/>
  <c r="Q77" i="2" s="1"/>
  <c r="L78" i="2"/>
  <c r="I78" i="2"/>
  <c r="F78" i="2"/>
  <c r="C78" i="2"/>
  <c r="E78" i="2" s="1"/>
  <c r="E77" i="2" s="1"/>
  <c r="P77" i="2"/>
  <c r="M77" i="2"/>
  <c r="J77" i="2"/>
  <c r="G77" i="2"/>
  <c r="D77" i="2"/>
  <c r="O76" i="2"/>
  <c r="L76" i="2"/>
  <c r="I76" i="2"/>
  <c r="F76" i="2"/>
  <c r="C76" i="2"/>
  <c r="P75" i="2"/>
  <c r="O75" i="2"/>
  <c r="M75" i="2"/>
  <c r="L75" i="2"/>
  <c r="J75" i="2"/>
  <c r="I75" i="2"/>
  <c r="G75" i="2"/>
  <c r="F75" i="2"/>
  <c r="D75" i="2"/>
  <c r="P74" i="2"/>
  <c r="M74" i="2"/>
  <c r="J74" i="2"/>
  <c r="G74" i="2"/>
  <c r="D74" i="2"/>
  <c r="P73" i="2"/>
  <c r="O73" i="2"/>
  <c r="M73" i="2"/>
  <c r="J73" i="2"/>
  <c r="I73" i="2"/>
  <c r="G73" i="2"/>
  <c r="D73" i="2"/>
  <c r="C73" i="2"/>
  <c r="P72" i="2"/>
  <c r="P71" i="2" s="1"/>
  <c r="M72" i="2"/>
  <c r="J72" i="2"/>
  <c r="G72" i="2"/>
  <c r="D72" i="2"/>
  <c r="P69" i="2"/>
  <c r="M69" i="2"/>
  <c r="J69" i="2"/>
  <c r="G69" i="2"/>
  <c r="F69" i="2"/>
  <c r="D69" i="2"/>
  <c r="C69" i="2"/>
  <c r="P68" i="2"/>
  <c r="P67" i="2" s="1"/>
  <c r="P66" i="2" s="1"/>
  <c r="O68" i="2"/>
  <c r="O67" i="2" s="1"/>
  <c r="O66" i="2" s="1"/>
  <c r="M68" i="2"/>
  <c r="M67" i="2" s="1"/>
  <c r="M66" i="2" s="1"/>
  <c r="L68" i="2"/>
  <c r="J68" i="2"/>
  <c r="J67" i="2" s="1"/>
  <c r="J66" i="2" s="1"/>
  <c r="I68" i="2"/>
  <c r="G68" i="2"/>
  <c r="G67" i="2" s="1"/>
  <c r="G66" i="2" s="1"/>
  <c r="F68" i="2"/>
  <c r="F67" i="2" s="1"/>
  <c r="F66" i="2" s="1"/>
  <c r="D68" i="2"/>
  <c r="D67" i="2" s="1"/>
  <c r="D66" i="2" s="1"/>
  <c r="C68" i="2"/>
  <c r="P65" i="2"/>
  <c r="O65" i="2"/>
  <c r="M65" i="2"/>
  <c r="L65" i="2"/>
  <c r="J65" i="2"/>
  <c r="I65" i="2"/>
  <c r="G65" i="2"/>
  <c r="F65" i="2"/>
  <c r="D65" i="2"/>
  <c r="C65" i="2"/>
  <c r="P64" i="2"/>
  <c r="O64" i="2"/>
  <c r="M64" i="2"/>
  <c r="L64" i="2"/>
  <c r="J64" i="2"/>
  <c r="I64" i="2"/>
  <c r="G64" i="2"/>
  <c r="F64" i="2"/>
  <c r="D64" i="2"/>
  <c r="C64" i="2"/>
  <c r="P63" i="2"/>
  <c r="O63" i="2"/>
  <c r="M63" i="2"/>
  <c r="L63" i="2"/>
  <c r="J63" i="2"/>
  <c r="I63" i="2"/>
  <c r="G63" i="2"/>
  <c r="F63" i="2"/>
  <c r="D63" i="2"/>
  <c r="C63" i="2"/>
  <c r="P62" i="2"/>
  <c r="O62" i="2"/>
  <c r="M62" i="2"/>
  <c r="L62" i="2"/>
  <c r="J62" i="2"/>
  <c r="I62" i="2"/>
  <c r="G62" i="2"/>
  <c r="F62" i="2"/>
  <c r="D62" i="2"/>
  <c r="C62" i="2"/>
  <c r="P60" i="2"/>
  <c r="P59" i="2" s="1"/>
  <c r="O60" i="2"/>
  <c r="M60" i="2"/>
  <c r="L60" i="2"/>
  <c r="L59" i="2" s="1"/>
  <c r="J60" i="2"/>
  <c r="J59" i="2" s="1"/>
  <c r="I60" i="2"/>
  <c r="G60" i="2"/>
  <c r="G59" i="2" s="1"/>
  <c r="F60" i="2"/>
  <c r="F59" i="2" s="1"/>
  <c r="D60" i="2"/>
  <c r="D59" i="2" s="1"/>
  <c r="C60" i="2"/>
  <c r="P57" i="2"/>
  <c r="O57" i="2"/>
  <c r="M57" i="2"/>
  <c r="L57" i="2"/>
  <c r="J57" i="2"/>
  <c r="I57" i="2"/>
  <c r="G57" i="2"/>
  <c r="F57" i="2"/>
  <c r="D57" i="2"/>
  <c r="C57" i="2"/>
  <c r="P56" i="2"/>
  <c r="O56" i="2"/>
  <c r="M56" i="2"/>
  <c r="L56" i="2"/>
  <c r="J56" i="2"/>
  <c r="I56" i="2"/>
  <c r="G56" i="2"/>
  <c r="F56" i="2"/>
  <c r="D56" i="2"/>
  <c r="C56" i="2"/>
  <c r="P55" i="2"/>
  <c r="O55" i="2"/>
  <c r="M55" i="2"/>
  <c r="L55" i="2"/>
  <c r="J55" i="2"/>
  <c r="I55" i="2"/>
  <c r="G55" i="2"/>
  <c r="F55" i="2"/>
  <c r="D55" i="2"/>
  <c r="C55" i="2"/>
  <c r="P54" i="2"/>
  <c r="O54" i="2"/>
  <c r="M54" i="2"/>
  <c r="L54" i="2"/>
  <c r="J54" i="2"/>
  <c r="I54" i="2"/>
  <c r="G54" i="2"/>
  <c r="F54" i="2"/>
  <c r="D54" i="2"/>
  <c r="C54" i="2"/>
  <c r="P52" i="2"/>
  <c r="O52" i="2"/>
  <c r="M52" i="2"/>
  <c r="L52" i="2"/>
  <c r="J52" i="2"/>
  <c r="I52" i="2"/>
  <c r="G52" i="2"/>
  <c r="F52" i="2"/>
  <c r="D52" i="2"/>
  <c r="C52" i="2"/>
  <c r="P51" i="2"/>
  <c r="O51" i="2"/>
  <c r="M51" i="2"/>
  <c r="L51" i="2"/>
  <c r="J51" i="2"/>
  <c r="I51" i="2"/>
  <c r="G51" i="2"/>
  <c r="F51" i="2"/>
  <c r="D51" i="2"/>
  <c r="C51" i="2"/>
  <c r="P50" i="2"/>
  <c r="O50" i="2"/>
  <c r="M50" i="2"/>
  <c r="L50" i="2"/>
  <c r="J50" i="2"/>
  <c r="I50" i="2"/>
  <c r="G50" i="2"/>
  <c r="F50" i="2"/>
  <c r="D50" i="2"/>
  <c r="C50" i="2"/>
  <c r="P49" i="2"/>
  <c r="O49" i="2"/>
  <c r="M49" i="2"/>
  <c r="L49" i="2"/>
  <c r="J49" i="2"/>
  <c r="I49" i="2"/>
  <c r="G49" i="2"/>
  <c r="F49" i="2"/>
  <c r="D49" i="2"/>
  <c r="C49" i="2"/>
  <c r="P48" i="2"/>
  <c r="O48" i="2"/>
  <c r="M48" i="2"/>
  <c r="L48" i="2"/>
  <c r="J48" i="2"/>
  <c r="I48" i="2"/>
  <c r="G48" i="2"/>
  <c r="F48" i="2"/>
  <c r="D48" i="2"/>
  <c r="C48" i="2"/>
  <c r="P47" i="2"/>
  <c r="O47" i="2"/>
  <c r="M47" i="2"/>
  <c r="L47" i="2"/>
  <c r="J47" i="2"/>
  <c r="I47" i="2"/>
  <c r="G47" i="2"/>
  <c r="F47" i="2"/>
  <c r="D47" i="2"/>
  <c r="C47" i="2"/>
  <c r="P45" i="2"/>
  <c r="O45" i="2"/>
  <c r="M45" i="2"/>
  <c r="L45" i="2"/>
  <c r="J45" i="2"/>
  <c r="I45" i="2"/>
  <c r="G45" i="2"/>
  <c r="F45" i="2"/>
  <c r="D45" i="2"/>
  <c r="C45" i="2"/>
  <c r="P44" i="2"/>
  <c r="O44" i="2"/>
  <c r="M44" i="2"/>
  <c r="L44" i="2"/>
  <c r="J44" i="2"/>
  <c r="I44" i="2"/>
  <c r="G44" i="2"/>
  <c r="G39" i="2" s="1"/>
  <c r="F44" i="2"/>
  <c r="D44" i="2"/>
  <c r="C44" i="2"/>
  <c r="P43" i="2"/>
  <c r="O43" i="2"/>
  <c r="M43" i="2"/>
  <c r="L43" i="2"/>
  <c r="I43" i="2"/>
  <c r="K43" i="2" s="1"/>
  <c r="F43" i="2"/>
  <c r="H43" i="2" s="1"/>
  <c r="D43" i="2"/>
  <c r="C43" i="2"/>
  <c r="P42" i="2"/>
  <c r="O42" i="2"/>
  <c r="M42" i="2"/>
  <c r="L42" i="2"/>
  <c r="I42" i="2"/>
  <c r="K42" i="2" s="1"/>
  <c r="F42" i="2"/>
  <c r="H42" i="2" s="1"/>
  <c r="D42" i="2"/>
  <c r="C42" i="2"/>
  <c r="P41" i="2"/>
  <c r="O41" i="2"/>
  <c r="M41" i="2"/>
  <c r="L41" i="2"/>
  <c r="I41" i="2"/>
  <c r="K41" i="2" s="1"/>
  <c r="F41" i="2"/>
  <c r="H41" i="2" s="1"/>
  <c r="D41" i="2"/>
  <c r="C41" i="2"/>
  <c r="P40" i="2"/>
  <c r="O40" i="2"/>
  <c r="M40" i="2"/>
  <c r="L40" i="2"/>
  <c r="I40" i="2"/>
  <c r="K40" i="2" s="1"/>
  <c r="F40" i="2"/>
  <c r="D40" i="2"/>
  <c r="C40" i="2"/>
  <c r="P38" i="2"/>
  <c r="O38" i="2"/>
  <c r="M38" i="2"/>
  <c r="L38" i="2"/>
  <c r="J38" i="2"/>
  <c r="I38" i="2"/>
  <c r="G38" i="2"/>
  <c r="F38" i="2"/>
  <c r="D38" i="2"/>
  <c r="C38" i="2"/>
  <c r="P37" i="2"/>
  <c r="O37" i="2"/>
  <c r="M37" i="2"/>
  <c r="L37" i="2"/>
  <c r="J37" i="2"/>
  <c r="I37" i="2"/>
  <c r="G37" i="2"/>
  <c r="F37" i="2"/>
  <c r="D37" i="2"/>
  <c r="C37" i="2"/>
  <c r="P36" i="2"/>
  <c r="O36" i="2"/>
  <c r="M36" i="2"/>
  <c r="L36" i="2"/>
  <c r="J36" i="2"/>
  <c r="I36" i="2"/>
  <c r="G36" i="2"/>
  <c r="F36" i="2"/>
  <c r="D36" i="2"/>
  <c r="C36" i="2"/>
  <c r="P35" i="2"/>
  <c r="O35" i="2"/>
  <c r="M35" i="2"/>
  <c r="N35" i="2" s="1"/>
  <c r="L35" i="2"/>
  <c r="J35" i="2"/>
  <c r="I35" i="2"/>
  <c r="K35" i="2" s="1"/>
  <c r="G35" i="2"/>
  <c r="F35" i="2"/>
  <c r="D35" i="2"/>
  <c r="C35" i="2"/>
  <c r="P34" i="2"/>
  <c r="O34" i="2"/>
  <c r="M34" i="2"/>
  <c r="L34" i="2"/>
  <c r="J34" i="2"/>
  <c r="I34" i="2"/>
  <c r="G34" i="2"/>
  <c r="F34" i="2"/>
  <c r="D34" i="2"/>
  <c r="C34" i="2"/>
  <c r="P33" i="2"/>
  <c r="O33" i="2"/>
  <c r="Q33" i="2" s="1"/>
  <c r="M33" i="2"/>
  <c r="L33" i="2"/>
  <c r="J33" i="2"/>
  <c r="I33" i="2"/>
  <c r="K33" i="2" s="1"/>
  <c r="G33" i="2"/>
  <c r="F33" i="2"/>
  <c r="D33" i="2"/>
  <c r="C33" i="2"/>
  <c r="P32" i="2"/>
  <c r="O32" i="2"/>
  <c r="M32" i="2"/>
  <c r="L32" i="2"/>
  <c r="J32" i="2"/>
  <c r="I32" i="2"/>
  <c r="G32" i="2"/>
  <c r="F32" i="2"/>
  <c r="D32" i="2"/>
  <c r="C32" i="2"/>
  <c r="P31" i="2"/>
  <c r="O31" i="2"/>
  <c r="M31" i="2"/>
  <c r="L31" i="2"/>
  <c r="J31" i="2"/>
  <c r="I31" i="2"/>
  <c r="G31" i="2"/>
  <c r="F31" i="2"/>
  <c r="D31" i="2"/>
  <c r="C31" i="2"/>
  <c r="P27" i="2"/>
  <c r="O27" i="2"/>
  <c r="M27" i="2"/>
  <c r="L27" i="2"/>
  <c r="N27" i="2" s="1"/>
  <c r="J27" i="2"/>
  <c r="I27" i="2"/>
  <c r="G27" i="2"/>
  <c r="F27" i="2"/>
  <c r="D27" i="2"/>
  <c r="C27" i="2"/>
  <c r="P26" i="2"/>
  <c r="O26" i="2"/>
  <c r="M26" i="2"/>
  <c r="L26" i="2"/>
  <c r="J26" i="2"/>
  <c r="I26" i="2"/>
  <c r="G26" i="2"/>
  <c r="F26" i="2"/>
  <c r="D26" i="2"/>
  <c r="C26" i="2"/>
  <c r="D25" i="2"/>
  <c r="Q24" i="2"/>
  <c r="Q23" i="2" s="1"/>
  <c r="N24" i="2"/>
  <c r="N23" i="2" s="1"/>
  <c r="K24" i="2"/>
  <c r="K23" i="2" s="1"/>
  <c r="G24" i="2"/>
  <c r="G23" i="2" s="1"/>
  <c r="F24" i="2"/>
  <c r="F23" i="2" s="1"/>
  <c r="D24" i="2"/>
  <c r="P23" i="2"/>
  <c r="O23" i="2"/>
  <c r="M23" i="2"/>
  <c r="L23" i="2"/>
  <c r="J23" i="2"/>
  <c r="I23" i="2"/>
  <c r="C23" i="2"/>
  <c r="P17" i="2"/>
  <c r="P16" i="2" s="1"/>
  <c r="P15" i="2" s="1"/>
  <c r="P14" i="2" s="1"/>
  <c r="P13" i="2" s="1"/>
  <c r="O17" i="2"/>
  <c r="M17" i="2"/>
  <c r="N17" i="2" s="1"/>
  <c r="N16" i="2" s="1"/>
  <c r="N15" i="2" s="1"/>
  <c r="N14" i="2" s="1"/>
  <c r="N13" i="2" s="1"/>
  <c r="J17" i="2"/>
  <c r="J16" i="2" s="1"/>
  <c r="J15" i="2" s="1"/>
  <c r="J14" i="2" s="1"/>
  <c r="J13" i="2" s="1"/>
  <c r="G17" i="2"/>
  <c r="L16" i="2"/>
  <c r="L15" i="2" s="1"/>
  <c r="L14" i="2" s="1"/>
  <c r="L13" i="2" s="1"/>
  <c r="I16" i="2"/>
  <c r="I15" i="2" s="1"/>
  <c r="I14" i="2" s="1"/>
  <c r="I13" i="2" s="1"/>
  <c r="D16" i="2"/>
  <c r="D15" i="2" s="1"/>
  <c r="D14" i="2" s="1"/>
  <c r="D13" i="2" s="1"/>
  <c r="C16" i="2"/>
  <c r="C15" i="2" s="1"/>
  <c r="C14" i="2" s="1"/>
  <c r="P25" i="2" l="1"/>
  <c r="N36" i="2"/>
  <c r="K37" i="2"/>
  <c r="J39" i="2"/>
  <c r="D46" i="2"/>
  <c r="M53" i="2"/>
  <c r="N57" i="2"/>
  <c r="K27" i="2"/>
  <c r="H31" i="2"/>
  <c r="Q34" i="2"/>
  <c r="H35" i="2"/>
  <c r="G22" i="2"/>
  <c r="G21" i="2" s="1"/>
  <c r="G25" i="2"/>
  <c r="M25" i="2"/>
  <c r="M22" i="2" s="1"/>
  <c r="M21" i="2" s="1"/>
  <c r="H45" i="2"/>
  <c r="N45" i="2"/>
  <c r="N48" i="2"/>
  <c r="Q49" i="2"/>
  <c r="H50" i="2"/>
  <c r="N52" i="2"/>
  <c r="F61" i="2"/>
  <c r="Q43" i="2"/>
  <c r="N44" i="2"/>
  <c r="E45" i="2"/>
  <c r="K45" i="2"/>
  <c r="Q45" i="2"/>
  <c r="N49" i="2"/>
  <c r="K50" i="2"/>
  <c r="E69" i="2"/>
  <c r="C13" i="2"/>
  <c r="R18" i="2"/>
  <c r="T19" i="2"/>
  <c r="T18" i="2" s="1"/>
  <c r="D26" i="1"/>
  <c r="D25" i="1" s="1"/>
  <c r="N31" i="2"/>
  <c r="P30" i="2"/>
  <c r="Q38" i="2"/>
  <c r="E55" i="2"/>
  <c r="N56" i="2"/>
  <c r="E57" i="2"/>
  <c r="L61" i="2"/>
  <c r="L58" i="2" s="1"/>
  <c r="K64" i="2"/>
  <c r="Q64" i="2"/>
  <c r="H65" i="2"/>
  <c r="K75" i="2"/>
  <c r="N80" i="2"/>
  <c r="I25" i="2"/>
  <c r="I22" i="2" s="1"/>
  <c r="I21" i="2" s="1"/>
  <c r="C30" i="2"/>
  <c r="I30" i="2"/>
  <c r="R32" i="2"/>
  <c r="L30" i="2"/>
  <c r="L39" i="2"/>
  <c r="P53" i="2"/>
  <c r="D61" i="2"/>
  <c r="D58" i="2" s="1"/>
  <c r="J61" i="2"/>
  <c r="J58" i="2" s="1"/>
  <c r="Q37" i="2"/>
  <c r="N40" i="2"/>
  <c r="J46" i="2"/>
  <c r="K54" i="2"/>
  <c r="H55" i="2"/>
  <c r="N55" i="2"/>
  <c r="K56" i="2"/>
  <c r="E63" i="2"/>
  <c r="Q63" i="2"/>
  <c r="N64" i="2"/>
  <c r="E65" i="2"/>
  <c r="K65" i="2"/>
  <c r="M71" i="2"/>
  <c r="J71" i="2"/>
  <c r="H75" i="2"/>
  <c r="R76" i="2"/>
  <c r="C24" i="1" s="1"/>
  <c r="K80" i="2"/>
  <c r="G79" i="2"/>
  <c r="Q17" i="2"/>
  <c r="Q16" i="2" s="1"/>
  <c r="Q15" i="2" s="1"/>
  <c r="Q14" i="2" s="1"/>
  <c r="Q13" i="2" s="1"/>
  <c r="H26" i="2"/>
  <c r="N33" i="2"/>
  <c r="Q36" i="2"/>
  <c r="N38" i="2"/>
  <c r="Q40" i="2"/>
  <c r="D39" i="2"/>
  <c r="H48" i="2"/>
  <c r="Q51" i="2"/>
  <c r="H52" i="2"/>
  <c r="N54" i="2"/>
  <c r="H56" i="2"/>
  <c r="Q57" i="2"/>
  <c r="F58" i="2"/>
  <c r="Q62" i="2"/>
  <c r="H63" i="2"/>
  <c r="N68" i="2"/>
  <c r="N67" i="2" s="1"/>
  <c r="N66" i="2" s="1"/>
  <c r="K69" i="2"/>
  <c r="K73" i="2"/>
  <c r="N75" i="2"/>
  <c r="H80" i="2"/>
  <c r="S17" i="2"/>
  <c r="S16" i="2" s="1"/>
  <c r="S15" i="2" s="1"/>
  <c r="K31" i="2"/>
  <c r="R34" i="2"/>
  <c r="R35" i="2"/>
  <c r="S72" i="2"/>
  <c r="D20" i="1" s="1"/>
  <c r="O77" i="2"/>
  <c r="S81" i="2"/>
  <c r="D29" i="1" s="1"/>
  <c r="K26" i="2"/>
  <c r="Q32" i="2"/>
  <c r="N34" i="2"/>
  <c r="Q35" i="2"/>
  <c r="R37" i="2"/>
  <c r="N37" i="2"/>
  <c r="P39" i="2"/>
  <c r="M46" i="2"/>
  <c r="K48" i="2"/>
  <c r="S50" i="2"/>
  <c r="K52" i="2"/>
  <c r="Q60" i="2"/>
  <c r="Q59" i="2" s="1"/>
  <c r="P61" i="2"/>
  <c r="P58" i="2" s="1"/>
  <c r="G61" i="2"/>
  <c r="G58" i="2" s="1"/>
  <c r="K63" i="2"/>
  <c r="S64" i="2"/>
  <c r="Q68" i="2"/>
  <c r="Q67" i="2" s="1"/>
  <c r="Q66" i="2" s="1"/>
  <c r="H69" i="2"/>
  <c r="G71" i="2"/>
  <c r="D71" i="2"/>
  <c r="Q75" i="2"/>
  <c r="R27" i="2"/>
  <c r="H32" i="2"/>
  <c r="H34" i="2"/>
  <c r="O39" i="2"/>
  <c r="N42" i="2"/>
  <c r="S54" i="2"/>
  <c r="R55" i="2"/>
  <c r="O59" i="2"/>
  <c r="S69" i="2"/>
  <c r="D17" i="1" s="1"/>
  <c r="R80" i="2"/>
  <c r="P22" i="2"/>
  <c r="P21" i="2" s="1"/>
  <c r="R26" i="2"/>
  <c r="S31" i="2"/>
  <c r="S37" i="2"/>
  <c r="N41" i="2"/>
  <c r="Q42" i="2"/>
  <c r="S44" i="2"/>
  <c r="K44" i="2"/>
  <c r="Q44" i="2"/>
  <c r="E50" i="2"/>
  <c r="N50" i="2"/>
  <c r="S57" i="2"/>
  <c r="K57" i="2"/>
  <c r="O61" i="2"/>
  <c r="L67" i="2"/>
  <c r="L66" i="2" s="1"/>
  <c r="Q69" i="2"/>
  <c r="S73" i="2"/>
  <c r="D21" i="1" s="1"/>
  <c r="S75" i="2"/>
  <c r="D23" i="1" s="1"/>
  <c r="S65" i="2"/>
  <c r="K17" i="2"/>
  <c r="K16" i="2" s="1"/>
  <c r="K15" i="2" s="1"/>
  <c r="K14" i="2" s="1"/>
  <c r="K13" i="2" s="1"/>
  <c r="J25" i="2"/>
  <c r="J22" i="2" s="1"/>
  <c r="J21" i="2" s="1"/>
  <c r="S26" i="2"/>
  <c r="N26" i="2"/>
  <c r="N25" i="2" s="1"/>
  <c r="N22" i="2" s="1"/>
  <c r="N21" i="2" s="1"/>
  <c r="Q27" i="2"/>
  <c r="R36" i="2"/>
  <c r="R38" i="2"/>
  <c r="Q41" i="2"/>
  <c r="H47" i="2"/>
  <c r="Q50" i="2"/>
  <c r="R51" i="2"/>
  <c r="J53" i="2"/>
  <c r="Q55" i="2"/>
  <c r="H57" i="2"/>
  <c r="S63" i="2"/>
  <c r="Q65" i="2"/>
  <c r="Q73" i="2"/>
  <c r="C77" i="2"/>
  <c r="J79" i="2"/>
  <c r="H81" i="2"/>
  <c r="N81" i="2"/>
  <c r="Q31" i="2"/>
  <c r="O30" i="2"/>
  <c r="N32" i="2"/>
  <c r="M30" i="2"/>
  <c r="S34" i="2"/>
  <c r="E34" i="2"/>
  <c r="H40" i="2"/>
  <c r="F39" i="2"/>
  <c r="R40" i="2"/>
  <c r="E43" i="2"/>
  <c r="C39" i="2"/>
  <c r="R43" i="2"/>
  <c r="R50" i="2"/>
  <c r="Q54" i="2"/>
  <c r="O53" i="2"/>
  <c r="S56" i="2"/>
  <c r="D53" i="2"/>
  <c r="R57" i="2"/>
  <c r="G16" i="2"/>
  <c r="G15" i="2" s="1"/>
  <c r="G14" i="2" s="1"/>
  <c r="G13" i="2" s="1"/>
  <c r="M16" i="2"/>
  <c r="M15" i="2" s="1"/>
  <c r="M14" i="2" s="1"/>
  <c r="M13" i="2" s="1"/>
  <c r="H17" i="2"/>
  <c r="H16" i="2" s="1"/>
  <c r="H15" i="2" s="1"/>
  <c r="H14" i="2" s="1"/>
  <c r="H13" i="2" s="1"/>
  <c r="F25" i="2"/>
  <c r="F22" i="2" s="1"/>
  <c r="F21" i="2" s="1"/>
  <c r="L25" i="2"/>
  <c r="L22" i="2" s="1"/>
  <c r="L21" i="2" s="1"/>
  <c r="K25" i="2"/>
  <c r="K22" i="2" s="1"/>
  <c r="K21" i="2" s="1"/>
  <c r="Q26" i="2"/>
  <c r="H27" i="2"/>
  <c r="G30" i="2"/>
  <c r="S32" i="2"/>
  <c r="E32" i="2"/>
  <c r="R33" i="2"/>
  <c r="S35" i="2"/>
  <c r="H37" i="2"/>
  <c r="H38" i="2"/>
  <c r="M39" i="2"/>
  <c r="N43" i="2"/>
  <c r="G46" i="2"/>
  <c r="H51" i="2"/>
  <c r="G53" i="2"/>
  <c r="O16" i="2"/>
  <c r="O15" i="2" s="1"/>
  <c r="O14" i="2" s="1"/>
  <c r="O13" i="2" s="1"/>
  <c r="R17" i="2"/>
  <c r="H24" i="2"/>
  <c r="H23" i="2" s="1"/>
  <c r="R24" i="2"/>
  <c r="S27" i="2"/>
  <c r="E27" i="2"/>
  <c r="D30" i="2"/>
  <c r="R31" i="2"/>
  <c r="S33" i="2"/>
  <c r="H36" i="2"/>
  <c r="S38" i="2"/>
  <c r="E38" i="2"/>
  <c r="S42" i="2"/>
  <c r="E42" i="2"/>
  <c r="S48" i="2"/>
  <c r="S49" i="2"/>
  <c r="E49" i="2"/>
  <c r="S52" i="2"/>
  <c r="I53" i="2"/>
  <c r="R62" i="2"/>
  <c r="E62" i="2"/>
  <c r="C61" i="2"/>
  <c r="K62" i="2"/>
  <c r="I61" i="2"/>
  <c r="K78" i="2"/>
  <c r="K77" i="2" s="1"/>
  <c r="I77" i="2"/>
  <c r="D23" i="2"/>
  <c r="D22" i="2" s="1"/>
  <c r="D21" i="2" s="1"/>
  <c r="S24" i="2"/>
  <c r="S23" i="2" s="1"/>
  <c r="E24" i="2"/>
  <c r="E23" i="2" s="1"/>
  <c r="E26" i="2"/>
  <c r="F30" i="2"/>
  <c r="J30" i="2"/>
  <c r="H33" i="2"/>
  <c r="S36" i="2"/>
  <c r="E36" i="2"/>
  <c r="E40" i="2"/>
  <c r="S40" i="2"/>
  <c r="S41" i="2"/>
  <c r="E41" i="2"/>
  <c r="R41" i="2"/>
  <c r="R42" i="2"/>
  <c r="R45" i="2"/>
  <c r="O46" i="2"/>
  <c r="R47" i="2"/>
  <c r="F46" i="2"/>
  <c r="Q47" i="2"/>
  <c r="P46" i="2"/>
  <c r="K32" i="2"/>
  <c r="K34" i="2"/>
  <c r="K36" i="2"/>
  <c r="K38" i="2"/>
  <c r="I39" i="2"/>
  <c r="H44" i="2"/>
  <c r="S47" i="2"/>
  <c r="E47" i="2"/>
  <c r="E48" i="2"/>
  <c r="C46" i="2"/>
  <c r="R48" i="2"/>
  <c r="R49" i="2"/>
  <c r="N51" i="2"/>
  <c r="Q52" i="2"/>
  <c r="F53" i="2"/>
  <c r="R60" i="2"/>
  <c r="E60" i="2"/>
  <c r="E59" i="2" s="1"/>
  <c r="C59" i="2"/>
  <c r="K60" i="2"/>
  <c r="K59" i="2" s="1"/>
  <c r="I59" i="2"/>
  <c r="I58" i="2" s="1"/>
  <c r="S68" i="2"/>
  <c r="S67" i="2" s="1"/>
  <c r="S66" i="2" s="1"/>
  <c r="E73" i="2"/>
  <c r="S80" i="2"/>
  <c r="D79" i="2"/>
  <c r="E11" i="4"/>
  <c r="E36" i="4" s="1"/>
  <c r="C75" i="2" s="1"/>
  <c r="F16" i="2"/>
  <c r="F15" i="2" s="1"/>
  <c r="F14" i="2" s="1"/>
  <c r="F13" i="2" s="1"/>
  <c r="C25" i="2"/>
  <c r="C22" i="2" s="1"/>
  <c r="C21" i="2" s="1"/>
  <c r="O25" i="2"/>
  <c r="O22" i="2" s="1"/>
  <c r="O21" i="2" s="1"/>
  <c r="E31" i="2"/>
  <c r="E33" i="2"/>
  <c r="E35" i="2"/>
  <c r="E37" i="2"/>
  <c r="R44" i="2"/>
  <c r="T44" i="2" s="1"/>
  <c r="S45" i="2"/>
  <c r="L46" i="2"/>
  <c r="N47" i="2"/>
  <c r="Q48" i="2"/>
  <c r="H49" i="2"/>
  <c r="S51" i="2"/>
  <c r="E51" i="2"/>
  <c r="E52" i="2"/>
  <c r="R52" i="2"/>
  <c r="E54" i="2"/>
  <c r="C53" i="2"/>
  <c r="R54" i="2"/>
  <c r="H54" i="2"/>
  <c r="L53" i="2"/>
  <c r="K55" i="2"/>
  <c r="R56" i="2"/>
  <c r="E56" i="2"/>
  <c r="R64" i="2"/>
  <c r="E64" i="2"/>
  <c r="S74" i="2"/>
  <c r="E22" i="5"/>
  <c r="S43" i="2"/>
  <c r="E44" i="2"/>
  <c r="K47" i="2"/>
  <c r="I46" i="2"/>
  <c r="K49" i="2"/>
  <c r="K51" i="2"/>
  <c r="S55" i="2"/>
  <c r="Q56" i="2"/>
  <c r="N60" i="2"/>
  <c r="N59" i="2" s="1"/>
  <c r="M59" i="2"/>
  <c r="S60" i="2"/>
  <c r="S59" i="2" s="1"/>
  <c r="N62" i="2"/>
  <c r="M61" i="2"/>
  <c r="S62" i="2"/>
  <c r="R68" i="2"/>
  <c r="E68" i="2"/>
  <c r="E67" i="2" s="1"/>
  <c r="E66" i="2" s="1"/>
  <c r="C67" i="2"/>
  <c r="C66" i="2" s="1"/>
  <c r="K68" i="2"/>
  <c r="K67" i="2" s="1"/>
  <c r="K66" i="2" s="1"/>
  <c r="I67" i="2"/>
  <c r="I66" i="2" s="1"/>
  <c r="N78" i="2"/>
  <c r="N77" i="2" s="1"/>
  <c r="L77" i="2"/>
  <c r="D13" i="3"/>
  <c r="G13" i="3"/>
  <c r="D15" i="3"/>
  <c r="G15" i="3"/>
  <c r="E13" i="5"/>
  <c r="E12" i="5" s="1"/>
  <c r="E11" i="5" s="1"/>
  <c r="E37" i="5" s="1"/>
  <c r="E19" i="5"/>
  <c r="R63" i="2"/>
  <c r="N63" i="2"/>
  <c r="R65" i="2"/>
  <c r="N65" i="2"/>
  <c r="R69" i="2"/>
  <c r="N69" i="2"/>
  <c r="Q80" i="2"/>
  <c r="Q79" i="2" s="1"/>
  <c r="R81" i="2"/>
  <c r="D12" i="3"/>
  <c r="G12" i="3"/>
  <c r="D14" i="3"/>
  <c r="G14" i="3"/>
  <c r="G29" i="3"/>
  <c r="G28" i="3" s="1"/>
  <c r="D29" i="3"/>
  <c r="E17" i="5"/>
  <c r="E16" i="5" s="1"/>
  <c r="E15" i="5" s="1"/>
  <c r="H60" i="2"/>
  <c r="H59" i="2" s="1"/>
  <c r="H62" i="2"/>
  <c r="H64" i="2"/>
  <c r="H68" i="2"/>
  <c r="H67" i="2" s="1"/>
  <c r="H66" i="2" s="1"/>
  <c r="F77" i="2"/>
  <c r="H78" i="2"/>
  <c r="H77" i="2" s="1"/>
  <c r="R78" i="2"/>
  <c r="K81" i="2"/>
  <c r="S83" i="2"/>
  <c r="T83" i="2" s="1"/>
  <c r="E83" i="2"/>
  <c r="F73" i="2"/>
  <c r="H73" i="2" s="1"/>
  <c r="L73" i="2"/>
  <c r="N73" i="2" s="1"/>
  <c r="E19" i="4"/>
  <c r="E81" i="2"/>
  <c r="E79" i="2" s="1"/>
  <c r="R79" i="2" l="1"/>
  <c r="C29" i="1"/>
  <c r="T55" i="2"/>
  <c r="N53" i="2"/>
  <c r="K61" i="2"/>
  <c r="K58" i="2" s="1"/>
  <c r="T35" i="2"/>
  <c r="K39" i="2"/>
  <c r="T36" i="2"/>
  <c r="Q61" i="2"/>
  <c r="Q58" i="2" s="1"/>
  <c r="T64" i="2"/>
  <c r="H25" i="2"/>
  <c r="N79" i="2"/>
  <c r="K79" i="2"/>
  <c r="T65" i="2"/>
  <c r="K53" i="2"/>
  <c r="N46" i="2"/>
  <c r="T32" i="2"/>
  <c r="T50" i="2"/>
  <c r="T34" i="2"/>
  <c r="Q30" i="2"/>
  <c r="T38" i="2"/>
  <c r="Q39" i="2"/>
  <c r="J29" i="2"/>
  <c r="J28" i="2" s="1"/>
  <c r="J20" i="2" s="1"/>
  <c r="J12" i="2" s="1"/>
  <c r="T27" i="2"/>
  <c r="N39" i="2"/>
  <c r="H53" i="2"/>
  <c r="T52" i="2"/>
  <c r="R14" i="2"/>
  <c r="C13" i="1" s="1"/>
  <c r="N30" i="2"/>
  <c r="T26" i="2"/>
  <c r="T25" i="2" s="1"/>
  <c r="O58" i="2"/>
  <c r="S61" i="2"/>
  <c r="S58" i="2" s="1"/>
  <c r="I29" i="2"/>
  <c r="I28" i="2" s="1"/>
  <c r="I20" i="2" s="1"/>
  <c r="I12" i="2" s="1"/>
  <c r="H22" i="2"/>
  <c r="H21" i="2" s="1"/>
  <c r="T57" i="2"/>
  <c r="R25" i="2"/>
  <c r="T37" i="2"/>
  <c r="H46" i="2"/>
  <c r="T48" i="2"/>
  <c r="P29" i="2"/>
  <c r="P28" i="2" s="1"/>
  <c r="P20" i="2" s="1"/>
  <c r="P12" i="2" s="1"/>
  <c r="S53" i="2"/>
  <c r="M58" i="2"/>
  <c r="S30" i="2"/>
  <c r="R73" i="2"/>
  <c r="C21" i="1" s="1"/>
  <c r="E21" i="1" s="1"/>
  <c r="C58" i="2"/>
  <c r="C29" i="2"/>
  <c r="T80" i="2"/>
  <c r="T63" i="2"/>
  <c r="E53" i="2"/>
  <c r="T51" i="2"/>
  <c r="K30" i="2"/>
  <c r="H30" i="2"/>
  <c r="Q25" i="2"/>
  <c r="Q22" i="2" s="1"/>
  <c r="Q21" i="2" s="1"/>
  <c r="L74" i="2"/>
  <c r="N74" i="2" s="1"/>
  <c r="F74" i="2"/>
  <c r="H74" i="2" s="1"/>
  <c r="C74" i="2"/>
  <c r="O74" i="2"/>
  <c r="Q74" i="2" s="1"/>
  <c r="I74" i="2"/>
  <c r="K74" i="2" s="1"/>
  <c r="P76" i="2"/>
  <c r="D76" i="2"/>
  <c r="J76" i="2"/>
  <c r="M76" i="2"/>
  <c r="G76" i="2"/>
  <c r="Q46" i="2"/>
  <c r="T33" i="2"/>
  <c r="S14" i="2"/>
  <c r="D13" i="1" s="1"/>
  <c r="T40" i="2"/>
  <c r="R39" i="2"/>
  <c r="S25" i="2"/>
  <c r="S22" i="2" s="1"/>
  <c r="S21" i="2" s="1"/>
  <c r="T81" i="2"/>
  <c r="T79" i="2" s="1"/>
  <c r="T69" i="2"/>
  <c r="C17" i="1"/>
  <c r="E17" i="1" s="1"/>
  <c r="N61" i="2"/>
  <c r="N58" i="2" s="1"/>
  <c r="T56" i="2"/>
  <c r="T54" i="2"/>
  <c r="R53" i="2"/>
  <c r="E30" i="2"/>
  <c r="T42" i="2"/>
  <c r="S39" i="2"/>
  <c r="E25" i="2"/>
  <c r="E22" i="2" s="1"/>
  <c r="E21" i="2" s="1"/>
  <c r="E61" i="2"/>
  <c r="E58" i="2" s="1"/>
  <c r="R30" i="2"/>
  <c r="T31" i="2"/>
  <c r="R23" i="2"/>
  <c r="T24" i="2"/>
  <c r="T23" i="2" s="1"/>
  <c r="T43" i="2"/>
  <c r="M29" i="2"/>
  <c r="M28" i="2" s="1"/>
  <c r="M20" i="2" s="1"/>
  <c r="M12" i="2" s="1"/>
  <c r="D22" i="1"/>
  <c r="D19" i="1" s="1"/>
  <c r="S71" i="2"/>
  <c r="L29" i="2"/>
  <c r="L28" i="2" s="1"/>
  <c r="L20" i="2" s="1"/>
  <c r="L12" i="2" s="1"/>
  <c r="R75" i="2"/>
  <c r="E75" i="2"/>
  <c r="S46" i="2"/>
  <c r="T17" i="2"/>
  <c r="T16" i="2" s="1"/>
  <c r="T15" i="2" s="1"/>
  <c r="R16" i="2"/>
  <c r="R15" i="2" s="1"/>
  <c r="G29" i="2"/>
  <c r="G28" i="2" s="1"/>
  <c r="G20" i="2" s="1"/>
  <c r="O29" i="2"/>
  <c r="O28" i="2" s="1"/>
  <c r="O20" i="2" s="1"/>
  <c r="O12" i="2" s="1"/>
  <c r="D31" i="1"/>
  <c r="E31" i="1" s="1"/>
  <c r="H61" i="2"/>
  <c r="H58" i="2" s="1"/>
  <c r="T45" i="2"/>
  <c r="F29" i="2"/>
  <c r="F28" i="2" s="1"/>
  <c r="F20" i="2" s="1"/>
  <c r="R77" i="2"/>
  <c r="T78" i="2"/>
  <c r="T77" i="2" s="1"/>
  <c r="C26" i="1"/>
  <c r="T68" i="2"/>
  <c r="T67" i="2" s="1"/>
  <c r="T66" i="2" s="1"/>
  <c r="R67" i="2"/>
  <c r="R66" i="2" s="1"/>
  <c r="K46" i="2"/>
  <c r="S79" i="2"/>
  <c r="T60" i="2"/>
  <c r="T59" i="2" s="1"/>
  <c r="R59" i="2"/>
  <c r="T49" i="2"/>
  <c r="E46" i="2"/>
  <c r="T47" i="2"/>
  <c r="R46" i="2"/>
  <c r="T41" i="2"/>
  <c r="E39" i="2"/>
  <c r="T62" i="2"/>
  <c r="R61" i="2"/>
  <c r="D29" i="2"/>
  <c r="D28" i="2" s="1"/>
  <c r="D20" i="2" s="1"/>
  <c r="D12" i="2" s="1"/>
  <c r="Q53" i="2"/>
  <c r="H39" i="2"/>
  <c r="C27" i="1" l="1"/>
  <c r="E29" i="1"/>
  <c r="T61" i="2"/>
  <c r="N29" i="2"/>
  <c r="N28" i="2" s="1"/>
  <c r="N20" i="2" s="1"/>
  <c r="N12" i="2" s="1"/>
  <c r="K29" i="2"/>
  <c r="K28" i="2" s="1"/>
  <c r="K20" i="2" s="1"/>
  <c r="K12" i="2" s="1"/>
  <c r="D12" i="1"/>
  <c r="S13" i="2"/>
  <c r="R13" i="2"/>
  <c r="G12" i="2"/>
  <c r="R22" i="2"/>
  <c r="R21" i="2" s="1"/>
  <c r="H29" i="2"/>
  <c r="H28" i="2" s="1"/>
  <c r="H20" i="2" s="1"/>
  <c r="H12" i="2" s="1"/>
  <c r="T53" i="2"/>
  <c r="Q29" i="2"/>
  <c r="Q28" i="2" s="1"/>
  <c r="Q20" i="2" s="1"/>
  <c r="Q12" i="2" s="1"/>
  <c r="T73" i="2"/>
  <c r="R58" i="2"/>
  <c r="S29" i="2"/>
  <c r="S28" i="2" s="1"/>
  <c r="D16" i="1" s="1"/>
  <c r="T46" i="2"/>
  <c r="E29" i="2"/>
  <c r="E28" i="2" s="1"/>
  <c r="E20" i="2" s="1"/>
  <c r="E12" i="2" s="1"/>
  <c r="C28" i="2"/>
  <c r="C20" i="2" s="1"/>
  <c r="C12" i="2" s="1"/>
  <c r="T14" i="2"/>
  <c r="T13" i="2" s="1"/>
  <c r="R29" i="2"/>
  <c r="Q72" i="2"/>
  <c r="Q71" i="2" s="1"/>
  <c r="O71" i="2"/>
  <c r="O70" i="2" s="1"/>
  <c r="O84" i="2" s="1"/>
  <c r="M70" i="2"/>
  <c r="M84" i="2" s="1"/>
  <c r="N76" i="2"/>
  <c r="T58" i="2"/>
  <c r="E26" i="1"/>
  <c r="C25" i="1"/>
  <c r="D15" i="1"/>
  <c r="T22" i="2"/>
  <c r="T21" i="2" s="1"/>
  <c r="H72" i="2"/>
  <c r="H71" i="2" s="1"/>
  <c r="F71" i="2"/>
  <c r="F70" i="2" s="1"/>
  <c r="J70" i="2"/>
  <c r="J84" i="2" s="1"/>
  <c r="K76" i="2"/>
  <c r="E28" i="1"/>
  <c r="T39" i="2"/>
  <c r="K72" i="2"/>
  <c r="K71" i="2" s="1"/>
  <c r="I71" i="2"/>
  <c r="I70" i="2" s="1"/>
  <c r="I84" i="2" s="1"/>
  <c r="N72" i="2"/>
  <c r="N71" i="2" s="1"/>
  <c r="L71" i="2"/>
  <c r="L70" i="2" s="1"/>
  <c r="L84" i="2" s="1"/>
  <c r="D70" i="2"/>
  <c r="D84" i="2" s="1"/>
  <c r="E76" i="2"/>
  <c r="S76" i="2"/>
  <c r="S70" i="2" s="1"/>
  <c r="R74" i="2"/>
  <c r="E74" i="2"/>
  <c r="T75" i="2"/>
  <c r="C23" i="1"/>
  <c r="E23" i="1" s="1"/>
  <c r="T30" i="2"/>
  <c r="F12" i="2"/>
  <c r="R72" i="2"/>
  <c r="E72" i="2"/>
  <c r="C71" i="2"/>
  <c r="C70" i="2" s="1"/>
  <c r="H76" i="2"/>
  <c r="G70" i="2"/>
  <c r="P70" i="2"/>
  <c r="P84" i="2" s="1"/>
  <c r="Q76" i="2"/>
  <c r="E27" i="1" l="1"/>
  <c r="R28" i="2"/>
  <c r="C16" i="1" s="1"/>
  <c r="E16" i="1" s="1"/>
  <c r="E13" i="1"/>
  <c r="G84" i="2"/>
  <c r="F84" i="2"/>
  <c r="C15" i="1"/>
  <c r="C14" i="1" s="1"/>
  <c r="N70" i="2"/>
  <c r="N84" i="2" s="1"/>
  <c r="C84" i="2"/>
  <c r="S20" i="2"/>
  <c r="S12" i="2" s="1"/>
  <c r="S84" i="2" s="1"/>
  <c r="D14" i="1"/>
  <c r="D11" i="1" s="1"/>
  <c r="K70" i="2"/>
  <c r="K84" i="2" s="1"/>
  <c r="Q70" i="2"/>
  <c r="Q84" i="2" s="1"/>
  <c r="H70" i="2"/>
  <c r="H84" i="2" s="1"/>
  <c r="T74" i="2"/>
  <c r="C22" i="1"/>
  <c r="E22" i="1" s="1"/>
  <c r="E71" i="2"/>
  <c r="E70" i="2" s="1"/>
  <c r="E84" i="2" s="1"/>
  <c r="D24" i="1"/>
  <c r="T76" i="2"/>
  <c r="E25" i="1"/>
  <c r="T72" i="2"/>
  <c r="R71" i="2"/>
  <c r="R70" i="2" s="1"/>
  <c r="C20" i="1"/>
  <c r="T29" i="2"/>
  <c r="T28" i="2" s="1"/>
  <c r="T20" i="2" s="1"/>
  <c r="R20" i="2" l="1"/>
  <c r="R12" i="2" s="1"/>
  <c r="R84" i="2" s="1"/>
  <c r="D88" i="2" s="1"/>
  <c r="E15" i="1"/>
  <c r="E14" i="1" s="1"/>
  <c r="T71" i="2"/>
  <c r="T70" i="2" s="1"/>
  <c r="T12" i="2"/>
  <c r="E20" i="1"/>
  <c r="C19" i="1"/>
  <c r="C18" i="1" s="1"/>
  <c r="E24" i="1"/>
  <c r="D18" i="1"/>
  <c r="D32" i="1" s="1"/>
  <c r="C12" i="1"/>
  <c r="C11" i="1" s="1"/>
  <c r="T84" i="2" l="1"/>
  <c r="G88" i="2"/>
  <c r="E88" i="2"/>
  <c r="C88" i="2"/>
  <c r="C32" i="1"/>
  <c r="F88" i="2"/>
  <c r="E12" i="1"/>
  <c r="E11" i="1" s="1"/>
  <c r="E19" i="1"/>
  <c r="E18" i="1" s="1"/>
  <c r="H88" i="2" l="1"/>
  <c r="E32" i="1"/>
  <c r="F30" i="1" l="1"/>
  <c r="F29" i="1"/>
  <c r="F31" i="1"/>
  <c r="F17" i="1"/>
  <c r="F21" i="1"/>
  <c r="F23" i="1"/>
  <c r="F16" i="1"/>
  <c r="F26" i="1"/>
  <c r="F25" i="1" s="1"/>
  <c r="F28" i="1"/>
  <c r="F13" i="1"/>
  <c r="F22" i="1"/>
  <c r="F15" i="1"/>
  <c r="D33" i="1"/>
  <c r="F24" i="1"/>
  <c r="F20" i="1"/>
  <c r="C33" i="1"/>
  <c r="F27" i="1" l="1"/>
  <c r="F19" i="1"/>
  <c r="F18" i="1" s="1"/>
  <c r="E33" i="1"/>
  <c r="F12" i="1"/>
  <c r="F14" i="1"/>
  <c r="F11" i="1" l="1"/>
  <c r="F32" i="1" s="1"/>
</calcChain>
</file>

<file path=xl/sharedStrings.xml><?xml version="1.0" encoding="utf-8"?>
<sst xmlns="http://schemas.openxmlformats.org/spreadsheetml/2006/main" count="310" uniqueCount="222">
  <si>
    <t>REPUBLICA DOMINICANA</t>
  </si>
  <si>
    <t>PROGRAMA DE DESARROLLO PRODUCTIVO Y COMPETITIVIDAD DE LA PROVINCIA DE SAN JUAN</t>
  </si>
  <si>
    <t>(DR-L1068)</t>
  </si>
  <si>
    <t>PRESUPUESTO CONSOLIDADO DEL PROGRAMA</t>
  </si>
  <si>
    <t>(en Dólares)</t>
  </si>
  <si>
    <t>Descripción/Fuente</t>
  </si>
  <si>
    <t>BID</t>
  </si>
  <si>
    <t>Aporte Local</t>
  </si>
  <si>
    <t>Total</t>
  </si>
  <si>
    <t>Porcentaje</t>
  </si>
  <si>
    <t>I.  COSTOS DIRECTOS</t>
  </si>
  <si>
    <t xml:space="preserve">     A.  Componente 1:  Mejora tecnológica y acceso a mercados</t>
  </si>
  <si>
    <t xml:space="preserve">     B.  Componente 2:  Inversiones habilitantes para la mejora productiva</t>
  </si>
  <si>
    <t xml:space="preserve">          Mejora y adecuación de infraestructura existente de caminos vecinales y productivos</t>
  </si>
  <si>
    <t xml:space="preserve">           Modernización de la gestión del riego</t>
  </si>
  <si>
    <t xml:space="preserve">          Otras inversiones habilitantes</t>
  </si>
  <si>
    <t>II.  ADMINISTRACION DEL PROGRAMA</t>
  </si>
  <si>
    <t xml:space="preserve">     A.  Personal - Salarios</t>
  </si>
  <si>
    <t xml:space="preserve">          1.  Dirección y coordinación</t>
  </si>
  <si>
    <t xml:space="preserve">          2.  Administración y finanzas</t>
  </si>
  <si>
    <t xml:space="preserve">          3.  Supervisión de campo</t>
  </si>
  <si>
    <t xml:space="preserve">     B.  Equipos de oficina, mobiliario, vehículos, adaptación de espacio físico y otros</t>
  </si>
  <si>
    <t xml:space="preserve">     C.  Gastos de operación</t>
  </si>
  <si>
    <t>III.  AUDITORIAS EXTERNAS</t>
  </si>
  <si>
    <t xml:space="preserve">     A.  Auditorías financieras externas independientes</t>
  </si>
  <si>
    <t>IV.  MONITOREO Y EVALUACION</t>
  </si>
  <si>
    <t>V.  IMPREVISTOS</t>
  </si>
  <si>
    <t>T O T A L</t>
  </si>
  <si>
    <t>PLAN DE EJECUCION DEL PROGRAMA (PEP)</t>
  </si>
  <si>
    <t>Año 1</t>
  </si>
  <si>
    <t>Año 2</t>
  </si>
  <si>
    <t>Año 3</t>
  </si>
  <si>
    <t>Año 4</t>
  </si>
  <si>
    <t>Año 5</t>
  </si>
  <si>
    <r>
      <t xml:space="preserve">           -  </t>
    </r>
    <r>
      <rPr>
        <b/>
        <u/>
        <sz val="8"/>
        <rFont val="Calibri"/>
        <family val="2"/>
      </rPr>
      <t>Mejora y adecuación de infraestructura existente de caminos vecinales y productivos</t>
    </r>
  </si>
  <si>
    <r>
      <t xml:space="preserve">                    </t>
    </r>
    <r>
      <rPr>
        <u/>
        <sz val="8"/>
        <rFont val="Calibri"/>
        <family val="2"/>
      </rPr>
      <t>Producto 2.1.1:  Reconstrucción y mantenimiento de caminos vecinales y productivos</t>
    </r>
  </si>
  <si>
    <r>
      <t xml:space="preserve">                              </t>
    </r>
    <r>
      <rPr>
        <u/>
        <sz val="8"/>
        <rFont val="Calibri"/>
        <family val="2"/>
      </rPr>
      <t>Subproducto 2.1.1.1:  Diseño de las obras y desarrollo de los pliegos de contratación</t>
    </r>
  </si>
  <si>
    <t xml:space="preserve">                                   Actividad 2.1.1.1.1:  Consultoría técnica especializada</t>
  </si>
  <si>
    <r>
      <t xml:space="preserve">                              </t>
    </r>
    <r>
      <rPr>
        <u/>
        <sz val="8"/>
        <rFont val="Calibri"/>
        <family val="2"/>
      </rPr>
      <t>Subproducto 2.1.1.2:  Construcción de obras y ejecución de acciones de mantenimiento</t>
    </r>
  </si>
  <si>
    <t xml:space="preserve">                                   Actividad 2.1.1.2.1:  Construcción de obras</t>
  </si>
  <si>
    <t xml:space="preserve">                                   Actividad 2.1.1.2.2:  Mantenimiento de las obras</t>
  </si>
  <si>
    <r>
      <t xml:space="preserve">           -  </t>
    </r>
    <r>
      <rPr>
        <b/>
        <u/>
        <sz val="8"/>
        <rFont val="Calibri"/>
        <family val="2"/>
      </rPr>
      <t>Modernización de la gestión del riego</t>
    </r>
  </si>
  <si>
    <r>
      <t xml:space="preserve">                    </t>
    </r>
    <r>
      <rPr>
        <u/>
        <sz val="8"/>
        <rFont val="Calibri"/>
        <family val="2"/>
      </rPr>
      <t>Producto 2.2.1:  Fortalecimiento de los Actores de Riego</t>
    </r>
  </si>
  <si>
    <r>
      <t xml:space="preserve">                              </t>
    </r>
    <r>
      <rPr>
        <u/>
        <sz val="8"/>
        <rFont val="Calibri"/>
        <family val="2"/>
      </rPr>
      <t>Subproducto 2.2.1.1:  Fortalecimiento de las Juntas de Riego</t>
    </r>
  </si>
  <si>
    <t xml:space="preserve">                                   Actividad 2.2.1.1.1:  Apoyo a la administración</t>
  </si>
  <si>
    <t xml:space="preserve">                                   Actividad 2.2.1.1.2:  Apoyo a la capacidad gerencial</t>
  </si>
  <si>
    <t xml:space="preserve">                                   Actividad 2.2.1.1.3:  Políticas y marco legal</t>
  </si>
  <si>
    <t xml:space="preserve">                                   Actividad 2.2.1.1.4:  Estructuración tarifaria</t>
  </si>
  <si>
    <t xml:space="preserve">                                   Actividad 2.2.1.1.5:  Estudios y servicios técnicos</t>
  </si>
  <si>
    <t xml:space="preserve">                                   Actividad 2.2.1.1.6:  Desarrollo de indicadores de desempeño</t>
  </si>
  <si>
    <t xml:space="preserve">                                   Actividad 2.2.1.1.7:  Padrón de predios y productores</t>
  </si>
  <si>
    <t xml:space="preserve">                                   Actividad 2.2.1.1.8:  Capacitación</t>
  </si>
  <si>
    <r>
      <t xml:space="preserve">                              </t>
    </r>
    <r>
      <rPr>
        <u/>
        <sz val="8"/>
        <rFont val="Calibri"/>
        <family val="2"/>
      </rPr>
      <t>Subproducto 2.2.1.2:  Fortalecimiento de las Juntas de Riego y otros actores</t>
    </r>
  </si>
  <si>
    <t xml:space="preserve">                                   Actividad 2.2.1.2.1:  Mejoras en organización y métodos para el manejo de sistemas</t>
  </si>
  <si>
    <t xml:space="preserve">                                   Actividad 2.2.1.2.2:  Desarrollo de planes de riego</t>
  </si>
  <si>
    <t xml:space="preserve">                                   Actividad 2.2.1.2.3:  Planes de distribución de aguas</t>
  </si>
  <si>
    <t xml:space="preserve">                                   Actividad 2.2.1.2.4:  Planes de mantenimiento</t>
  </si>
  <si>
    <t xml:space="preserve">                                   Actividad 2.2.1.2.5:  Programa de medición de caudales</t>
  </si>
  <si>
    <t xml:space="preserve">                                   Actividad 2.2.1.2.6:  Actividades varias de asistencia técnica</t>
  </si>
  <si>
    <r>
      <t xml:space="preserve">                              </t>
    </r>
    <r>
      <rPr>
        <u/>
        <sz val="8"/>
        <rFont val="Calibri"/>
        <family val="2"/>
      </rPr>
      <t>Subproducto 2.2.1.3:  Relaciones interinstitucionales</t>
    </r>
  </si>
  <si>
    <t xml:space="preserve">                                   Actividad 2.2.1.3.1:  Talleres nacionales</t>
  </si>
  <si>
    <t xml:space="preserve">                                   Actividad 2.2.1.3.2:  Talleres internacionales</t>
  </si>
  <si>
    <t xml:space="preserve">                                   Actividad 2.2.1.3.3:  Estudios de caso</t>
  </si>
  <si>
    <t xml:space="preserve">                                   Actividad 2.2.1.3.4:  Conferencias</t>
  </si>
  <si>
    <t xml:space="preserve">                                   Actividad 2.2.1.3.5:  Mesas de concertación</t>
  </si>
  <si>
    <t xml:space="preserve">                                   Actividad 2.2.1.3.6:  Visitas de campo</t>
  </si>
  <si>
    <r>
      <t xml:space="preserve">                              </t>
    </r>
    <r>
      <rPr>
        <u/>
        <sz val="8"/>
        <rFont val="Calibri"/>
        <family val="2"/>
      </rPr>
      <t>Subproducto 2.2.1.4:  Estudios cortos ocasionales relacionados al medio ambiente</t>
    </r>
  </si>
  <si>
    <t xml:space="preserve">                                   Actividad 2.2.1.4.1:  Estudios de evaluación ambiental y social</t>
  </si>
  <si>
    <t xml:space="preserve">                                   Actividad 2.2.1.4.2:  Monitoreo de aguas residuales</t>
  </si>
  <si>
    <t xml:space="preserve">                                   Actividad 2.2.1.4.3:  Caudales ecológicos y fuentes de agua</t>
  </si>
  <si>
    <t xml:space="preserve">                                   Actividad 2.2.1.4.4:  Monitoreo de recursos de cuencas</t>
  </si>
  <si>
    <r>
      <t xml:space="preserve">                    </t>
    </r>
    <r>
      <rPr>
        <u/>
        <sz val="8"/>
        <rFont val="Calibri"/>
        <family val="2"/>
      </rPr>
      <t>Producto: 2.2.2:  Mejoramiento de la infraestructura</t>
    </r>
  </si>
  <si>
    <r>
      <t xml:space="preserve">                              </t>
    </r>
    <r>
      <rPr>
        <u/>
        <sz val="8"/>
        <rFont val="Calibri"/>
        <family val="2"/>
      </rPr>
      <t>Subproducto 2.2.2.1:  Estudios de preinversión</t>
    </r>
  </si>
  <si>
    <t xml:space="preserve">                                   Actividad 2.2.2.1.1:  Diseño de los sistemas de riego</t>
  </si>
  <si>
    <r>
      <t xml:space="preserve">                              </t>
    </r>
    <r>
      <rPr>
        <u/>
        <sz val="8"/>
        <rFont val="Calibri"/>
        <family val="2"/>
      </rPr>
      <t>Subproducto 2.2.2.2:  Obras de infraestructura</t>
    </r>
  </si>
  <si>
    <t xml:space="preserve">                                   Actividad 2.2.2.2.1:  Obras en red primaria y secundaria</t>
  </si>
  <si>
    <t xml:space="preserve">                                   Actividad 2.2.2.2.2:  Tramos de canales</t>
  </si>
  <si>
    <t xml:space="preserve">                                   Actividad 2.2.2.2.3:  Estructuras y equipos de medición de caudales</t>
  </si>
  <si>
    <t xml:space="preserve">                                   Actividad 2.2.2.2.4:  Otras obras incluyendo gastos de preinversión</t>
  </si>
  <si>
    <r>
      <t xml:space="preserve">                    </t>
    </r>
    <r>
      <rPr>
        <u/>
        <sz val="8"/>
        <rFont val="Calibri"/>
        <family val="2"/>
      </rPr>
      <t>Producto: 2.2.3:  Estudios para modernización del riego</t>
    </r>
  </si>
  <si>
    <r>
      <t xml:space="preserve">                              </t>
    </r>
    <r>
      <rPr>
        <u/>
        <sz val="8"/>
        <rFont val="Calibri"/>
        <family val="2"/>
      </rPr>
      <t>Subproducto 2.2.3.1:  Estudios de pre-factibilidad y factibilidad</t>
    </r>
  </si>
  <si>
    <t xml:space="preserve">                                   Actividad 2.2.3.1.1:  Estudios y evaluaciones</t>
  </si>
  <si>
    <r>
      <t xml:space="preserve">          -  </t>
    </r>
    <r>
      <rPr>
        <b/>
        <u/>
        <sz val="8"/>
        <rFont val="Calibri"/>
        <family val="2"/>
      </rPr>
      <t>Otras Inversiones habilitantes</t>
    </r>
  </si>
  <si>
    <t>CRONOGRAMA DE DESEMBOLSOS DEL BANCO</t>
  </si>
  <si>
    <t>AÑO 1</t>
  </si>
  <si>
    <t>AÑO 2</t>
  </si>
  <si>
    <t>AÑO 3</t>
  </si>
  <si>
    <t>AÑO 4</t>
  </si>
  <si>
    <t>AÑO 5</t>
  </si>
  <si>
    <t>TOTAL</t>
  </si>
  <si>
    <t>BANCO INTERAMERICANO DE DESARROLLO</t>
  </si>
  <si>
    <t>REPUBLICA DOMINICANA:  "PROGRAMA DE COMPETITIVIDAD Y DESARROLLO PRODUCTIVO DE LA PROVINCIA DE SAN JUAN"</t>
  </si>
  <si>
    <t>PRESUPUESTO ADMINISTRATIVO - SALARIOS</t>
  </si>
  <si>
    <t>Instancia/Cargo</t>
  </si>
  <si>
    <t>Salario</t>
  </si>
  <si>
    <t>Período del</t>
  </si>
  <si>
    <t>Número</t>
  </si>
  <si>
    <t>Notas/</t>
  </si>
  <si>
    <t>Mensual</t>
  </si>
  <si>
    <t>Anual</t>
  </si>
  <si>
    <t>Contrato</t>
  </si>
  <si>
    <t>de Meses</t>
  </si>
  <si>
    <t>Supuestos</t>
  </si>
  <si>
    <t>I.  DIRECCION Y COORDINACION</t>
  </si>
  <si>
    <t xml:space="preserve">     A.  Director General de la OEP - Existente</t>
  </si>
  <si>
    <t>Contratado para el último año de ejecución del Programa (Año 5)</t>
  </si>
  <si>
    <t xml:space="preserve">     B.  Coordinador General de Programa - Nuevo</t>
  </si>
  <si>
    <t>Todo el Programa</t>
  </si>
  <si>
    <t xml:space="preserve">     C.  Coordinador - Componente 1 del Programa - Nuevo</t>
  </si>
  <si>
    <t xml:space="preserve">     D.  Coordinador - Componente 2 del Programa - Nuevo</t>
  </si>
  <si>
    <t xml:space="preserve">     E.  Especialista en Crédito - Componente 1 del Programa - Nuevo</t>
  </si>
  <si>
    <t>US$6,500 a tiempo completo (dos primeros años); US$3,500 a medio tiempo (tres años)</t>
  </si>
  <si>
    <t>II.  ADMINISTRACION Y FINANZAS</t>
  </si>
  <si>
    <t xml:space="preserve">     A.  Gerente Administrativo y Financiero de la OEP - Existente</t>
  </si>
  <si>
    <t xml:space="preserve">     B.  Contador General de la OEP - Existente</t>
  </si>
  <si>
    <t xml:space="preserve">     C.  Contador Senior del Programa - Nuevo</t>
  </si>
  <si>
    <t xml:space="preserve">     D.  Encargado de Adquisiciones - Nuevo</t>
  </si>
  <si>
    <t xml:space="preserve">     E.  Especialista en Gestión - Existente</t>
  </si>
  <si>
    <t>Todo el Programa - Complemento al salario actual</t>
  </si>
  <si>
    <t xml:space="preserve">     F.  Control y Revisión de la OEP - Existente</t>
  </si>
  <si>
    <t xml:space="preserve">     G.  Especialista en Planificación y Gestión de Proyectos - Nuevo</t>
  </si>
  <si>
    <t xml:space="preserve">     H.  Especialista en Informática/Sistemas - Existente</t>
  </si>
  <si>
    <t xml:space="preserve">     I.  Oficial Administrativo - Oficina de San Juan de la Maguana - Nuevo</t>
  </si>
  <si>
    <t>III.  SUPERVISION DE CAMPO</t>
  </si>
  <si>
    <t xml:space="preserve">     A.  Supervisores Técnicos (2) - Oficina de San Juan de la Maguana - Nuevos</t>
  </si>
  <si>
    <t>ACTIVOS PARA LA OPERACION DEL PROGRAMA</t>
  </si>
  <si>
    <t>Item</t>
  </si>
  <si>
    <t>Costo</t>
  </si>
  <si>
    <t>Numero de</t>
  </si>
  <si>
    <t>Unitario</t>
  </si>
  <si>
    <t>Unidades</t>
  </si>
  <si>
    <t>I.  EQUIPOS DE INFORMATICA</t>
  </si>
  <si>
    <t xml:space="preserve">     A.  Upgrade Servidores</t>
  </si>
  <si>
    <t>Servidor de Gerencia Financiera/Contabilidad de la OEP.</t>
  </si>
  <si>
    <t xml:space="preserve">     B.  Computadoras Personales (PCs)</t>
  </si>
  <si>
    <t>Computadoras para personal incremental del Programa.</t>
  </si>
  <si>
    <t xml:space="preserve">     C.  Computadoras Portátiles (Laptops)</t>
  </si>
  <si>
    <t>3 laptops con docking station para los coordinadores.</t>
  </si>
  <si>
    <t xml:space="preserve">     D.  Impresoras Personales Desk Jet Color</t>
  </si>
  <si>
    <t>Impresoras personales para la OEP en Santo Domingo y San Juan de la Maguana.</t>
  </si>
  <si>
    <t xml:space="preserve">     E.  Impresora Central Laser Blanco y Negro</t>
  </si>
  <si>
    <t>Para uso común de la OEP en Santo Domingo y San Juan de la Maguana.</t>
  </si>
  <si>
    <t xml:space="preserve">     F.  Impresora Central Laser Color</t>
  </si>
  <si>
    <t xml:space="preserve">     G.  Scanner</t>
  </si>
  <si>
    <t xml:space="preserve">     H.  Data Show</t>
  </si>
  <si>
    <t>Para uso común de la OEP en San Juan de la Maguana.</t>
  </si>
  <si>
    <t xml:space="preserve">     I.  Pantallas</t>
  </si>
  <si>
    <t xml:space="preserve">     J.  UPS</t>
  </si>
  <si>
    <t>1 UPS por cada equipo/PC de escritorio.</t>
  </si>
  <si>
    <t xml:space="preserve">     K.  Fotocopiadora</t>
  </si>
  <si>
    <t>II.  SOFTWARE</t>
  </si>
  <si>
    <t xml:space="preserve">     A.  Microsoft Office 2010</t>
  </si>
  <si>
    <t>1 por cada PC y laptop.</t>
  </si>
  <si>
    <t xml:space="preserve">     B.  Microsoft Project 2010</t>
  </si>
  <si>
    <t>3 paquetes para laptops de coordinadores, 1 para planificación y gestión, 2 para otros.</t>
  </si>
  <si>
    <t xml:space="preserve">     C.  Acrobat (Versión No Profesional)</t>
  </si>
  <si>
    <t>3 paquetes para laptops de coordinadores, 1 para planificación y gestión.</t>
  </si>
  <si>
    <t xml:space="preserve">     D.  Otro Software Integrado de Control</t>
  </si>
  <si>
    <t>Suma alzada.</t>
  </si>
  <si>
    <t>IV.  MOBILIARIO</t>
  </si>
  <si>
    <t xml:space="preserve">     A.  Escritorios Modulares, Credenzas, Sillas, Mesas y Otros - Santo Domingo (MA)</t>
  </si>
  <si>
    <t xml:space="preserve">     B.  Escritorios Modulares, Credenzas, Sillas, Mesas y Otros - San Juan de la Maguana</t>
  </si>
  <si>
    <t>V.  INFRAESTRUCTURA DE OFICINAS</t>
  </si>
  <si>
    <t xml:space="preserve">     A.  Adaptación de Espacio Físico en el Ministerio de Agricultura (Santo Domingo)</t>
  </si>
  <si>
    <t xml:space="preserve">     B.  Adaptación de Espacio Físico en el Banco Agrícola (San Juan de la Maguana)</t>
  </si>
  <si>
    <t>IV.  VEHICULOS</t>
  </si>
  <si>
    <t xml:space="preserve">     A.  Vehículos Coordinadores y Uso General del Programa</t>
  </si>
  <si>
    <t>1 vehículo para el Coordinador del Programa y  2 para uso compartido de Coordinadores de Componentes y otros.</t>
  </si>
  <si>
    <t>PRESUPUESTO ADMINISTRATIVO - GASTOS DE OPERACION</t>
  </si>
  <si>
    <t>Items/Categorías</t>
  </si>
  <si>
    <t>Número de</t>
  </si>
  <si>
    <t>I.  SERVICIOS BASICOS</t>
  </si>
  <si>
    <r>
      <t>Notas</t>
    </r>
    <r>
      <rPr>
        <b/>
        <sz val="8"/>
        <rFont val="Times New Roman"/>
        <family val="1"/>
      </rPr>
      <t>:</t>
    </r>
  </si>
  <si>
    <r>
      <t xml:space="preserve">     A.  </t>
    </r>
    <r>
      <rPr>
        <u/>
        <sz val="8"/>
        <rFont val="Times New Roman"/>
        <family val="1"/>
      </rPr>
      <t>Energía Eléctrica</t>
    </r>
  </si>
  <si>
    <t xml:space="preserve">               -  Santo Domingo (MA)</t>
  </si>
  <si>
    <t xml:space="preserve">  -  MA cubre costos de energía eléctrica en sus instalaciones</t>
  </si>
  <si>
    <t xml:space="preserve">               -  San Juan de la Maguana</t>
  </si>
  <si>
    <t xml:space="preserve">  -  Cinco años DR-L1068</t>
  </si>
  <si>
    <r>
      <t xml:space="preserve">     B.  </t>
    </r>
    <r>
      <rPr>
        <u/>
        <sz val="8"/>
        <rFont val="Times New Roman"/>
        <family val="1"/>
      </rPr>
      <t>Comunicaciones</t>
    </r>
  </si>
  <si>
    <r>
      <t xml:space="preserve">          1.  </t>
    </r>
    <r>
      <rPr>
        <u/>
        <sz val="8"/>
        <rFont val="Times New Roman"/>
        <family val="1"/>
      </rPr>
      <t>Telefonía Fija, Internet y Larga Distancia</t>
    </r>
  </si>
  <si>
    <t xml:space="preserve">  -  Primeros cuatro años PATCA II, PATCA III e IDIAF; quinto año DR-L1068</t>
  </si>
  <si>
    <r>
      <t xml:space="preserve">          2.  </t>
    </r>
    <r>
      <rPr>
        <u/>
        <sz val="8"/>
        <rFont val="Times New Roman"/>
        <family val="1"/>
      </rPr>
      <t>Telefonía Celular</t>
    </r>
  </si>
  <si>
    <t xml:space="preserve">               -  Teléfonos</t>
  </si>
  <si>
    <t xml:space="preserve">  -  3 teléfonos para los 3 coordinadores y 1 para el especialista de crédito.</t>
  </si>
  <si>
    <t xml:space="preserve">               -  Servicio Voz</t>
  </si>
  <si>
    <t xml:space="preserve">  -  3 líneas para los 3 coordinadores y 1 para el especialista de crédito.</t>
  </si>
  <si>
    <t xml:space="preserve">               -  Servicio de Datos</t>
  </si>
  <si>
    <t>II.  COSTOS ASOCIADOS A VEHICULOS</t>
  </si>
  <si>
    <t xml:space="preserve">     A.  Combustibles</t>
  </si>
  <si>
    <t xml:space="preserve">  -  3 vehículos de los coordinadores por 5 años,  10 galones por semana por vehículo.</t>
  </si>
  <si>
    <t xml:space="preserve">     B.  Mantenimiento y Reparaciones</t>
  </si>
  <si>
    <t xml:space="preserve">  -  3 vehículos de los coordinadores por 5 años.  Incluye reparaciones extraordinarias y servicios de 5,000 Km.</t>
  </si>
  <si>
    <t xml:space="preserve">     C.  Seguros</t>
  </si>
  <si>
    <t xml:space="preserve">  -  3 vehículos de los coordinadores por 5 años.</t>
  </si>
  <si>
    <t>III.  COSTOS ASOCIADOS A LAS OFICINAS</t>
  </si>
  <si>
    <t xml:space="preserve">     A.  Alquileres - San Juan de la Maguana</t>
  </si>
  <si>
    <t xml:space="preserve">     B.  Mantenimiento de Equipos - San Juan de la Maguana</t>
  </si>
  <si>
    <t xml:space="preserve">     C.  Suministros de Consejería - San Juan de la Maguana</t>
  </si>
  <si>
    <t>IV.  MATERIALES Y SUMINISTROS DE OFICINA</t>
  </si>
  <si>
    <t xml:space="preserve">     A.  Tarjetas de Presentación</t>
  </si>
  <si>
    <t xml:space="preserve">  -  En base a costos actuales.  Una sola vez para los tres coordinadores y especialista en crédito</t>
  </si>
  <si>
    <t xml:space="preserve">     B.  Suministros de Trabajo</t>
  </si>
  <si>
    <t>V. VIAJES INTERNOS</t>
  </si>
  <si>
    <t xml:space="preserve">     A.  Pasajes</t>
  </si>
  <si>
    <t xml:space="preserve">  -  No se consideran pasajes.  Todos los viajes internos y en vehículos de la OEP.</t>
  </si>
  <si>
    <t xml:space="preserve">     B.  Viáticos</t>
  </si>
  <si>
    <t xml:space="preserve">  -  Tres viajes con pernocte para los cuatro coordinadores por mes</t>
  </si>
  <si>
    <t xml:space="preserve">     A.  Componente 1:  Acceso a crédito</t>
  </si>
  <si>
    <t>Fondo de crédito</t>
  </si>
  <si>
    <r>
      <t xml:space="preserve">               </t>
    </r>
    <r>
      <rPr>
        <u/>
        <sz val="8"/>
        <rFont val="Calibri"/>
        <family val="2"/>
      </rPr>
      <t>Producto 1.1:  Subasta de préstamos de segundo piso por parte del Banco Central de la República Dominicana</t>
    </r>
  </si>
  <si>
    <r>
      <t xml:space="preserve">                              </t>
    </r>
    <r>
      <rPr>
        <u/>
        <sz val="8"/>
        <rFont val="Calibri"/>
        <family val="2"/>
      </rPr>
      <t>Subproducto 1.1.1:  Asignación de recursos a bancos comerciales elegibles</t>
    </r>
  </si>
  <si>
    <t xml:space="preserve">                                   Actividad 1.1.1.1:  Desembolso de recursos crediticios y ejecución de proyectos por beneficiarios</t>
  </si>
  <si>
    <t xml:space="preserve">          Asistencia Técnica para acceso al crédito</t>
  </si>
  <si>
    <r>
      <t xml:space="preserve">               </t>
    </r>
    <r>
      <rPr>
        <u/>
        <sz val="8"/>
        <rFont val="Calibri"/>
        <family val="2"/>
      </rPr>
      <t>Producto 1.2:  Apoyos para el acceso al crédito</t>
    </r>
  </si>
  <si>
    <t xml:space="preserve">          Fondo de crédito y asistencia técnica</t>
  </si>
  <si>
    <t xml:space="preserve">    F.  Coordinador subcomponente vias - Nuevo (MOPC)</t>
  </si>
  <si>
    <t xml:space="preserve">     C. Analisis costo-beneficio ex-post</t>
  </si>
  <si>
    <t xml:space="preserve">     C. analisis costo-beneficio ex-psot</t>
  </si>
  <si>
    <t xml:space="preserve">     A. Informe inicial, de medio término y final</t>
  </si>
  <si>
    <t xml:space="preserve">     A.  Informe inicial, de medio término y final</t>
  </si>
  <si>
    <t xml:space="preserve">     B.  Linea de base, y evaluacion intermedia y final (incluyendo encuestas)</t>
  </si>
  <si>
    <t xml:space="preserve">     B.  Linea de base,  y evaluación intermedia y final (incluyendo encuestas)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</si>
</sst>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3" x14ac:knownFonts="1">
    <font>
      <sz val="10"/>
      <name val="Arial"/>
    </font>
    <font>
      <sz val="10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u/>
      <sz val="8"/>
      <name val="Calibri"/>
      <family val="2"/>
    </font>
    <font>
      <b/>
      <u/>
      <sz val="8"/>
      <name val="Calibri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u/>
      <sz val="8"/>
      <name val="Times New Roman"/>
      <family val="1"/>
    </font>
    <font>
      <u/>
      <sz val="8"/>
      <name val="Times New Roman"/>
      <family val="1"/>
    </font>
    <font>
      <b/>
      <sz val="10"/>
      <name val="Arial"/>
      <family val="2"/>
    </font>
    <font>
      <sz val="10"/>
      <name val="Arial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84">
    <xf numFmtId="0" fontId="0" fillId="0" borderId="0" xfId="0"/>
    <xf numFmtId="0" fontId="2" fillId="3" borderId="8" xfId="0" applyFont="1" applyFill="1" applyBorder="1"/>
    <xf numFmtId="37" fontId="2" fillId="3" borderId="9" xfId="0" applyNumberFormat="1" applyFont="1" applyFill="1" applyBorder="1"/>
    <xf numFmtId="164" fontId="2" fillId="3" borderId="10" xfId="0" applyNumberFormat="1" applyFont="1" applyFill="1" applyBorder="1"/>
    <xf numFmtId="0" fontId="3" fillId="4" borderId="8" xfId="0" applyFont="1" applyFill="1" applyBorder="1"/>
    <xf numFmtId="37" fontId="3" fillId="4" borderId="11" xfId="0" applyNumberFormat="1" applyFont="1" applyFill="1" applyBorder="1"/>
    <xf numFmtId="164" fontId="3" fillId="4" borderId="12" xfId="0" applyNumberFormat="1" applyFont="1" applyFill="1" applyBorder="1"/>
    <xf numFmtId="0" fontId="3" fillId="0" borderId="13" xfId="0" applyFont="1" applyBorder="1" applyAlignment="1">
      <alignment wrapText="1"/>
    </xf>
    <xf numFmtId="37" fontId="3" fillId="0" borderId="14" xfId="0" applyNumberFormat="1" applyFont="1" applyBorder="1"/>
    <xf numFmtId="164" fontId="3" fillId="0" borderId="15" xfId="0" applyNumberFormat="1" applyFont="1" applyBorder="1"/>
    <xf numFmtId="0" fontId="3" fillId="0" borderId="16" xfId="0" applyFont="1" applyBorder="1" applyAlignment="1">
      <alignment wrapText="1"/>
    </xf>
    <xf numFmtId="37" fontId="3" fillId="0" borderId="17" xfId="0" applyNumberFormat="1" applyFont="1" applyBorder="1"/>
    <xf numFmtId="37" fontId="3" fillId="0" borderId="18" xfId="0" applyNumberFormat="1" applyFont="1" applyBorder="1"/>
    <xf numFmtId="164" fontId="3" fillId="0" borderId="19" xfId="0" applyNumberFormat="1" applyFont="1" applyBorder="1"/>
    <xf numFmtId="0" fontId="3" fillId="0" borderId="20" xfId="0" applyFont="1" applyBorder="1" applyAlignment="1">
      <alignment wrapText="1"/>
    </xf>
    <xf numFmtId="37" fontId="3" fillId="0" borderId="21" xfId="0" applyNumberFormat="1" applyFont="1" applyBorder="1"/>
    <xf numFmtId="164" fontId="3" fillId="0" borderId="22" xfId="0" applyNumberFormat="1" applyFont="1" applyBorder="1"/>
    <xf numFmtId="0" fontId="3" fillId="0" borderId="23" xfId="0" applyFont="1" applyBorder="1" applyAlignment="1">
      <alignment wrapText="1"/>
    </xf>
    <xf numFmtId="37" fontId="3" fillId="0" borderId="24" xfId="0" applyNumberFormat="1" applyFont="1" applyBorder="1"/>
    <xf numFmtId="0" fontId="2" fillId="5" borderId="25" xfId="0" applyFont="1" applyFill="1" applyBorder="1"/>
    <xf numFmtId="0" fontId="3" fillId="0" borderId="13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4" borderId="26" xfId="0" applyFont="1" applyFill="1" applyBorder="1" applyAlignment="1">
      <alignment vertical="top" wrapText="1"/>
    </xf>
    <xf numFmtId="37" fontId="3" fillId="4" borderId="27" xfId="0" applyNumberFormat="1" applyFont="1" applyFill="1" applyBorder="1"/>
    <xf numFmtId="164" fontId="3" fillId="4" borderId="28" xfId="0" applyNumberFormat="1" applyFont="1" applyFill="1" applyBorder="1"/>
    <xf numFmtId="0" fontId="3" fillId="4" borderId="29" xfId="0" applyFont="1" applyFill="1" applyBorder="1" applyAlignment="1">
      <alignment vertical="top" wrapText="1"/>
    </xf>
    <xf numFmtId="37" fontId="3" fillId="4" borderId="30" xfId="0" applyNumberFormat="1" applyFont="1" applyFill="1" applyBorder="1"/>
    <xf numFmtId="37" fontId="3" fillId="4" borderId="31" xfId="0" applyNumberFormat="1" applyFont="1" applyFill="1" applyBorder="1"/>
    <xf numFmtId="164" fontId="3" fillId="4" borderId="15" xfId="0" applyNumberFormat="1" applyFont="1" applyFill="1" applyBorder="1"/>
    <xf numFmtId="0" fontId="3" fillId="4" borderId="25" xfId="0" applyFont="1" applyFill="1" applyBorder="1"/>
    <xf numFmtId="37" fontId="3" fillId="4" borderId="9" xfId="0" applyNumberFormat="1" applyFont="1" applyFill="1" applyBorder="1"/>
    <xf numFmtId="37" fontId="3" fillId="4" borderId="14" xfId="0" applyNumberFormat="1" applyFont="1" applyFill="1" applyBorder="1"/>
    <xf numFmtId="0" fontId="3" fillId="4" borderId="2" xfId="0" applyFont="1" applyFill="1" applyBorder="1"/>
    <xf numFmtId="37" fontId="3" fillId="4" borderId="3" xfId="0" applyNumberFormat="1" applyFont="1" applyFill="1" applyBorder="1"/>
    <xf numFmtId="0" fontId="3" fillId="4" borderId="32" xfId="0" applyFont="1" applyFill="1" applyBorder="1"/>
    <xf numFmtId="164" fontId="3" fillId="4" borderId="33" xfId="0" applyNumberFormat="1" applyFont="1" applyFill="1" applyBorder="1"/>
    <xf numFmtId="37" fontId="3" fillId="3" borderId="9" xfId="0" applyNumberFormat="1" applyFont="1" applyFill="1" applyBorder="1"/>
    <xf numFmtId="164" fontId="3" fillId="5" borderId="10" xfId="0" applyNumberFormat="1" applyFont="1" applyFill="1" applyBorder="1"/>
    <xf numFmtId="0" fontId="2" fillId="6" borderId="5" xfId="0" applyFont="1" applyFill="1" applyBorder="1" applyAlignment="1">
      <alignment horizontal="center"/>
    </xf>
    <xf numFmtId="37" fontId="2" fillId="6" borderId="6" xfId="0" applyNumberFormat="1" applyFont="1" applyFill="1" applyBorder="1"/>
    <xf numFmtId="164" fontId="2" fillId="6" borderId="7" xfId="0" applyNumberFormat="1" applyFont="1" applyFill="1" applyBorder="1"/>
    <xf numFmtId="164" fontId="2" fillId="6" borderId="6" xfId="0" applyNumberFormat="1" applyFont="1" applyFill="1" applyBorder="1"/>
    <xf numFmtId="164" fontId="2" fillId="7" borderId="7" xfId="0" applyNumberFormat="1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37" fontId="0" fillId="0" borderId="0" xfId="0" applyNumberFormat="1"/>
    <xf numFmtId="0" fontId="2" fillId="3" borderId="37" xfId="0" applyFont="1" applyFill="1" applyBorder="1"/>
    <xf numFmtId="37" fontId="2" fillId="3" borderId="25" xfId="0" applyNumberFormat="1" applyFont="1" applyFill="1" applyBorder="1"/>
    <xf numFmtId="37" fontId="2" fillId="3" borderId="10" xfId="0" applyNumberFormat="1" applyFont="1" applyFill="1" applyBorder="1"/>
    <xf numFmtId="0" fontId="2" fillId="4" borderId="37" xfId="0" applyFont="1" applyFill="1" applyBorder="1"/>
    <xf numFmtId="37" fontId="2" fillId="4" borderId="8" xfId="0" applyNumberFormat="1" applyFont="1" applyFill="1" applyBorder="1"/>
    <xf numFmtId="37" fontId="2" fillId="4" borderId="11" xfId="0" applyNumberFormat="1" applyFont="1" applyFill="1" applyBorder="1"/>
    <xf numFmtId="37" fontId="2" fillId="4" borderId="12" xfId="0" applyNumberFormat="1" applyFont="1" applyFill="1" applyBorder="1"/>
    <xf numFmtId="0" fontId="3" fillId="0" borderId="40" xfId="0" applyFont="1" applyBorder="1" applyAlignment="1">
      <alignment wrapText="1"/>
    </xf>
    <xf numFmtId="37" fontId="4" fillId="0" borderId="20" xfId="0" applyNumberFormat="1" applyFont="1" applyBorder="1"/>
    <xf numFmtId="37" fontId="4" fillId="0" borderId="21" xfId="0" applyNumberFormat="1" applyFont="1" applyBorder="1"/>
    <xf numFmtId="37" fontId="4" fillId="0" borderId="22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37" fontId="4" fillId="0" borderId="15" xfId="0" applyNumberFormat="1" applyFont="1" applyBorder="1"/>
    <xf numFmtId="37" fontId="3" fillId="0" borderId="20" xfId="0" applyNumberFormat="1" applyFont="1" applyBorder="1"/>
    <xf numFmtId="37" fontId="3" fillId="0" borderId="22" xfId="0" applyNumberFormat="1" applyFont="1" applyBorder="1"/>
    <xf numFmtId="0" fontId="2" fillId="0" borderId="35" xfId="0" applyFont="1" applyBorder="1" applyAlignment="1">
      <alignment wrapText="1"/>
    </xf>
    <xf numFmtId="37" fontId="5" fillId="0" borderId="13" xfId="0" applyNumberFormat="1" applyFont="1" applyBorder="1"/>
    <xf numFmtId="37" fontId="5" fillId="0" borderId="14" xfId="0" applyNumberFormat="1" applyFont="1" applyBorder="1"/>
    <xf numFmtId="37" fontId="5" fillId="0" borderId="15" xfId="0" applyNumberFormat="1" applyFont="1" applyBorder="1"/>
    <xf numFmtId="37" fontId="3" fillId="0" borderId="13" xfId="0" applyNumberFormat="1" applyFont="1" applyBorder="1"/>
    <xf numFmtId="37" fontId="3" fillId="0" borderId="15" xfId="0" applyNumberFormat="1" applyFont="1" applyBorder="1"/>
    <xf numFmtId="0" fontId="2" fillId="0" borderId="40" xfId="0" applyFont="1" applyBorder="1" applyAlignment="1">
      <alignment wrapText="1"/>
    </xf>
    <xf numFmtId="37" fontId="5" fillId="0" borderId="20" xfId="0" applyNumberFormat="1" applyFont="1" applyBorder="1"/>
    <xf numFmtId="37" fontId="5" fillId="0" borderId="21" xfId="0" applyNumberFormat="1" applyFont="1" applyBorder="1"/>
    <xf numFmtId="37" fontId="5" fillId="0" borderId="22" xfId="0" applyNumberFormat="1" applyFont="1" applyBorder="1"/>
    <xf numFmtId="37" fontId="4" fillId="0" borderId="16" xfId="0" applyNumberFormat="1" applyFont="1" applyBorder="1"/>
    <xf numFmtId="37" fontId="4" fillId="0" borderId="17" xfId="0" applyNumberFormat="1" applyFont="1" applyBorder="1"/>
    <xf numFmtId="37" fontId="4" fillId="0" borderId="41" xfId="0" applyNumberFormat="1" applyFont="1" applyBorder="1"/>
    <xf numFmtId="37" fontId="3" fillId="0" borderId="42" xfId="0" applyNumberFormat="1" applyFont="1" applyBorder="1"/>
    <xf numFmtId="37" fontId="3" fillId="0" borderId="43" xfId="0" applyNumberFormat="1" applyFont="1" applyBorder="1"/>
    <xf numFmtId="0" fontId="3" fillId="0" borderId="35" xfId="0" applyFont="1" applyBorder="1" applyAlignment="1">
      <alignment wrapText="1"/>
    </xf>
    <xf numFmtId="0" fontId="2" fillId="0" borderId="44" xfId="0" applyFont="1" applyBorder="1" applyAlignment="1">
      <alignment wrapText="1"/>
    </xf>
    <xf numFmtId="37" fontId="5" fillId="0" borderId="45" xfId="0" applyNumberFormat="1" applyFont="1" applyBorder="1"/>
    <xf numFmtId="37" fontId="5" fillId="0" borderId="18" xfId="0" applyNumberFormat="1" applyFont="1" applyBorder="1"/>
    <xf numFmtId="37" fontId="5" fillId="0" borderId="19" xfId="0" applyNumberFormat="1" applyFont="1" applyBorder="1"/>
    <xf numFmtId="37" fontId="2" fillId="0" borderId="45" xfId="0" applyNumberFormat="1" applyFont="1" applyBorder="1"/>
    <xf numFmtId="37" fontId="2" fillId="0" borderId="18" xfId="0" applyNumberFormat="1" applyFont="1" applyBorder="1"/>
    <xf numFmtId="37" fontId="2" fillId="0" borderId="19" xfId="0" applyNumberFormat="1" applyFont="1" applyBorder="1"/>
    <xf numFmtId="0" fontId="2" fillId="5" borderId="46" xfId="0" applyFont="1" applyFill="1" applyBorder="1"/>
    <xf numFmtId="0" fontId="3" fillId="0" borderId="35" xfId="0" applyFont="1" applyFill="1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0" fontId="2" fillId="4" borderId="26" xfId="0" applyFont="1" applyFill="1" applyBorder="1" applyAlignment="1">
      <alignment vertical="top" wrapText="1"/>
    </xf>
    <xf numFmtId="37" fontId="2" fillId="4" borderId="26" xfId="0" applyNumberFormat="1" applyFont="1" applyFill="1" applyBorder="1"/>
    <xf numFmtId="37" fontId="2" fillId="4" borderId="27" xfId="0" applyNumberFormat="1" applyFont="1" applyFill="1" applyBorder="1"/>
    <xf numFmtId="37" fontId="2" fillId="4" borderId="28" xfId="0" applyNumberFormat="1" applyFont="1" applyFill="1" applyBorder="1"/>
    <xf numFmtId="0" fontId="2" fillId="4" borderId="47" xfId="0" applyFont="1" applyFill="1" applyBorder="1" applyAlignment="1">
      <alignment vertical="top" wrapText="1"/>
    </xf>
    <xf numFmtId="37" fontId="2" fillId="4" borderId="29" xfId="0" applyNumberFormat="1" applyFont="1" applyFill="1" applyBorder="1"/>
    <xf numFmtId="37" fontId="2" fillId="4" borderId="30" xfId="0" applyNumberFormat="1" applyFont="1" applyFill="1" applyBorder="1"/>
    <xf numFmtId="37" fontId="2" fillId="4" borderId="33" xfId="0" applyNumberFormat="1" applyFont="1" applyFill="1" applyBorder="1"/>
    <xf numFmtId="37" fontId="2" fillId="4" borderId="32" xfId="0" applyNumberFormat="1" applyFont="1" applyFill="1" applyBorder="1"/>
    <xf numFmtId="37" fontId="2" fillId="4" borderId="31" xfId="0" applyNumberFormat="1" applyFont="1" applyFill="1" applyBorder="1"/>
    <xf numFmtId="0" fontId="2" fillId="4" borderId="46" xfId="0" applyFont="1" applyFill="1" applyBorder="1"/>
    <xf numFmtId="37" fontId="2" fillId="4" borderId="25" xfId="0" applyNumberFormat="1" applyFont="1" applyFill="1" applyBorder="1"/>
    <xf numFmtId="37" fontId="2" fillId="4" borderId="9" xfId="0" applyNumberFormat="1" applyFont="1" applyFill="1" applyBorder="1"/>
    <xf numFmtId="37" fontId="2" fillId="4" borderId="15" xfId="0" applyNumberFormat="1" applyFont="1" applyFill="1" applyBorder="1"/>
    <xf numFmtId="37" fontId="2" fillId="4" borderId="13" xfId="0" applyNumberFormat="1" applyFont="1" applyFill="1" applyBorder="1"/>
    <xf numFmtId="37" fontId="2" fillId="4" borderId="14" xfId="0" applyNumberFormat="1" applyFont="1" applyFill="1" applyBorder="1"/>
    <xf numFmtId="0" fontId="2" fillId="4" borderId="34" xfId="0" applyFont="1" applyFill="1" applyBorder="1"/>
    <xf numFmtId="37" fontId="2" fillId="4" borderId="2" xfId="0" applyNumberFormat="1" applyFont="1" applyFill="1" applyBorder="1"/>
    <xf numFmtId="37" fontId="2" fillId="4" borderId="3" xfId="0" applyNumberFormat="1" applyFont="1" applyFill="1" applyBorder="1"/>
    <xf numFmtId="37" fontId="2" fillId="4" borderId="4" xfId="0" applyNumberFormat="1" applyFont="1" applyFill="1" applyBorder="1"/>
    <xf numFmtId="0" fontId="2" fillId="4" borderId="48" xfId="0" applyFont="1" applyFill="1" applyBorder="1"/>
    <xf numFmtId="37" fontId="2" fillId="5" borderId="25" xfId="0" applyNumberFormat="1" applyFont="1" applyFill="1" applyBorder="1"/>
    <xf numFmtId="37" fontId="2" fillId="5" borderId="9" xfId="0" applyNumberFormat="1" applyFont="1" applyFill="1" applyBorder="1"/>
    <xf numFmtId="0" fontId="2" fillId="6" borderId="36" xfId="0" applyFont="1" applyFill="1" applyBorder="1" applyAlignment="1">
      <alignment horizontal="center"/>
    </xf>
    <xf numFmtId="37" fontId="2" fillId="6" borderId="5" xfId="0" applyNumberFormat="1" applyFont="1" applyFill="1" applyBorder="1"/>
    <xf numFmtId="37" fontId="2" fillId="6" borderId="7" xfId="0" applyNumberFormat="1" applyFont="1" applyFill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164" fontId="2" fillId="0" borderId="49" xfId="0" applyNumberFormat="1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2" borderId="8" xfId="0" applyFont="1" applyFill="1" applyBorder="1"/>
    <xf numFmtId="39" fontId="2" fillId="2" borderId="11" xfId="0" applyNumberFormat="1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3" fillId="0" borderId="13" xfId="0" applyFont="1" applyBorder="1"/>
    <xf numFmtId="39" fontId="3" fillId="0" borderId="14" xfId="0" applyNumberFormat="1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20" xfId="0" applyFont="1" applyBorder="1"/>
    <xf numFmtId="39" fontId="3" fillId="0" borderId="21" xfId="0" applyNumberFormat="1" applyFont="1" applyBorder="1"/>
    <xf numFmtId="0" fontId="3" fillId="0" borderId="21" xfId="0" applyFont="1" applyBorder="1"/>
    <xf numFmtId="0" fontId="3" fillId="0" borderId="22" xfId="0" applyFont="1" applyBorder="1"/>
    <xf numFmtId="39" fontId="3" fillId="0" borderId="43" xfId="0" applyNumberFormat="1" applyFont="1" applyBorder="1"/>
    <xf numFmtId="0" fontId="3" fillId="0" borderId="43" xfId="0" applyFont="1" applyBorder="1"/>
    <xf numFmtId="0" fontId="2" fillId="4" borderId="25" xfId="0" applyFont="1" applyFill="1" applyBorder="1" applyAlignment="1">
      <alignment horizontal="center"/>
    </xf>
    <xf numFmtId="39" fontId="2" fillId="4" borderId="9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6" fillId="0" borderId="0" xfId="0" applyFont="1"/>
    <xf numFmtId="37" fontId="6" fillId="0" borderId="0" xfId="0" applyNumberFormat="1" applyFont="1"/>
    <xf numFmtId="39" fontId="0" fillId="0" borderId="0" xfId="0" applyNumberFormat="1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6" borderId="34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37" fontId="2" fillId="2" borderId="11" xfId="0" applyNumberFormat="1" applyFont="1" applyFill="1" applyBorder="1"/>
    <xf numFmtId="39" fontId="2" fillId="2" borderId="12" xfId="0" applyNumberFormat="1" applyFont="1" applyFill="1" applyBorder="1"/>
    <xf numFmtId="0" fontId="2" fillId="2" borderId="37" xfId="0" applyFont="1" applyFill="1" applyBorder="1"/>
    <xf numFmtId="39" fontId="3" fillId="0" borderId="15" xfId="0" applyNumberFormat="1" applyFont="1" applyBorder="1"/>
    <xf numFmtId="0" fontId="3" fillId="0" borderId="35" xfId="0" applyFont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39" fontId="3" fillId="0" borderId="22" xfId="0" applyNumberFormat="1" applyFont="1" applyBorder="1"/>
    <xf numFmtId="0" fontId="3" fillId="0" borderId="40" xfId="0" applyFont="1" applyBorder="1"/>
    <xf numFmtId="0" fontId="3" fillId="0" borderId="45" xfId="0" applyFont="1" applyBorder="1"/>
    <xf numFmtId="39" fontId="3" fillId="0" borderId="18" xfId="0" applyNumberFormat="1" applyFont="1" applyBorder="1"/>
    <xf numFmtId="39" fontId="3" fillId="0" borderId="19" xfId="0" applyNumberFormat="1" applyFont="1" applyBorder="1"/>
    <xf numFmtId="0" fontId="3" fillId="0" borderId="44" xfId="0" applyFont="1" applyBorder="1"/>
    <xf numFmtId="0" fontId="3" fillId="0" borderId="29" xfId="0" applyFont="1" applyBorder="1"/>
    <xf numFmtId="39" fontId="3" fillId="0" borderId="50" xfId="0" applyNumberFormat="1" applyFont="1" applyBorder="1"/>
    <xf numFmtId="39" fontId="2" fillId="4" borderId="10" xfId="0" applyNumberFormat="1" applyFont="1" applyFill="1" applyBorder="1"/>
    <xf numFmtId="0" fontId="2" fillId="0" borderId="0" xfId="0" applyFont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5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7" fillId="6" borderId="6" xfId="0" applyFont="1" applyFill="1" applyBorder="1" applyAlignment="1">
      <alignment horizontal="center"/>
    </xf>
    <xf numFmtId="0" fontId="7" fillId="6" borderId="49" xfId="0" applyFont="1" applyFill="1" applyBorder="1" applyAlignment="1">
      <alignment horizontal="center"/>
    </xf>
    <xf numFmtId="0" fontId="7" fillId="2" borderId="52" xfId="0" applyFont="1" applyFill="1" applyBorder="1"/>
    <xf numFmtId="39" fontId="7" fillId="2" borderId="11" xfId="0" applyNumberFormat="1" applyFont="1" applyFill="1" applyBorder="1"/>
    <xf numFmtId="37" fontId="7" fillId="2" borderId="11" xfId="0" applyNumberFormat="1" applyFont="1" applyFill="1" applyBorder="1"/>
    <xf numFmtId="39" fontId="7" fillId="2" borderId="53" xfId="0" applyNumberFormat="1" applyFont="1" applyFill="1" applyBorder="1"/>
    <xf numFmtId="0" fontId="7" fillId="2" borderId="37" xfId="0" applyFont="1" applyFill="1" applyBorder="1"/>
    <xf numFmtId="0" fontId="8" fillId="0" borderId="0" xfId="0" applyFont="1"/>
    <xf numFmtId="0" fontId="6" fillId="0" borderId="54" xfId="0" applyFont="1" applyFill="1" applyBorder="1"/>
    <xf numFmtId="39" fontId="6" fillId="0" borderId="38" xfId="0" applyNumberFormat="1" applyFont="1" applyFill="1" applyBorder="1"/>
    <xf numFmtId="37" fontId="6" fillId="0" borderId="38" xfId="0" applyNumberFormat="1" applyFont="1" applyFill="1" applyBorder="1"/>
    <xf numFmtId="39" fontId="6" fillId="0" borderId="39" xfId="0" applyNumberFormat="1" applyFont="1" applyFill="1" applyBorder="1"/>
    <xf numFmtId="0" fontId="6" fillId="0" borderId="55" xfId="0" applyFont="1" applyFill="1" applyBorder="1"/>
    <xf numFmtId="0" fontId="6" fillId="0" borderId="56" xfId="0" applyFont="1" applyFill="1" applyBorder="1"/>
    <xf numFmtId="39" fontId="6" fillId="0" borderId="14" xfId="0" applyNumberFormat="1" applyFont="1" applyFill="1" applyBorder="1"/>
    <xf numFmtId="37" fontId="6" fillId="0" borderId="14" xfId="0" applyNumberFormat="1" applyFont="1" applyFill="1" applyBorder="1"/>
    <xf numFmtId="39" fontId="6" fillId="0" borderId="15" xfId="0" applyNumberFormat="1" applyFont="1" applyFill="1" applyBorder="1"/>
    <xf numFmtId="0" fontId="6" fillId="0" borderId="57" xfId="0" applyFont="1" applyFill="1" applyBorder="1"/>
    <xf numFmtId="0" fontId="6" fillId="0" borderId="58" xfId="0" applyFont="1" applyFill="1" applyBorder="1"/>
    <xf numFmtId="39" fontId="6" fillId="0" borderId="21" xfId="0" applyNumberFormat="1" applyFont="1" applyFill="1" applyBorder="1"/>
    <xf numFmtId="37" fontId="6" fillId="0" borderId="21" xfId="0" applyNumberFormat="1" applyFont="1" applyFill="1" applyBorder="1"/>
    <xf numFmtId="39" fontId="6" fillId="0" borderId="22" xfId="0" applyNumberFormat="1" applyFont="1" applyFill="1" applyBorder="1"/>
    <xf numFmtId="0" fontId="6" fillId="0" borderId="59" xfId="0" applyFont="1" applyFill="1" applyBorder="1"/>
    <xf numFmtId="39" fontId="9" fillId="0" borderId="15" xfId="0" applyNumberFormat="1" applyFont="1" applyFill="1" applyBorder="1"/>
    <xf numFmtId="0" fontId="6" fillId="0" borderId="0" xfId="0" applyFont="1" applyAlignment="1"/>
    <xf numFmtId="39" fontId="9" fillId="0" borderId="59" xfId="0" applyNumberFormat="1" applyFont="1" applyFill="1" applyBorder="1"/>
    <xf numFmtId="39" fontId="6" fillId="0" borderId="59" xfId="0" applyNumberFormat="1" applyFont="1" applyFill="1" applyBorder="1"/>
    <xf numFmtId="0" fontId="6" fillId="0" borderId="58" xfId="0" applyFont="1" applyBorder="1"/>
    <xf numFmtId="0" fontId="6" fillId="0" borderId="0" xfId="0" applyFont="1" applyFill="1" applyBorder="1" applyAlignment="1">
      <alignment horizontal="left"/>
    </xf>
    <xf numFmtId="39" fontId="6" fillId="0" borderId="21" xfId="0" applyNumberFormat="1" applyFont="1" applyBorder="1"/>
    <xf numFmtId="39" fontId="6" fillId="0" borderId="59" xfId="0" applyNumberFormat="1" applyFont="1" applyBorder="1"/>
    <xf numFmtId="0" fontId="6" fillId="0" borderId="60" xfId="0" applyFont="1" applyBorder="1"/>
    <xf numFmtId="39" fontId="6" fillId="0" borderId="43" xfId="0" applyNumberFormat="1" applyFont="1" applyBorder="1"/>
    <xf numFmtId="39" fontId="6" fillId="0" borderId="61" xfId="0" applyNumberFormat="1" applyFont="1" applyBorder="1"/>
    <xf numFmtId="39" fontId="6" fillId="2" borderId="11" xfId="0" applyNumberFormat="1" applyFont="1" applyFill="1" applyBorder="1"/>
    <xf numFmtId="37" fontId="6" fillId="2" borderId="11" xfId="0" applyNumberFormat="1" applyFont="1" applyFill="1" applyBorder="1"/>
    <xf numFmtId="0" fontId="6" fillId="2" borderId="37" xfId="0" applyFont="1" applyFill="1" applyBorder="1"/>
    <xf numFmtId="0" fontId="6" fillId="0" borderId="56" xfId="0" applyFont="1" applyBorder="1"/>
    <xf numFmtId="39" fontId="6" fillId="0" borderId="14" xfId="0" applyNumberFormat="1" applyFont="1" applyBorder="1"/>
    <xf numFmtId="37" fontId="6" fillId="0" borderId="14" xfId="0" applyNumberFormat="1" applyFont="1" applyBorder="1"/>
    <xf numFmtId="39" fontId="6" fillId="0" borderId="57" xfId="0" applyNumberFormat="1" applyFont="1" applyBorder="1"/>
    <xf numFmtId="37" fontId="6" fillId="0" borderId="21" xfId="0" applyNumberFormat="1" applyFont="1" applyBorder="1"/>
    <xf numFmtId="39" fontId="6" fillId="0" borderId="22" xfId="0" applyNumberFormat="1" applyFont="1" applyBorder="1"/>
    <xf numFmtId="0" fontId="6" fillId="0" borderId="54" xfId="0" applyFont="1" applyBorder="1"/>
    <xf numFmtId="39" fontId="6" fillId="0" borderId="38" xfId="0" applyNumberFormat="1" applyFont="1" applyBorder="1"/>
    <xf numFmtId="37" fontId="6" fillId="0" borderId="38" xfId="0" applyNumberFormat="1" applyFont="1" applyBorder="1"/>
    <xf numFmtId="39" fontId="6" fillId="0" borderId="55" xfId="0" applyNumberFormat="1" applyFont="1" applyBorder="1"/>
    <xf numFmtId="0" fontId="6" fillId="0" borderId="62" xfId="0" applyFont="1" applyBorder="1"/>
    <xf numFmtId="39" fontId="6" fillId="0" borderId="18" xfId="0" applyNumberFormat="1" applyFont="1" applyBorder="1"/>
    <xf numFmtId="37" fontId="6" fillId="0" borderId="18" xfId="0" applyNumberFormat="1" applyFont="1" applyBorder="1"/>
    <xf numFmtId="39" fontId="6" fillId="0" borderId="63" xfId="0" applyNumberFormat="1" applyFont="1" applyBorder="1"/>
    <xf numFmtId="0" fontId="7" fillId="4" borderId="64" xfId="0" applyFont="1" applyFill="1" applyBorder="1" applyAlignment="1">
      <alignment horizontal="center"/>
    </xf>
    <xf numFmtId="39" fontId="7" fillId="4" borderId="9" xfId="0" applyNumberFormat="1" applyFont="1" applyFill="1" applyBorder="1"/>
    <xf numFmtId="37" fontId="7" fillId="4" borderId="9" xfId="0" applyNumberFormat="1" applyFont="1" applyFill="1" applyBorder="1"/>
    <xf numFmtId="39" fontId="7" fillId="4" borderId="10" xfId="0" applyNumberFormat="1" applyFont="1" applyFill="1" applyBorder="1"/>
    <xf numFmtId="37" fontId="7" fillId="4" borderId="10" xfId="0" applyNumberFormat="1" applyFont="1" applyFill="1" applyBorder="1"/>
    <xf numFmtId="0" fontId="6" fillId="0" borderId="0" xfId="0" applyFont="1" applyBorder="1"/>
    <xf numFmtId="39" fontId="6" fillId="0" borderId="0" xfId="0" applyNumberFormat="1" applyFont="1" applyBorder="1"/>
    <xf numFmtId="37" fontId="6" fillId="0" borderId="0" xfId="0" applyNumberFormat="1" applyFont="1" applyBorder="1"/>
    <xf numFmtId="0" fontId="2" fillId="0" borderId="47" xfId="0" applyFont="1" applyBorder="1" applyAlignment="1">
      <alignment horizontal="left" wrapText="1" indent="2"/>
    </xf>
    <xf numFmtId="37" fontId="2" fillId="0" borderId="29" xfId="0" applyNumberFormat="1" applyFont="1" applyBorder="1"/>
    <xf numFmtId="37" fontId="2" fillId="0" borderId="30" xfId="0" applyNumberFormat="1" applyFont="1" applyBorder="1"/>
    <xf numFmtId="37" fontId="2" fillId="0" borderId="50" xfId="0" applyNumberFormat="1" applyFont="1" applyBorder="1"/>
    <xf numFmtId="0" fontId="2" fillId="0" borderId="65" xfId="0" applyFont="1" applyBorder="1" applyAlignment="1">
      <alignment wrapText="1"/>
    </xf>
    <xf numFmtId="0" fontId="10" fillId="0" borderId="0" xfId="0" applyFont="1"/>
    <xf numFmtId="37" fontId="4" fillId="0" borderId="13" xfId="0" applyNumberFormat="1" applyFont="1" applyFill="1" applyBorder="1"/>
    <xf numFmtId="37" fontId="4" fillId="0" borderId="14" xfId="0" applyNumberFormat="1" applyFont="1" applyFill="1" applyBorder="1"/>
    <xf numFmtId="37" fontId="4" fillId="0" borderId="15" xfId="0" applyNumberFormat="1" applyFont="1" applyFill="1" applyBorder="1"/>
    <xf numFmtId="37" fontId="2" fillId="0" borderId="42" xfId="0" applyNumberFormat="1" applyFont="1" applyFill="1" applyBorder="1"/>
    <xf numFmtId="37" fontId="3" fillId="0" borderId="42" xfId="0" applyNumberFormat="1" applyFont="1" applyFill="1" applyBorder="1"/>
    <xf numFmtId="37" fontId="3" fillId="0" borderId="43" xfId="0" applyNumberFormat="1" applyFont="1" applyFill="1" applyBorder="1"/>
    <xf numFmtId="37" fontId="3" fillId="0" borderId="22" xfId="0" applyNumberFormat="1" applyFont="1" applyFill="1" applyBorder="1"/>
    <xf numFmtId="37" fontId="3" fillId="0" borderId="20" xfId="0" applyNumberFormat="1" applyFont="1" applyFill="1" applyBorder="1"/>
    <xf numFmtId="37" fontId="3" fillId="0" borderId="21" xfId="0" applyNumberFormat="1" applyFont="1" applyFill="1" applyBorder="1"/>
    <xf numFmtId="37" fontId="0" fillId="0" borderId="0" xfId="0" applyNumberFormat="1" applyBorder="1"/>
    <xf numFmtId="0" fontId="0" fillId="0" borderId="0" xfId="0" applyBorder="1"/>
    <xf numFmtId="0" fontId="12" fillId="0" borderId="0" xfId="0" applyFont="1" applyBorder="1" applyAlignment="1">
      <alignment horizontal="right" vertical="center" wrapText="1"/>
    </xf>
    <xf numFmtId="164" fontId="0" fillId="0" borderId="0" xfId="0" applyNumberFormat="1" applyBorder="1"/>
    <xf numFmtId="43" fontId="0" fillId="0" borderId="0" xfId="2" applyFont="1" applyBorder="1"/>
    <xf numFmtId="0" fontId="2" fillId="4" borderId="36" xfId="0" applyFont="1" applyFill="1" applyBorder="1"/>
    <xf numFmtId="37" fontId="2" fillId="4" borderId="5" xfId="0" applyNumberFormat="1" applyFont="1" applyFill="1" applyBorder="1"/>
    <xf numFmtId="37" fontId="2" fillId="4" borderId="6" xfId="0" applyNumberFormat="1" applyFont="1" applyFill="1" applyBorder="1"/>
    <xf numFmtId="37" fontId="2" fillId="4" borderId="7" xfId="0" applyNumberFormat="1" applyFont="1" applyFill="1" applyBorder="1"/>
    <xf numFmtId="0" fontId="3" fillId="4" borderId="5" xfId="0" applyFont="1" applyFill="1" applyBorder="1"/>
    <xf numFmtId="37" fontId="3" fillId="4" borderId="6" xfId="0" applyNumberFormat="1" applyFont="1" applyFill="1" applyBorder="1"/>
    <xf numFmtId="164" fontId="3" fillId="4" borderId="7" xfId="0" applyNumberFormat="1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9" fontId="2" fillId="6" borderId="3" xfId="1" applyFont="1" applyFill="1" applyBorder="1" applyAlignment="1">
      <alignment horizontal="center" vertical="center"/>
    </xf>
    <xf numFmtId="9" fontId="2" fillId="6" borderId="6" xfId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11</xdr:row>
      <xdr:rowOff>76200</xdr:rowOff>
    </xdr:from>
    <xdr:to>
      <xdr:col>6</xdr:col>
      <xdr:colOff>695325</xdr:colOff>
      <xdr:row>11</xdr:row>
      <xdr:rowOff>76200</xdr:rowOff>
    </xdr:to>
    <xdr:sp macro="" textlink="">
      <xdr:nvSpPr>
        <xdr:cNvPr id="2" name="Line 17"/>
        <xdr:cNvSpPr>
          <a:spLocks noChangeShapeType="1"/>
        </xdr:cNvSpPr>
      </xdr:nvSpPr>
      <xdr:spPr bwMode="auto">
        <a:xfrm>
          <a:off x="8162925" y="19050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12</xdr:row>
      <xdr:rowOff>76200</xdr:rowOff>
    </xdr:from>
    <xdr:to>
      <xdr:col>6</xdr:col>
      <xdr:colOff>695325</xdr:colOff>
      <xdr:row>12</xdr:row>
      <xdr:rowOff>76200</xdr:rowOff>
    </xdr:to>
    <xdr:sp macro="" textlink="">
      <xdr:nvSpPr>
        <xdr:cNvPr id="3" name="Line 18"/>
        <xdr:cNvSpPr>
          <a:spLocks noChangeShapeType="1"/>
        </xdr:cNvSpPr>
      </xdr:nvSpPr>
      <xdr:spPr bwMode="auto">
        <a:xfrm>
          <a:off x="8162925" y="20669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13</xdr:row>
      <xdr:rowOff>76200</xdr:rowOff>
    </xdr:from>
    <xdr:to>
      <xdr:col>6</xdr:col>
      <xdr:colOff>695325</xdr:colOff>
      <xdr:row>13</xdr:row>
      <xdr:rowOff>76200</xdr:rowOff>
    </xdr:to>
    <xdr:sp macro="" textlink="">
      <xdr:nvSpPr>
        <xdr:cNvPr id="4" name="Line 19"/>
        <xdr:cNvSpPr>
          <a:spLocks noChangeShapeType="1"/>
        </xdr:cNvSpPr>
      </xdr:nvSpPr>
      <xdr:spPr bwMode="auto">
        <a:xfrm>
          <a:off x="8162925" y="22288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15</xdr:row>
      <xdr:rowOff>76200</xdr:rowOff>
    </xdr:from>
    <xdr:to>
      <xdr:col>6</xdr:col>
      <xdr:colOff>695325</xdr:colOff>
      <xdr:row>15</xdr:row>
      <xdr:rowOff>76200</xdr:rowOff>
    </xdr:to>
    <xdr:sp macro="" textlink="">
      <xdr:nvSpPr>
        <xdr:cNvPr id="5" name="Line 20"/>
        <xdr:cNvSpPr>
          <a:spLocks noChangeShapeType="1"/>
        </xdr:cNvSpPr>
      </xdr:nvSpPr>
      <xdr:spPr bwMode="auto">
        <a:xfrm>
          <a:off x="8162925" y="25527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16</xdr:row>
      <xdr:rowOff>76200</xdr:rowOff>
    </xdr:from>
    <xdr:to>
      <xdr:col>6</xdr:col>
      <xdr:colOff>695325</xdr:colOff>
      <xdr:row>16</xdr:row>
      <xdr:rowOff>76200</xdr:rowOff>
    </xdr:to>
    <xdr:sp macro="" textlink="">
      <xdr:nvSpPr>
        <xdr:cNvPr id="6" name="Line 21"/>
        <xdr:cNvSpPr>
          <a:spLocks noChangeShapeType="1"/>
        </xdr:cNvSpPr>
      </xdr:nvSpPr>
      <xdr:spPr bwMode="auto">
        <a:xfrm>
          <a:off x="8162925" y="27146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17</xdr:row>
      <xdr:rowOff>76200</xdr:rowOff>
    </xdr:from>
    <xdr:to>
      <xdr:col>6</xdr:col>
      <xdr:colOff>695325</xdr:colOff>
      <xdr:row>17</xdr:row>
      <xdr:rowOff>76200</xdr:rowOff>
    </xdr:to>
    <xdr:sp macro="" textlink="">
      <xdr:nvSpPr>
        <xdr:cNvPr id="7" name="Line 22"/>
        <xdr:cNvSpPr>
          <a:spLocks noChangeShapeType="1"/>
        </xdr:cNvSpPr>
      </xdr:nvSpPr>
      <xdr:spPr bwMode="auto">
        <a:xfrm>
          <a:off x="8162925" y="28765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18</xdr:row>
      <xdr:rowOff>76200</xdr:rowOff>
    </xdr:from>
    <xdr:to>
      <xdr:col>6</xdr:col>
      <xdr:colOff>695325</xdr:colOff>
      <xdr:row>18</xdr:row>
      <xdr:rowOff>76200</xdr:rowOff>
    </xdr:to>
    <xdr:sp macro="" textlink="">
      <xdr:nvSpPr>
        <xdr:cNvPr id="8" name="Line 23"/>
        <xdr:cNvSpPr>
          <a:spLocks noChangeShapeType="1"/>
        </xdr:cNvSpPr>
      </xdr:nvSpPr>
      <xdr:spPr bwMode="auto">
        <a:xfrm>
          <a:off x="8162925" y="30384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19</xdr:row>
      <xdr:rowOff>76200</xdr:rowOff>
    </xdr:from>
    <xdr:to>
      <xdr:col>6</xdr:col>
      <xdr:colOff>695325</xdr:colOff>
      <xdr:row>19</xdr:row>
      <xdr:rowOff>76200</xdr:rowOff>
    </xdr:to>
    <xdr:sp macro="" textlink="">
      <xdr:nvSpPr>
        <xdr:cNvPr id="9" name="Line 24"/>
        <xdr:cNvSpPr>
          <a:spLocks noChangeShapeType="1"/>
        </xdr:cNvSpPr>
      </xdr:nvSpPr>
      <xdr:spPr bwMode="auto">
        <a:xfrm>
          <a:off x="8162925" y="32004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20</xdr:row>
      <xdr:rowOff>76200</xdr:rowOff>
    </xdr:from>
    <xdr:to>
      <xdr:col>6</xdr:col>
      <xdr:colOff>695325</xdr:colOff>
      <xdr:row>20</xdr:row>
      <xdr:rowOff>76200</xdr:rowOff>
    </xdr:to>
    <xdr:sp macro="" textlink="">
      <xdr:nvSpPr>
        <xdr:cNvPr id="10" name="Line 25"/>
        <xdr:cNvSpPr>
          <a:spLocks noChangeShapeType="1"/>
        </xdr:cNvSpPr>
      </xdr:nvSpPr>
      <xdr:spPr bwMode="auto">
        <a:xfrm>
          <a:off x="8162925" y="33623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23</xdr:row>
      <xdr:rowOff>76200</xdr:rowOff>
    </xdr:from>
    <xdr:to>
      <xdr:col>6</xdr:col>
      <xdr:colOff>695325</xdr:colOff>
      <xdr:row>23</xdr:row>
      <xdr:rowOff>76200</xdr:rowOff>
    </xdr:to>
    <xdr:sp macro="" textlink="">
      <xdr:nvSpPr>
        <xdr:cNvPr id="11" name="Line 26"/>
        <xdr:cNvSpPr>
          <a:spLocks noChangeShapeType="1"/>
        </xdr:cNvSpPr>
      </xdr:nvSpPr>
      <xdr:spPr bwMode="auto">
        <a:xfrm>
          <a:off x="8162925" y="38766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24</xdr:row>
      <xdr:rowOff>76200</xdr:rowOff>
    </xdr:from>
    <xdr:to>
      <xdr:col>6</xdr:col>
      <xdr:colOff>695325</xdr:colOff>
      <xdr:row>24</xdr:row>
      <xdr:rowOff>76200</xdr:rowOff>
    </xdr:to>
    <xdr:sp macro="" textlink="">
      <xdr:nvSpPr>
        <xdr:cNvPr id="12" name="Line 27"/>
        <xdr:cNvSpPr>
          <a:spLocks noChangeShapeType="1"/>
        </xdr:cNvSpPr>
      </xdr:nvSpPr>
      <xdr:spPr bwMode="auto">
        <a:xfrm>
          <a:off x="8162925" y="40386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34</xdr:row>
      <xdr:rowOff>76200</xdr:rowOff>
    </xdr:from>
    <xdr:to>
      <xdr:col>6</xdr:col>
      <xdr:colOff>695325</xdr:colOff>
      <xdr:row>34</xdr:row>
      <xdr:rowOff>76200</xdr:rowOff>
    </xdr:to>
    <xdr:sp macro="" textlink="">
      <xdr:nvSpPr>
        <xdr:cNvPr id="13" name="Line 31"/>
        <xdr:cNvSpPr>
          <a:spLocks noChangeShapeType="1"/>
        </xdr:cNvSpPr>
      </xdr:nvSpPr>
      <xdr:spPr bwMode="auto">
        <a:xfrm>
          <a:off x="8162925" y="57435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14</xdr:row>
      <xdr:rowOff>76200</xdr:rowOff>
    </xdr:from>
    <xdr:to>
      <xdr:col>6</xdr:col>
      <xdr:colOff>695325</xdr:colOff>
      <xdr:row>14</xdr:row>
      <xdr:rowOff>76200</xdr:rowOff>
    </xdr:to>
    <xdr:sp macro="" textlink="">
      <xdr:nvSpPr>
        <xdr:cNvPr id="14" name="Line 32"/>
        <xdr:cNvSpPr>
          <a:spLocks noChangeShapeType="1"/>
        </xdr:cNvSpPr>
      </xdr:nvSpPr>
      <xdr:spPr bwMode="auto">
        <a:xfrm>
          <a:off x="8162925" y="23907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25</xdr:row>
      <xdr:rowOff>76200</xdr:rowOff>
    </xdr:from>
    <xdr:to>
      <xdr:col>6</xdr:col>
      <xdr:colOff>695325</xdr:colOff>
      <xdr:row>25</xdr:row>
      <xdr:rowOff>76200</xdr:rowOff>
    </xdr:to>
    <xdr:sp macro="" textlink="">
      <xdr:nvSpPr>
        <xdr:cNvPr id="15" name="Line 33"/>
        <xdr:cNvSpPr>
          <a:spLocks noChangeShapeType="1"/>
        </xdr:cNvSpPr>
      </xdr:nvSpPr>
      <xdr:spPr bwMode="auto">
        <a:xfrm>
          <a:off x="8162925" y="42005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26</xdr:row>
      <xdr:rowOff>76200</xdr:rowOff>
    </xdr:from>
    <xdr:to>
      <xdr:col>6</xdr:col>
      <xdr:colOff>695325</xdr:colOff>
      <xdr:row>26</xdr:row>
      <xdr:rowOff>76200</xdr:rowOff>
    </xdr:to>
    <xdr:sp macro="" textlink="">
      <xdr:nvSpPr>
        <xdr:cNvPr id="16" name="Line 34"/>
        <xdr:cNvSpPr>
          <a:spLocks noChangeShapeType="1"/>
        </xdr:cNvSpPr>
      </xdr:nvSpPr>
      <xdr:spPr bwMode="auto">
        <a:xfrm>
          <a:off x="8162925" y="43624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31</xdr:row>
      <xdr:rowOff>76200</xdr:rowOff>
    </xdr:from>
    <xdr:to>
      <xdr:col>6</xdr:col>
      <xdr:colOff>695325</xdr:colOff>
      <xdr:row>31</xdr:row>
      <xdr:rowOff>76200</xdr:rowOff>
    </xdr:to>
    <xdr:sp macro="" textlink="">
      <xdr:nvSpPr>
        <xdr:cNvPr id="17" name="Line 35"/>
        <xdr:cNvSpPr>
          <a:spLocks noChangeShapeType="1"/>
        </xdr:cNvSpPr>
      </xdr:nvSpPr>
      <xdr:spPr bwMode="auto">
        <a:xfrm>
          <a:off x="8162925" y="52292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32</xdr:row>
      <xdr:rowOff>76200</xdr:rowOff>
    </xdr:from>
    <xdr:to>
      <xdr:col>6</xdr:col>
      <xdr:colOff>695325</xdr:colOff>
      <xdr:row>32</xdr:row>
      <xdr:rowOff>76200</xdr:rowOff>
    </xdr:to>
    <xdr:sp macro="" textlink="">
      <xdr:nvSpPr>
        <xdr:cNvPr id="18" name="Line 36"/>
        <xdr:cNvSpPr>
          <a:spLocks noChangeShapeType="1"/>
        </xdr:cNvSpPr>
      </xdr:nvSpPr>
      <xdr:spPr bwMode="auto">
        <a:xfrm>
          <a:off x="8162925" y="53911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12</xdr:row>
      <xdr:rowOff>76200</xdr:rowOff>
    </xdr:from>
    <xdr:to>
      <xdr:col>6</xdr:col>
      <xdr:colOff>695325</xdr:colOff>
      <xdr:row>12</xdr:row>
      <xdr:rowOff>76200</xdr:rowOff>
    </xdr:to>
    <xdr:sp macro="" textlink="">
      <xdr:nvSpPr>
        <xdr:cNvPr id="2" name="Line 8"/>
        <xdr:cNvSpPr>
          <a:spLocks noChangeShapeType="1"/>
        </xdr:cNvSpPr>
      </xdr:nvSpPr>
      <xdr:spPr bwMode="auto">
        <a:xfrm>
          <a:off x="7286625" y="20669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16</xdr:row>
      <xdr:rowOff>76200</xdr:rowOff>
    </xdr:from>
    <xdr:to>
      <xdr:col>6</xdr:col>
      <xdr:colOff>695325</xdr:colOff>
      <xdr:row>16</xdr:row>
      <xdr:rowOff>76200</xdr:rowOff>
    </xdr:to>
    <xdr:sp macro="" textlink="">
      <xdr:nvSpPr>
        <xdr:cNvPr id="3" name="Line 9"/>
        <xdr:cNvSpPr>
          <a:spLocks noChangeShapeType="1"/>
        </xdr:cNvSpPr>
      </xdr:nvSpPr>
      <xdr:spPr bwMode="auto">
        <a:xfrm>
          <a:off x="7286625" y="27146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19</xdr:row>
      <xdr:rowOff>76200</xdr:rowOff>
    </xdr:from>
    <xdr:to>
      <xdr:col>6</xdr:col>
      <xdr:colOff>695325</xdr:colOff>
      <xdr:row>19</xdr:row>
      <xdr:rowOff>76200</xdr:rowOff>
    </xdr:to>
    <xdr:sp macro="" textlink="">
      <xdr:nvSpPr>
        <xdr:cNvPr id="4" name="Line 10"/>
        <xdr:cNvSpPr>
          <a:spLocks noChangeShapeType="1"/>
        </xdr:cNvSpPr>
      </xdr:nvSpPr>
      <xdr:spPr bwMode="auto">
        <a:xfrm>
          <a:off x="7286625" y="32004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20</xdr:row>
      <xdr:rowOff>76200</xdr:rowOff>
    </xdr:from>
    <xdr:to>
      <xdr:col>6</xdr:col>
      <xdr:colOff>695325</xdr:colOff>
      <xdr:row>20</xdr:row>
      <xdr:rowOff>76200</xdr:rowOff>
    </xdr:to>
    <xdr:sp macro="" textlink="">
      <xdr:nvSpPr>
        <xdr:cNvPr id="5" name="Line 11"/>
        <xdr:cNvSpPr>
          <a:spLocks noChangeShapeType="1"/>
        </xdr:cNvSpPr>
      </xdr:nvSpPr>
      <xdr:spPr bwMode="auto">
        <a:xfrm>
          <a:off x="7286625" y="33623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21</xdr:row>
      <xdr:rowOff>76200</xdr:rowOff>
    </xdr:from>
    <xdr:to>
      <xdr:col>6</xdr:col>
      <xdr:colOff>695325</xdr:colOff>
      <xdr:row>21</xdr:row>
      <xdr:rowOff>76200</xdr:rowOff>
    </xdr:to>
    <xdr:sp macro="" textlink="">
      <xdr:nvSpPr>
        <xdr:cNvPr id="6" name="Line 12"/>
        <xdr:cNvSpPr>
          <a:spLocks noChangeShapeType="1"/>
        </xdr:cNvSpPr>
      </xdr:nvSpPr>
      <xdr:spPr bwMode="auto">
        <a:xfrm>
          <a:off x="7286625" y="35242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25</xdr:row>
      <xdr:rowOff>76200</xdr:rowOff>
    </xdr:from>
    <xdr:to>
      <xdr:col>6</xdr:col>
      <xdr:colOff>695325</xdr:colOff>
      <xdr:row>25</xdr:row>
      <xdr:rowOff>76200</xdr:rowOff>
    </xdr:to>
    <xdr:sp macro="" textlink="">
      <xdr:nvSpPr>
        <xdr:cNvPr id="7" name="Line 13"/>
        <xdr:cNvSpPr>
          <a:spLocks noChangeShapeType="1"/>
        </xdr:cNvSpPr>
      </xdr:nvSpPr>
      <xdr:spPr bwMode="auto">
        <a:xfrm>
          <a:off x="7286625" y="42005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27</xdr:row>
      <xdr:rowOff>76200</xdr:rowOff>
    </xdr:from>
    <xdr:to>
      <xdr:col>6</xdr:col>
      <xdr:colOff>695325</xdr:colOff>
      <xdr:row>27</xdr:row>
      <xdr:rowOff>76200</xdr:rowOff>
    </xdr:to>
    <xdr:sp macro="" textlink="">
      <xdr:nvSpPr>
        <xdr:cNvPr id="8" name="Line 14"/>
        <xdr:cNvSpPr>
          <a:spLocks noChangeShapeType="1"/>
        </xdr:cNvSpPr>
      </xdr:nvSpPr>
      <xdr:spPr bwMode="auto">
        <a:xfrm>
          <a:off x="7286625" y="45529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28</xdr:row>
      <xdr:rowOff>76200</xdr:rowOff>
    </xdr:from>
    <xdr:to>
      <xdr:col>6</xdr:col>
      <xdr:colOff>695325</xdr:colOff>
      <xdr:row>28</xdr:row>
      <xdr:rowOff>76200</xdr:rowOff>
    </xdr:to>
    <xdr:sp macro="" textlink="">
      <xdr:nvSpPr>
        <xdr:cNvPr id="9" name="Line 15"/>
        <xdr:cNvSpPr>
          <a:spLocks noChangeShapeType="1"/>
        </xdr:cNvSpPr>
      </xdr:nvSpPr>
      <xdr:spPr bwMode="auto">
        <a:xfrm>
          <a:off x="7286625" y="47148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31</xdr:row>
      <xdr:rowOff>76200</xdr:rowOff>
    </xdr:from>
    <xdr:to>
      <xdr:col>6</xdr:col>
      <xdr:colOff>695325</xdr:colOff>
      <xdr:row>31</xdr:row>
      <xdr:rowOff>76200</xdr:rowOff>
    </xdr:to>
    <xdr:sp macro="" textlink="">
      <xdr:nvSpPr>
        <xdr:cNvPr id="10" name="Line 16"/>
        <xdr:cNvSpPr>
          <a:spLocks noChangeShapeType="1"/>
        </xdr:cNvSpPr>
      </xdr:nvSpPr>
      <xdr:spPr bwMode="auto">
        <a:xfrm>
          <a:off x="7286625" y="52292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34</xdr:row>
      <xdr:rowOff>76200</xdr:rowOff>
    </xdr:from>
    <xdr:to>
      <xdr:col>6</xdr:col>
      <xdr:colOff>695325</xdr:colOff>
      <xdr:row>34</xdr:row>
      <xdr:rowOff>76200</xdr:rowOff>
    </xdr:to>
    <xdr:sp macro="" textlink="">
      <xdr:nvSpPr>
        <xdr:cNvPr id="11" name="Line 17"/>
        <xdr:cNvSpPr>
          <a:spLocks noChangeShapeType="1"/>
        </xdr:cNvSpPr>
      </xdr:nvSpPr>
      <xdr:spPr bwMode="auto">
        <a:xfrm>
          <a:off x="7286625" y="57435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32</xdr:row>
      <xdr:rowOff>76200</xdr:rowOff>
    </xdr:from>
    <xdr:to>
      <xdr:col>6</xdr:col>
      <xdr:colOff>695325</xdr:colOff>
      <xdr:row>32</xdr:row>
      <xdr:rowOff>76200</xdr:rowOff>
    </xdr:to>
    <xdr:sp macro="" textlink="">
      <xdr:nvSpPr>
        <xdr:cNvPr id="12" name="Line 18"/>
        <xdr:cNvSpPr>
          <a:spLocks noChangeShapeType="1"/>
        </xdr:cNvSpPr>
      </xdr:nvSpPr>
      <xdr:spPr bwMode="auto">
        <a:xfrm>
          <a:off x="7286625" y="53911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35</xdr:row>
      <xdr:rowOff>76200</xdr:rowOff>
    </xdr:from>
    <xdr:to>
      <xdr:col>6</xdr:col>
      <xdr:colOff>695325</xdr:colOff>
      <xdr:row>35</xdr:row>
      <xdr:rowOff>76200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>
          <a:off x="7286625" y="59055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29</xdr:row>
      <xdr:rowOff>76200</xdr:rowOff>
    </xdr:from>
    <xdr:to>
      <xdr:col>6</xdr:col>
      <xdr:colOff>695325</xdr:colOff>
      <xdr:row>29</xdr:row>
      <xdr:rowOff>76200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>
          <a:off x="7286625" y="48768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24</xdr:row>
      <xdr:rowOff>76200</xdr:rowOff>
    </xdr:from>
    <xdr:to>
      <xdr:col>6</xdr:col>
      <xdr:colOff>695325</xdr:colOff>
      <xdr:row>24</xdr:row>
      <xdr:rowOff>76200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7286625" y="403860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23</xdr:row>
      <xdr:rowOff>76200</xdr:rowOff>
    </xdr:from>
    <xdr:to>
      <xdr:col>6</xdr:col>
      <xdr:colOff>695325</xdr:colOff>
      <xdr:row>23</xdr:row>
      <xdr:rowOff>76200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>
          <a:off x="7286625" y="387667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13</xdr:row>
      <xdr:rowOff>76200</xdr:rowOff>
    </xdr:from>
    <xdr:to>
      <xdr:col>6</xdr:col>
      <xdr:colOff>695325</xdr:colOff>
      <xdr:row>13</xdr:row>
      <xdr:rowOff>76200</xdr:rowOff>
    </xdr:to>
    <xdr:sp macro="" textlink="">
      <xdr:nvSpPr>
        <xdr:cNvPr id="17" name="Line 25"/>
        <xdr:cNvSpPr>
          <a:spLocks noChangeShapeType="1"/>
        </xdr:cNvSpPr>
      </xdr:nvSpPr>
      <xdr:spPr bwMode="auto">
        <a:xfrm>
          <a:off x="7286625" y="22288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17</xdr:row>
      <xdr:rowOff>76200</xdr:rowOff>
    </xdr:from>
    <xdr:to>
      <xdr:col>6</xdr:col>
      <xdr:colOff>695325</xdr:colOff>
      <xdr:row>17</xdr:row>
      <xdr:rowOff>76200</xdr:rowOff>
    </xdr:to>
    <xdr:sp macro="" textlink="">
      <xdr:nvSpPr>
        <xdr:cNvPr id="18" name="Line 26"/>
        <xdr:cNvSpPr>
          <a:spLocks noChangeShapeType="1"/>
        </xdr:cNvSpPr>
      </xdr:nvSpPr>
      <xdr:spPr bwMode="auto">
        <a:xfrm>
          <a:off x="7286625" y="28765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9"/>
  <sheetViews>
    <sheetView showGridLines="0" workbookViewId="0">
      <selection activeCell="B29" sqref="B29"/>
    </sheetView>
  </sheetViews>
  <sheetFormatPr defaultRowHeight="12.75" x14ac:dyDescent="0.2"/>
  <cols>
    <col min="2" max="2" width="62.85546875" customWidth="1"/>
    <col min="3" max="6" width="12.7109375" customWidth="1"/>
  </cols>
  <sheetData>
    <row r="2" spans="2:6" x14ac:dyDescent="0.2">
      <c r="B2" s="257" t="s">
        <v>0</v>
      </c>
      <c r="C2" s="257"/>
      <c r="D2" s="257"/>
      <c r="E2" s="257"/>
      <c r="F2" s="257"/>
    </row>
    <row r="3" spans="2:6" x14ac:dyDescent="0.2">
      <c r="B3" s="257" t="s">
        <v>1</v>
      </c>
      <c r="C3" s="257"/>
      <c r="D3" s="257"/>
      <c r="E3" s="257"/>
      <c r="F3" s="257"/>
    </row>
    <row r="4" spans="2:6" x14ac:dyDescent="0.2">
      <c r="B4" s="257" t="s">
        <v>2</v>
      </c>
      <c r="C4" s="257"/>
      <c r="D4" s="257"/>
      <c r="E4" s="257"/>
      <c r="F4" s="257"/>
    </row>
    <row r="5" spans="2:6" x14ac:dyDescent="0.2">
      <c r="B5" s="258"/>
      <c r="C5" s="258"/>
      <c r="D5" s="258"/>
      <c r="E5" s="258"/>
      <c r="F5" s="258"/>
    </row>
    <row r="6" spans="2:6" x14ac:dyDescent="0.2">
      <c r="B6" s="257" t="s">
        <v>3</v>
      </c>
      <c r="C6" s="257"/>
      <c r="D6" s="257"/>
      <c r="E6" s="257"/>
      <c r="F6" s="257"/>
    </row>
    <row r="7" spans="2:6" x14ac:dyDescent="0.2">
      <c r="B7" s="258" t="s">
        <v>4</v>
      </c>
      <c r="C7" s="258"/>
      <c r="D7" s="258"/>
      <c r="E7" s="258"/>
      <c r="F7" s="258"/>
    </row>
    <row r="8" spans="2:6" ht="13.5" thickBot="1" x14ac:dyDescent="0.25">
      <c r="B8" s="259"/>
      <c r="C8" s="259"/>
      <c r="D8" s="259"/>
      <c r="E8" s="259"/>
    </row>
    <row r="9" spans="2:6" ht="13.5" thickTop="1" x14ac:dyDescent="0.2">
      <c r="B9" s="260" t="s">
        <v>5</v>
      </c>
      <c r="C9" s="262" t="s">
        <v>6</v>
      </c>
      <c r="D9" s="262" t="s">
        <v>7</v>
      </c>
      <c r="E9" s="262" t="s">
        <v>8</v>
      </c>
      <c r="F9" s="255" t="s">
        <v>9</v>
      </c>
    </row>
    <row r="10" spans="2:6" ht="13.5" thickBot="1" x14ac:dyDescent="0.25">
      <c r="B10" s="261"/>
      <c r="C10" s="263"/>
      <c r="D10" s="263"/>
      <c r="E10" s="263"/>
      <c r="F10" s="256"/>
    </row>
    <row r="11" spans="2:6" ht="14.25" thickTop="1" thickBot="1" x14ac:dyDescent="0.25">
      <c r="B11" s="1" t="s">
        <v>10</v>
      </c>
      <c r="C11" s="2">
        <f>+C12+C14</f>
        <v>32000000</v>
      </c>
      <c r="D11" s="2">
        <f>+D12+D14</f>
        <v>2900000</v>
      </c>
      <c r="E11" s="2">
        <f>+E12+E14</f>
        <v>34900000</v>
      </c>
      <c r="F11" s="3">
        <f>+F12+F14</f>
        <v>0.91122715404699739</v>
      </c>
    </row>
    <row r="12" spans="2:6" ht="14.25" thickTop="1" thickBot="1" x14ac:dyDescent="0.25">
      <c r="B12" s="4" t="s">
        <v>11</v>
      </c>
      <c r="C12" s="5">
        <f>SUM(C13:C13)</f>
        <v>18000000</v>
      </c>
      <c r="D12" s="5">
        <f>SUM(D13:D13)</f>
        <v>1000000</v>
      </c>
      <c r="E12" s="5">
        <f>SUM(E13:E13)</f>
        <v>19000000</v>
      </c>
      <c r="F12" s="6">
        <f>SUM(F13:F13)</f>
        <v>0.4960835509138381</v>
      </c>
    </row>
    <row r="13" spans="2:6" ht="13.5" thickBot="1" x14ac:dyDescent="0.25">
      <c r="B13" s="10" t="s">
        <v>214</v>
      </c>
      <c r="C13" s="11">
        <f>+PLAN.EJEC.PROG.!$R$14+PLAN.EJEC.PROG.!R18</f>
        <v>18000000</v>
      </c>
      <c r="D13" s="11">
        <f>+PLAN.EJEC.PROG.!$S$14+PLAN.EJEC.PROG.!S18</f>
        <v>1000000</v>
      </c>
      <c r="E13" s="12">
        <f>+C13+D13</f>
        <v>19000000</v>
      </c>
      <c r="F13" s="13">
        <f>+E13/$E$32</f>
        <v>0.4960835509138381</v>
      </c>
    </row>
    <row r="14" spans="2:6" ht="14.25" thickTop="1" thickBot="1" x14ac:dyDescent="0.25">
      <c r="B14" s="4" t="s">
        <v>12</v>
      </c>
      <c r="C14" s="5">
        <f>SUM(C15:C17)</f>
        <v>14000000</v>
      </c>
      <c r="D14" s="5">
        <f>SUM(D15:D17)</f>
        <v>1900000</v>
      </c>
      <c r="E14" s="5">
        <f>SUM(E15:E17)</f>
        <v>15900000</v>
      </c>
      <c r="F14" s="6">
        <f>SUM(F15:F17)</f>
        <v>0.41514360313315929</v>
      </c>
    </row>
    <row r="15" spans="2:6" ht="22.5" x14ac:dyDescent="0.2">
      <c r="B15" s="7" t="s">
        <v>13</v>
      </c>
      <c r="C15" s="8">
        <f>+PLAN.EJEC.PROG.!$R$21</f>
        <v>4000000</v>
      </c>
      <c r="D15" s="8">
        <f>+PLAN.EJEC.PROG.!$S$21</f>
        <v>1400000</v>
      </c>
      <c r="E15" s="8">
        <f>+C15+D15</f>
        <v>5400000</v>
      </c>
      <c r="F15" s="9">
        <f>+E15/$E$32</f>
        <v>0.14099216710182769</v>
      </c>
    </row>
    <row r="16" spans="2:6" x14ac:dyDescent="0.2">
      <c r="B16" s="14" t="s">
        <v>14</v>
      </c>
      <c r="C16" s="15">
        <f>+PLAN.EJEC.PROG.!$R$28</f>
        <v>4500000</v>
      </c>
      <c r="D16" s="15">
        <f>+PLAN.EJEC.PROG.!$S$28</f>
        <v>500000</v>
      </c>
      <c r="E16" s="15">
        <f>+C16+D16</f>
        <v>5000000</v>
      </c>
      <c r="F16" s="16">
        <f>+E16/$E$32</f>
        <v>0.13054830287206268</v>
      </c>
    </row>
    <row r="17" spans="2:6" ht="13.5" thickBot="1" x14ac:dyDescent="0.25">
      <c r="B17" s="17" t="s">
        <v>15</v>
      </c>
      <c r="C17" s="18">
        <f>+PLAN.EJEC.PROG.!$R$69</f>
        <v>5500000</v>
      </c>
      <c r="D17" s="18">
        <f>+PLAN.EJEC.PROG.!$S$69</f>
        <v>0</v>
      </c>
      <c r="E17" s="8">
        <f>+C17+D17</f>
        <v>5500000</v>
      </c>
      <c r="F17" s="9">
        <f>+E17/$E$32</f>
        <v>0.14360313315926893</v>
      </c>
    </row>
    <row r="18" spans="2:6" ht="14.25" thickTop="1" thickBot="1" x14ac:dyDescent="0.25">
      <c r="B18" s="19" t="s">
        <v>16</v>
      </c>
      <c r="C18" s="2">
        <f>+C19+C23+C24</f>
        <v>2324600</v>
      </c>
      <c r="D18" s="2">
        <f>+D19+D23+D24</f>
        <v>400000</v>
      </c>
      <c r="E18" s="2">
        <f>+E19+E23+E24</f>
        <v>2724600</v>
      </c>
      <c r="F18" s="3">
        <f>+F19+F23+F24</f>
        <v>7.113838120104439E-2</v>
      </c>
    </row>
    <row r="19" spans="2:6" ht="14.25" thickTop="1" thickBot="1" x14ac:dyDescent="0.25">
      <c r="B19" s="4" t="s">
        <v>17</v>
      </c>
      <c r="C19" s="5">
        <f>SUM(C20:C22)</f>
        <v>2150400</v>
      </c>
      <c r="D19" s="5">
        <f>SUM(D20:D22)</f>
        <v>0</v>
      </c>
      <c r="E19" s="5">
        <f>SUM(E20:E22)</f>
        <v>2150400</v>
      </c>
      <c r="F19" s="6">
        <f>SUM(F20:F22)</f>
        <v>5.6146214099216711E-2</v>
      </c>
    </row>
    <row r="20" spans="2:6" x14ac:dyDescent="0.2">
      <c r="B20" s="20" t="s">
        <v>18</v>
      </c>
      <c r="C20" s="8">
        <f>+PLAN.EJEC.PROG.!$R$72</f>
        <v>1249200</v>
      </c>
      <c r="D20" s="8">
        <f>+PLAN.EJEC.PROG.!$S$72</f>
        <v>0</v>
      </c>
      <c r="E20" s="8">
        <f>+C20+D20</f>
        <v>1249200</v>
      </c>
      <c r="F20" s="9">
        <f>+E20/$E$32</f>
        <v>3.2616187989556136E-2</v>
      </c>
    </row>
    <row r="21" spans="2:6" x14ac:dyDescent="0.2">
      <c r="B21" s="21" t="s">
        <v>19</v>
      </c>
      <c r="C21" s="15">
        <f>+PLAN.EJEC.PROG.!$R$73</f>
        <v>757200</v>
      </c>
      <c r="D21" s="15">
        <f>+PLAN.EJEC.PROG.!$S$73</f>
        <v>0</v>
      </c>
      <c r="E21" s="15">
        <f>+C21+D21</f>
        <v>757200</v>
      </c>
      <c r="F21" s="16">
        <f>+E21/$E$32</f>
        <v>1.9770234986945169E-2</v>
      </c>
    </row>
    <row r="22" spans="2:6" ht="13.5" thickBot="1" x14ac:dyDescent="0.25">
      <c r="B22" s="21" t="s">
        <v>20</v>
      </c>
      <c r="C22" s="8">
        <f>+PLAN.EJEC.PROG.!$R$74</f>
        <v>144000</v>
      </c>
      <c r="D22" s="8">
        <f>+PLAN.EJEC.PROG.!$S$74</f>
        <v>0</v>
      </c>
      <c r="E22" s="8">
        <f>+C22+D22</f>
        <v>144000</v>
      </c>
      <c r="F22" s="9">
        <f>+E22/$E$32</f>
        <v>3.7597911227154049E-3</v>
      </c>
    </row>
    <row r="23" spans="2:6" ht="13.5" thickBot="1" x14ac:dyDescent="0.25">
      <c r="B23" s="22" t="s">
        <v>21</v>
      </c>
      <c r="C23" s="23">
        <f>+PLAN.EJEC.PROG.!$R$75</f>
        <v>174200</v>
      </c>
      <c r="D23" s="23">
        <f>+PLAN.EJEC.PROG.!$S$75</f>
        <v>0</v>
      </c>
      <c r="E23" s="23">
        <f>+C23+D23</f>
        <v>174200</v>
      </c>
      <c r="F23" s="24">
        <f>+E23/$E$32</f>
        <v>4.5483028720626631E-3</v>
      </c>
    </row>
    <row r="24" spans="2:6" ht="13.5" thickBot="1" x14ac:dyDescent="0.25">
      <c r="B24" s="25" t="s">
        <v>22</v>
      </c>
      <c r="C24" s="26">
        <f>+PLAN.EJEC.PROG.!R76</f>
        <v>0</v>
      </c>
      <c r="D24" s="26">
        <f>+PLAN.EJEC.PROG.!S76</f>
        <v>400000</v>
      </c>
      <c r="E24" s="27">
        <f>+C24+D24</f>
        <v>400000</v>
      </c>
      <c r="F24" s="28">
        <f>+E24/$E$32</f>
        <v>1.0443864229765013E-2</v>
      </c>
    </row>
    <row r="25" spans="2:6" ht="14.25" thickTop="1" thickBot="1" x14ac:dyDescent="0.25">
      <c r="B25" s="19" t="s">
        <v>23</v>
      </c>
      <c r="C25" s="2">
        <f>+C26</f>
        <v>250000</v>
      </c>
      <c r="D25" s="2">
        <f>+D26</f>
        <v>0</v>
      </c>
      <c r="E25" s="2">
        <f>+E26</f>
        <v>250000</v>
      </c>
      <c r="F25" s="3">
        <f>+F26</f>
        <v>6.5274151436031328E-3</v>
      </c>
    </row>
    <row r="26" spans="2:6" ht="14.25" thickTop="1" thickBot="1" x14ac:dyDescent="0.25">
      <c r="B26" s="29" t="s">
        <v>24</v>
      </c>
      <c r="C26" s="30">
        <f>+PLAN.EJEC.PROG.!$R$78</f>
        <v>250000</v>
      </c>
      <c r="D26" s="30">
        <f>+PLAN.EJEC.PROG.!$S$78</f>
        <v>0</v>
      </c>
      <c r="E26" s="31">
        <f>+C26+D26</f>
        <v>250000</v>
      </c>
      <c r="F26" s="28">
        <f>+E26/$E$32</f>
        <v>6.5274151436031328E-3</v>
      </c>
    </row>
    <row r="27" spans="2:6" ht="14.25" thickTop="1" thickBot="1" x14ac:dyDescent="0.25">
      <c r="B27" s="19" t="s">
        <v>25</v>
      </c>
      <c r="C27" s="2">
        <f>SUM(C28:C30)</f>
        <v>250000</v>
      </c>
      <c r="D27" s="2">
        <f>SUM(D28:D30)</f>
        <v>0</v>
      </c>
      <c r="E27" s="2">
        <f>SUM(E28:E30)</f>
        <v>250000</v>
      </c>
      <c r="F27" s="3">
        <f>SUM(F28:F30)</f>
        <v>6.5274151436031328E-3</v>
      </c>
    </row>
    <row r="28" spans="2:6" ht="14.25" thickTop="1" thickBot="1" x14ac:dyDescent="0.25">
      <c r="B28" s="32" t="s">
        <v>218</v>
      </c>
      <c r="C28" s="33">
        <f>+PLAN.EJEC.PROG.!$R$80</f>
        <v>50000</v>
      </c>
      <c r="D28" s="33">
        <f>PLAN.EJEC.PROG.!C8110</f>
        <v>0</v>
      </c>
      <c r="E28" s="33">
        <f>+C28+D28</f>
        <v>50000</v>
      </c>
      <c r="F28" s="28">
        <f>+E28/$E$32</f>
        <v>1.3054830287206266E-3</v>
      </c>
    </row>
    <row r="29" spans="2:6" ht="13.5" thickBot="1" x14ac:dyDescent="0.25">
      <c r="B29" s="34" t="s">
        <v>220</v>
      </c>
      <c r="C29" s="27">
        <f>+PLAN.EJEC.PROG.!$R$81</f>
        <v>190000</v>
      </c>
      <c r="D29" s="27">
        <f>+PLAN.EJEC.PROG.!$S$81</f>
        <v>0</v>
      </c>
      <c r="E29" s="27">
        <f>+C29+D29</f>
        <v>190000</v>
      </c>
      <c r="F29" s="35">
        <f>+E29/$E$32</f>
        <v>4.960835509138381E-3</v>
      </c>
    </row>
    <row r="30" spans="2:6" ht="14.25" thickTop="1" thickBot="1" x14ac:dyDescent="0.25">
      <c r="B30" s="252" t="s">
        <v>217</v>
      </c>
      <c r="C30" s="253">
        <f>+PLAN.EJEC.PROG.!$R$82</f>
        <v>10000</v>
      </c>
      <c r="D30" s="253"/>
      <c r="E30" s="253">
        <f>SUM(C30:D30)</f>
        <v>10000</v>
      </c>
      <c r="F30" s="254">
        <f>+E30/$E$32</f>
        <v>2.6109660574412532E-4</v>
      </c>
    </row>
    <row r="31" spans="2:6" ht="14.25" thickTop="1" thickBot="1" x14ac:dyDescent="0.25">
      <c r="B31" s="19" t="s">
        <v>26</v>
      </c>
      <c r="C31" s="2">
        <f>+PLAN.EJEC.PROG.!R83</f>
        <v>175400</v>
      </c>
      <c r="D31" s="2">
        <f>+PLAN.EJEC.PROG.!S83</f>
        <v>0</v>
      </c>
      <c r="E31" s="36">
        <f>+C31+D31</f>
        <v>175400</v>
      </c>
      <c r="F31" s="37">
        <f>+E31/$E$32</f>
        <v>4.5796344647519582E-3</v>
      </c>
    </row>
    <row r="32" spans="2:6" ht="14.25" thickTop="1" thickBot="1" x14ac:dyDescent="0.25">
      <c r="B32" s="38" t="s">
        <v>27</v>
      </c>
      <c r="C32" s="39">
        <f>+C11+C18+C25+C27+C31</f>
        <v>35000000</v>
      </c>
      <c r="D32" s="39">
        <f>+D11+D18+D25+D27+D31</f>
        <v>3300000</v>
      </c>
      <c r="E32" s="39">
        <f>+E11+E18+E25+E27+E31</f>
        <v>38300000</v>
      </c>
      <c r="F32" s="40">
        <f>+F11+F18+F25+F27+F31</f>
        <v>1</v>
      </c>
    </row>
    <row r="33" spans="2:7" ht="14.25" thickTop="1" thickBot="1" x14ac:dyDescent="0.25">
      <c r="B33" s="38" t="s">
        <v>9</v>
      </c>
      <c r="C33" s="41">
        <f>+C32/$E$32</f>
        <v>0.91383812010443866</v>
      </c>
      <c r="D33" s="41">
        <f>+D32/$E$32</f>
        <v>8.6161879895561358E-2</v>
      </c>
      <c r="E33" s="41">
        <f>+C33+D33</f>
        <v>1</v>
      </c>
      <c r="F33" s="42"/>
    </row>
    <row r="34" spans="2:7" ht="13.5" thickTop="1" x14ac:dyDescent="0.2"/>
    <row r="35" spans="2:7" x14ac:dyDescent="0.2">
      <c r="C35" s="243"/>
      <c r="D35" s="244"/>
      <c r="E35" s="244"/>
      <c r="F35" s="244"/>
      <c r="G35" s="244"/>
    </row>
    <row r="36" spans="2:7" x14ac:dyDescent="0.2">
      <c r="C36" s="245"/>
      <c r="D36" s="244"/>
      <c r="E36" s="244"/>
      <c r="F36" s="244"/>
      <c r="G36" s="244"/>
    </row>
    <row r="37" spans="2:7" x14ac:dyDescent="0.2">
      <c r="C37" s="245"/>
      <c r="D37" s="244"/>
      <c r="E37" s="244"/>
      <c r="F37" s="246"/>
      <c r="G37" s="244"/>
    </row>
    <row r="38" spans="2:7" x14ac:dyDescent="0.2">
      <c r="C38" s="245"/>
      <c r="D38" s="244"/>
      <c r="E38" s="244"/>
      <c r="F38" s="244"/>
      <c r="G38" s="244"/>
    </row>
    <row r="39" spans="2:7" x14ac:dyDescent="0.2">
      <c r="C39" s="247"/>
      <c r="D39" s="244"/>
      <c r="E39" s="244"/>
      <c r="F39" s="244"/>
      <c r="G39" s="244"/>
    </row>
  </sheetData>
  <mergeCells count="12">
    <mergeCell ref="F9:F10"/>
    <mergeCell ref="B2:F2"/>
    <mergeCell ref="B3:F3"/>
    <mergeCell ref="B4:F4"/>
    <mergeCell ref="B5:F5"/>
    <mergeCell ref="B6:F6"/>
    <mergeCell ref="B7:F7"/>
    <mergeCell ref="B8:E8"/>
    <mergeCell ref="B9:B10"/>
    <mergeCell ref="C9:C10"/>
    <mergeCell ref="D9:D10"/>
    <mergeCell ref="E9:E10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91"/>
  <sheetViews>
    <sheetView showGridLines="0" tabSelected="1" topLeftCell="I55" workbookViewId="0">
      <selection activeCell="P81" sqref="P81"/>
    </sheetView>
  </sheetViews>
  <sheetFormatPr defaultRowHeight="12.75" x14ac:dyDescent="0.2"/>
  <cols>
    <col min="1" max="1" width="9.7109375" bestFit="1" customWidth="1"/>
    <col min="2" max="2" width="93" customWidth="1"/>
    <col min="3" max="20" width="12.7109375" customWidth="1"/>
    <col min="22" max="22" width="10.7109375" bestFit="1" customWidth="1"/>
  </cols>
  <sheetData>
    <row r="2" spans="2:22" x14ac:dyDescent="0.2">
      <c r="B2" s="257" t="s">
        <v>0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</row>
    <row r="3" spans="2:22" x14ac:dyDescent="0.2">
      <c r="B3" s="257" t="s">
        <v>1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</row>
    <row r="4" spans="2:22" x14ac:dyDescent="0.2">
      <c r="B4" s="257" t="s">
        <v>2</v>
      </c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</row>
    <row r="5" spans="2:22" x14ac:dyDescent="0.2">
      <c r="B5" s="43"/>
      <c r="C5" s="43"/>
    </row>
    <row r="6" spans="2:22" x14ac:dyDescent="0.2">
      <c r="B6" s="257" t="s">
        <v>28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</row>
    <row r="7" spans="2:22" x14ac:dyDescent="0.2">
      <c r="B7" s="258" t="s">
        <v>4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</row>
    <row r="8" spans="2:22" ht="13.5" thickBot="1" x14ac:dyDescent="0.25">
      <c r="B8" s="44"/>
      <c r="C8" s="44"/>
      <c r="D8" s="44"/>
      <c r="E8" s="44"/>
    </row>
    <row r="9" spans="2:22" ht="14.25" thickTop="1" thickBot="1" x14ac:dyDescent="0.25">
      <c r="B9" s="271" t="s">
        <v>5</v>
      </c>
      <c r="C9" s="266" t="s">
        <v>29</v>
      </c>
      <c r="D9" s="267"/>
      <c r="E9" s="268"/>
      <c r="F9" s="266" t="s">
        <v>30</v>
      </c>
      <c r="G9" s="267"/>
      <c r="H9" s="268"/>
      <c r="I9" s="266" t="s">
        <v>31</v>
      </c>
      <c r="J9" s="267"/>
      <c r="K9" s="268"/>
      <c r="L9" s="266" t="s">
        <v>32</v>
      </c>
      <c r="M9" s="267"/>
      <c r="N9" s="268"/>
      <c r="O9" s="266" t="s">
        <v>33</v>
      </c>
      <c r="P9" s="267"/>
      <c r="Q9" s="268"/>
      <c r="R9" s="266" t="s">
        <v>8</v>
      </c>
      <c r="S9" s="267"/>
      <c r="T9" s="268"/>
    </row>
    <row r="10" spans="2:22" ht="13.5" thickTop="1" x14ac:dyDescent="0.2">
      <c r="B10" s="272"/>
      <c r="C10" s="264" t="s">
        <v>6</v>
      </c>
      <c r="D10" s="262" t="s">
        <v>7</v>
      </c>
      <c r="E10" s="255" t="s">
        <v>8</v>
      </c>
      <c r="F10" s="264" t="s">
        <v>6</v>
      </c>
      <c r="G10" s="262" t="s">
        <v>7</v>
      </c>
      <c r="H10" s="255" t="s">
        <v>8</v>
      </c>
      <c r="I10" s="264" t="s">
        <v>6</v>
      </c>
      <c r="J10" s="262" t="s">
        <v>7</v>
      </c>
      <c r="K10" s="255" t="s">
        <v>8</v>
      </c>
      <c r="L10" s="264" t="s">
        <v>6</v>
      </c>
      <c r="M10" s="262" t="s">
        <v>7</v>
      </c>
      <c r="N10" s="255" t="s">
        <v>8</v>
      </c>
      <c r="O10" s="264" t="s">
        <v>6</v>
      </c>
      <c r="P10" s="262" t="s">
        <v>7</v>
      </c>
      <c r="Q10" s="255" t="s">
        <v>8</v>
      </c>
      <c r="R10" s="264" t="s">
        <v>6</v>
      </c>
      <c r="S10" s="262" t="s">
        <v>7</v>
      </c>
      <c r="T10" s="255" t="s">
        <v>8</v>
      </c>
    </row>
    <row r="11" spans="2:22" ht="13.5" thickBot="1" x14ac:dyDescent="0.25">
      <c r="B11" s="273"/>
      <c r="C11" s="265"/>
      <c r="D11" s="263"/>
      <c r="E11" s="256"/>
      <c r="F11" s="265"/>
      <c r="G11" s="263"/>
      <c r="H11" s="256"/>
      <c r="I11" s="265"/>
      <c r="J11" s="263"/>
      <c r="K11" s="256"/>
      <c r="L11" s="265"/>
      <c r="M11" s="263"/>
      <c r="N11" s="256"/>
      <c r="O11" s="265"/>
      <c r="P11" s="263"/>
      <c r="Q11" s="256"/>
      <c r="R11" s="265"/>
      <c r="S11" s="263"/>
      <c r="T11" s="256"/>
      <c r="V11" s="45"/>
    </row>
    <row r="12" spans="2:22" ht="14.25" thickTop="1" thickBot="1" x14ac:dyDescent="0.25">
      <c r="B12" s="46" t="s">
        <v>10</v>
      </c>
      <c r="C12" s="47">
        <f t="shared" ref="C12:T12" si="0">+C13+C20</f>
        <v>3887000</v>
      </c>
      <c r="D12" s="2">
        <f t="shared" si="0"/>
        <v>200000</v>
      </c>
      <c r="E12" s="48">
        <f t="shared" si="0"/>
        <v>4087000</v>
      </c>
      <c r="F12" s="47">
        <f t="shared" si="0"/>
        <v>8432000</v>
      </c>
      <c r="G12" s="2">
        <f t="shared" si="0"/>
        <v>875000</v>
      </c>
      <c r="H12" s="48">
        <f t="shared" si="0"/>
        <v>9307000</v>
      </c>
      <c r="I12" s="47">
        <f t="shared" si="0"/>
        <v>10400000</v>
      </c>
      <c r="J12" s="2">
        <f t="shared" si="0"/>
        <v>875000</v>
      </c>
      <c r="K12" s="48">
        <f t="shared" si="0"/>
        <v>11275000</v>
      </c>
      <c r="L12" s="47">
        <f t="shared" si="0"/>
        <v>5996000</v>
      </c>
      <c r="M12" s="2">
        <f t="shared" si="0"/>
        <v>475000</v>
      </c>
      <c r="N12" s="48">
        <f t="shared" si="0"/>
        <v>6471000</v>
      </c>
      <c r="O12" s="47">
        <f t="shared" si="0"/>
        <v>3285000</v>
      </c>
      <c r="P12" s="2">
        <f t="shared" si="0"/>
        <v>475000</v>
      </c>
      <c r="Q12" s="48">
        <f t="shared" si="0"/>
        <v>3760000</v>
      </c>
      <c r="R12" s="47">
        <f t="shared" si="0"/>
        <v>32000000</v>
      </c>
      <c r="S12" s="2">
        <f t="shared" si="0"/>
        <v>2900000</v>
      </c>
      <c r="T12" s="48">
        <f t="shared" si="0"/>
        <v>34900000</v>
      </c>
    </row>
    <row r="13" spans="2:22" ht="14.25" thickTop="1" thickBot="1" x14ac:dyDescent="0.25">
      <c r="B13" s="49" t="s">
        <v>207</v>
      </c>
      <c r="C13" s="50">
        <f>+C14+C18</f>
        <v>3150000</v>
      </c>
      <c r="D13" s="50">
        <f t="shared" ref="D13:T13" si="1">+D14+D18</f>
        <v>200000</v>
      </c>
      <c r="E13" s="50">
        <f t="shared" si="1"/>
        <v>3350000</v>
      </c>
      <c r="F13" s="50">
        <f t="shared" si="1"/>
        <v>6150000</v>
      </c>
      <c r="G13" s="50">
        <f t="shared" si="1"/>
        <v>400000</v>
      </c>
      <c r="H13" s="50">
        <f t="shared" si="1"/>
        <v>6550000</v>
      </c>
      <c r="I13" s="50">
        <f t="shared" si="1"/>
        <v>6450000</v>
      </c>
      <c r="J13" s="50">
        <f t="shared" si="1"/>
        <v>400000</v>
      </c>
      <c r="K13" s="50">
        <f t="shared" si="1"/>
        <v>6850000</v>
      </c>
      <c r="L13" s="50">
        <f t="shared" si="1"/>
        <v>2250000</v>
      </c>
      <c r="M13" s="50">
        <f t="shared" si="1"/>
        <v>0</v>
      </c>
      <c r="N13" s="50">
        <f t="shared" si="1"/>
        <v>2250000</v>
      </c>
      <c r="O13" s="50">
        <f t="shared" si="1"/>
        <v>0</v>
      </c>
      <c r="P13" s="50">
        <f t="shared" si="1"/>
        <v>0</v>
      </c>
      <c r="Q13" s="50">
        <f t="shared" si="1"/>
        <v>0</v>
      </c>
      <c r="R13" s="50">
        <f t="shared" si="1"/>
        <v>18000000</v>
      </c>
      <c r="S13" s="50">
        <f t="shared" si="1"/>
        <v>1000000</v>
      </c>
      <c r="T13" s="50">
        <f t="shared" si="1"/>
        <v>19000000</v>
      </c>
    </row>
    <row r="14" spans="2:22" x14ac:dyDescent="0.2">
      <c r="B14" s="228" t="s">
        <v>208</v>
      </c>
      <c r="C14" s="229">
        <f t="shared" ref="C14:R16" si="2">+C15</f>
        <v>2700000</v>
      </c>
      <c r="D14" s="230">
        <f t="shared" si="2"/>
        <v>200000</v>
      </c>
      <c r="E14" s="231">
        <f t="shared" si="2"/>
        <v>2900000</v>
      </c>
      <c r="F14" s="229">
        <f t="shared" si="2"/>
        <v>5250000</v>
      </c>
      <c r="G14" s="230">
        <f t="shared" si="2"/>
        <v>400000</v>
      </c>
      <c r="H14" s="231">
        <f t="shared" si="2"/>
        <v>5650000</v>
      </c>
      <c r="I14" s="229">
        <f t="shared" si="2"/>
        <v>5250000</v>
      </c>
      <c r="J14" s="230">
        <f t="shared" si="2"/>
        <v>400000</v>
      </c>
      <c r="K14" s="231">
        <f t="shared" si="2"/>
        <v>5650000</v>
      </c>
      <c r="L14" s="229">
        <f t="shared" si="2"/>
        <v>1800000</v>
      </c>
      <c r="M14" s="230">
        <f t="shared" si="2"/>
        <v>0</v>
      </c>
      <c r="N14" s="231">
        <f t="shared" si="2"/>
        <v>1800000</v>
      </c>
      <c r="O14" s="229">
        <f t="shared" si="2"/>
        <v>0</v>
      </c>
      <c r="P14" s="230">
        <f t="shared" si="2"/>
        <v>0</v>
      </c>
      <c r="Q14" s="231">
        <f t="shared" si="2"/>
        <v>0</v>
      </c>
      <c r="R14" s="229">
        <f>+C14+F14+I14+L14+O14</f>
        <v>15000000</v>
      </c>
      <c r="S14" s="230">
        <f>+D14+G14+J14+M14+P14</f>
        <v>1000000</v>
      </c>
      <c r="T14" s="231">
        <f>+R14+S14</f>
        <v>16000000</v>
      </c>
    </row>
    <row r="15" spans="2:22" ht="12.75" customHeight="1" x14ac:dyDescent="0.2">
      <c r="B15" s="53" t="s">
        <v>209</v>
      </c>
      <c r="C15" s="54">
        <f t="shared" si="2"/>
        <v>2700000</v>
      </c>
      <c r="D15" s="55">
        <f t="shared" si="2"/>
        <v>200000</v>
      </c>
      <c r="E15" s="56">
        <f t="shared" si="2"/>
        <v>2900000</v>
      </c>
      <c r="F15" s="54">
        <f t="shared" si="2"/>
        <v>5250000</v>
      </c>
      <c r="G15" s="55">
        <f t="shared" si="2"/>
        <v>400000</v>
      </c>
      <c r="H15" s="56">
        <f t="shared" si="2"/>
        <v>5650000</v>
      </c>
      <c r="I15" s="54">
        <f t="shared" si="2"/>
        <v>5250000</v>
      </c>
      <c r="J15" s="55">
        <f t="shared" si="2"/>
        <v>400000</v>
      </c>
      <c r="K15" s="56">
        <f t="shared" si="2"/>
        <v>5650000</v>
      </c>
      <c r="L15" s="54">
        <f t="shared" si="2"/>
        <v>1800000</v>
      </c>
      <c r="M15" s="55">
        <f t="shared" si="2"/>
        <v>0</v>
      </c>
      <c r="N15" s="56">
        <f t="shared" si="2"/>
        <v>1800000</v>
      </c>
      <c r="O15" s="54">
        <f t="shared" si="2"/>
        <v>0</v>
      </c>
      <c r="P15" s="55">
        <f t="shared" si="2"/>
        <v>0</v>
      </c>
      <c r="Q15" s="56">
        <f t="shared" si="2"/>
        <v>0</v>
      </c>
      <c r="R15" s="54">
        <f t="shared" si="2"/>
        <v>15000000</v>
      </c>
      <c r="S15" s="55">
        <f t="shared" ref="M15:T16" si="3">+S16</f>
        <v>1000000</v>
      </c>
      <c r="T15" s="56">
        <f t="shared" si="3"/>
        <v>16000000</v>
      </c>
    </row>
    <row r="16" spans="2:22" x14ac:dyDescent="0.2">
      <c r="B16" s="53" t="s">
        <v>210</v>
      </c>
      <c r="C16" s="234">
        <f t="shared" si="2"/>
        <v>2700000</v>
      </c>
      <c r="D16" s="235">
        <f t="shared" si="2"/>
        <v>200000</v>
      </c>
      <c r="E16" s="236">
        <f t="shared" si="2"/>
        <v>2900000</v>
      </c>
      <c r="F16" s="57">
        <f t="shared" si="2"/>
        <v>5250000</v>
      </c>
      <c r="G16" s="58">
        <f t="shared" si="2"/>
        <v>400000</v>
      </c>
      <c r="H16" s="59">
        <f t="shared" si="2"/>
        <v>5650000</v>
      </c>
      <c r="I16" s="57">
        <f t="shared" si="2"/>
        <v>5250000</v>
      </c>
      <c r="J16" s="58">
        <f t="shared" si="2"/>
        <v>400000</v>
      </c>
      <c r="K16" s="59">
        <f t="shared" si="2"/>
        <v>5650000</v>
      </c>
      <c r="L16" s="57">
        <f t="shared" si="2"/>
        <v>1800000</v>
      </c>
      <c r="M16" s="58">
        <f t="shared" si="3"/>
        <v>0</v>
      </c>
      <c r="N16" s="59">
        <f t="shared" si="3"/>
        <v>1800000</v>
      </c>
      <c r="O16" s="57">
        <f t="shared" si="3"/>
        <v>0</v>
      </c>
      <c r="P16" s="58">
        <f t="shared" si="3"/>
        <v>0</v>
      </c>
      <c r="Q16" s="59">
        <f t="shared" si="3"/>
        <v>0</v>
      </c>
      <c r="R16" s="57">
        <f t="shared" si="3"/>
        <v>15000000</v>
      </c>
      <c r="S16" s="58">
        <f t="shared" si="3"/>
        <v>1000000</v>
      </c>
      <c r="T16" s="59">
        <f t="shared" si="3"/>
        <v>16000000</v>
      </c>
    </row>
    <row r="17" spans="1:20" x14ac:dyDescent="0.2">
      <c r="B17" s="53" t="s">
        <v>211</v>
      </c>
      <c r="C17" s="241">
        <f>0.18*15000000</f>
        <v>2700000</v>
      </c>
      <c r="D17" s="242">
        <f>0.2*1000000</f>
        <v>200000</v>
      </c>
      <c r="E17" s="240">
        <f>+C17+D17</f>
        <v>2900000</v>
      </c>
      <c r="F17" s="60">
        <f>0.35*15000000</f>
        <v>5250000</v>
      </c>
      <c r="G17" s="15">
        <f>0.4*1000000</f>
        <v>400000</v>
      </c>
      <c r="H17" s="61">
        <f>+F17+G17</f>
        <v>5650000</v>
      </c>
      <c r="I17" s="60">
        <f>0.35*15000000</f>
        <v>5250000</v>
      </c>
      <c r="J17" s="15">
        <f>0.4*1000000</f>
        <v>400000</v>
      </c>
      <c r="K17" s="61">
        <f>+I17+J17</f>
        <v>5650000</v>
      </c>
      <c r="L17" s="60">
        <f>0.12*15000000</f>
        <v>1800000</v>
      </c>
      <c r="M17" s="15">
        <f>0</f>
        <v>0</v>
      </c>
      <c r="N17" s="61">
        <f>+L17+M17</f>
        <v>1800000</v>
      </c>
      <c r="O17" s="60">
        <f>0</f>
        <v>0</v>
      </c>
      <c r="P17" s="15">
        <f>0</f>
        <v>0</v>
      </c>
      <c r="Q17" s="61">
        <f>+O17+P17</f>
        <v>0</v>
      </c>
      <c r="R17" s="60">
        <f>+C17+F17+I17+L17+O17</f>
        <v>15000000</v>
      </c>
      <c r="S17" s="15">
        <f>+D17+G17+J17+M17+P17</f>
        <v>1000000</v>
      </c>
      <c r="T17" s="61">
        <f>+R17+S17</f>
        <v>16000000</v>
      </c>
    </row>
    <row r="18" spans="1:20" s="233" customFormat="1" x14ac:dyDescent="0.2">
      <c r="B18" s="232" t="s">
        <v>212</v>
      </c>
      <c r="C18" s="237">
        <f>C19</f>
        <v>450000</v>
      </c>
      <c r="D18" s="237">
        <f t="shared" ref="D18:E18" si="4">D19</f>
        <v>0</v>
      </c>
      <c r="E18" s="237">
        <f t="shared" si="4"/>
        <v>450000</v>
      </c>
      <c r="F18" s="237">
        <f>F19</f>
        <v>900000</v>
      </c>
      <c r="G18" s="237">
        <f t="shared" ref="G18" si="5">G19</f>
        <v>0</v>
      </c>
      <c r="H18" s="237">
        <f t="shared" ref="H18" si="6">H19</f>
        <v>900000</v>
      </c>
      <c r="I18" s="237">
        <f>I19</f>
        <v>1200000</v>
      </c>
      <c r="J18" s="237">
        <f t="shared" ref="J18" si="7">J19</f>
        <v>0</v>
      </c>
      <c r="K18" s="237">
        <f t="shared" ref="K18" si="8">K19</f>
        <v>1200000</v>
      </c>
      <c r="L18" s="237">
        <f>L19</f>
        <v>450000</v>
      </c>
      <c r="M18" s="237">
        <f t="shared" ref="M18" si="9">M19</f>
        <v>0</v>
      </c>
      <c r="N18" s="237">
        <f t="shared" ref="N18" si="10">N19</f>
        <v>450000</v>
      </c>
      <c r="O18" s="237">
        <f>O19</f>
        <v>0</v>
      </c>
      <c r="P18" s="237">
        <f t="shared" ref="P18" si="11">P19</f>
        <v>0</v>
      </c>
      <c r="Q18" s="237">
        <f t="shared" ref="Q18" si="12">Q19</f>
        <v>0</v>
      </c>
      <c r="R18" s="237">
        <f>R19</f>
        <v>3000000</v>
      </c>
      <c r="S18" s="237">
        <f t="shared" ref="S18" si="13">S19</f>
        <v>0</v>
      </c>
      <c r="T18" s="237">
        <f t="shared" ref="T18" si="14">T19</f>
        <v>3000000</v>
      </c>
    </row>
    <row r="19" spans="1:20" ht="13.5" thickBot="1" x14ac:dyDescent="0.25">
      <c r="B19" s="53" t="s">
        <v>213</v>
      </c>
      <c r="C19" s="238">
        <f>0.15*3000000</f>
        <v>450000</v>
      </c>
      <c r="D19" s="239">
        <v>0</v>
      </c>
      <c r="E19" s="240">
        <f t="shared" ref="E19" si="15">+C19+D19</f>
        <v>450000</v>
      </c>
      <c r="F19" s="75">
        <f>0.3*3000000</f>
        <v>900000</v>
      </c>
      <c r="G19" s="76">
        <v>0</v>
      </c>
      <c r="H19" s="61">
        <f>+F19+G19</f>
        <v>900000</v>
      </c>
      <c r="I19" s="75">
        <f>0.4*3000000</f>
        <v>1200000</v>
      </c>
      <c r="J19" s="76">
        <v>0</v>
      </c>
      <c r="K19" s="61">
        <f>+I19+J19</f>
        <v>1200000</v>
      </c>
      <c r="L19" s="75">
        <f>0.15*3000000</f>
        <v>450000</v>
      </c>
      <c r="M19" s="76">
        <v>0</v>
      </c>
      <c r="N19" s="61">
        <f>+L19+M19</f>
        <v>450000</v>
      </c>
      <c r="O19" s="75">
        <v>0</v>
      </c>
      <c r="P19" s="76">
        <v>0</v>
      </c>
      <c r="Q19" s="61">
        <f>+O19+P19</f>
        <v>0</v>
      </c>
      <c r="R19" s="60">
        <f>+C19+F19+I19+L19+O19</f>
        <v>3000000</v>
      </c>
      <c r="S19" s="15">
        <f>+D19+G19+J19+M19+P19</f>
        <v>0</v>
      </c>
      <c r="T19" s="61">
        <f>+R19+S19</f>
        <v>3000000</v>
      </c>
    </row>
    <row r="20" spans="1:20" ht="14.25" thickTop="1" thickBot="1" x14ac:dyDescent="0.25">
      <c r="B20" s="49" t="s">
        <v>12</v>
      </c>
      <c r="C20" s="50">
        <f t="shared" ref="C20:T20" si="16">+C21+C28+C69</f>
        <v>737000</v>
      </c>
      <c r="D20" s="51">
        <f t="shared" si="16"/>
        <v>0</v>
      </c>
      <c r="E20" s="52">
        <f t="shared" si="16"/>
        <v>737000</v>
      </c>
      <c r="F20" s="50">
        <f t="shared" si="16"/>
        <v>2282000</v>
      </c>
      <c r="G20" s="51">
        <f t="shared" si="16"/>
        <v>475000</v>
      </c>
      <c r="H20" s="52">
        <f t="shared" si="16"/>
        <v>2757000</v>
      </c>
      <c r="I20" s="50">
        <f t="shared" si="16"/>
        <v>3950000</v>
      </c>
      <c r="J20" s="51">
        <f t="shared" si="16"/>
        <v>475000</v>
      </c>
      <c r="K20" s="52">
        <f t="shared" si="16"/>
        <v>4425000</v>
      </c>
      <c r="L20" s="50">
        <f t="shared" si="16"/>
        <v>3746000</v>
      </c>
      <c r="M20" s="51">
        <f t="shared" si="16"/>
        <v>475000</v>
      </c>
      <c r="N20" s="52">
        <f t="shared" si="16"/>
        <v>4221000</v>
      </c>
      <c r="O20" s="50">
        <f t="shared" si="16"/>
        <v>3285000</v>
      </c>
      <c r="P20" s="51">
        <f t="shared" si="16"/>
        <v>475000</v>
      </c>
      <c r="Q20" s="52">
        <f t="shared" si="16"/>
        <v>3760000</v>
      </c>
      <c r="R20" s="50">
        <f t="shared" si="16"/>
        <v>14000000</v>
      </c>
      <c r="S20" s="51">
        <f t="shared" si="16"/>
        <v>1900000</v>
      </c>
      <c r="T20" s="52">
        <f t="shared" si="16"/>
        <v>15900000</v>
      </c>
    </row>
    <row r="21" spans="1:20" x14ac:dyDescent="0.2">
      <c r="A21" s="45"/>
      <c r="B21" s="62" t="s">
        <v>34</v>
      </c>
      <c r="C21" s="63">
        <f t="shared" ref="C21:T21" si="17">+C22</f>
        <v>100000</v>
      </c>
      <c r="D21" s="64">
        <f t="shared" si="17"/>
        <v>0</v>
      </c>
      <c r="E21" s="65">
        <f t="shared" si="17"/>
        <v>100000</v>
      </c>
      <c r="F21" s="63">
        <f t="shared" si="17"/>
        <v>1050000</v>
      </c>
      <c r="G21" s="64">
        <f t="shared" si="17"/>
        <v>350000</v>
      </c>
      <c r="H21" s="65">
        <f t="shared" si="17"/>
        <v>1400000</v>
      </c>
      <c r="I21" s="63">
        <f t="shared" si="17"/>
        <v>950000</v>
      </c>
      <c r="J21" s="64">
        <f t="shared" si="17"/>
        <v>350000</v>
      </c>
      <c r="K21" s="65">
        <f t="shared" si="17"/>
        <v>1300000</v>
      </c>
      <c r="L21" s="63">
        <f t="shared" si="17"/>
        <v>950000</v>
      </c>
      <c r="M21" s="64">
        <f t="shared" si="17"/>
        <v>350000</v>
      </c>
      <c r="N21" s="65">
        <f t="shared" si="17"/>
        <v>1300000</v>
      </c>
      <c r="O21" s="63">
        <f t="shared" si="17"/>
        <v>950000</v>
      </c>
      <c r="P21" s="64">
        <f t="shared" si="17"/>
        <v>350000</v>
      </c>
      <c r="Q21" s="65">
        <f t="shared" si="17"/>
        <v>1300000</v>
      </c>
      <c r="R21" s="63">
        <f t="shared" si="17"/>
        <v>4000000</v>
      </c>
      <c r="S21" s="64">
        <f t="shared" si="17"/>
        <v>1400000</v>
      </c>
      <c r="T21" s="65">
        <f t="shared" si="17"/>
        <v>5400000</v>
      </c>
    </row>
    <row r="22" spans="1:20" x14ac:dyDescent="0.2">
      <c r="B22" s="53" t="s">
        <v>35</v>
      </c>
      <c r="C22" s="60">
        <f t="shared" ref="C22:T22" si="18">+C23+C25</f>
        <v>100000</v>
      </c>
      <c r="D22" s="15">
        <f t="shared" si="18"/>
        <v>0</v>
      </c>
      <c r="E22" s="61">
        <f t="shared" si="18"/>
        <v>100000</v>
      </c>
      <c r="F22" s="60">
        <f t="shared" si="18"/>
        <v>1050000</v>
      </c>
      <c r="G22" s="15">
        <f t="shared" si="18"/>
        <v>350000</v>
      </c>
      <c r="H22" s="61">
        <f t="shared" si="18"/>
        <v>1400000</v>
      </c>
      <c r="I22" s="60">
        <f t="shared" si="18"/>
        <v>950000</v>
      </c>
      <c r="J22" s="15">
        <f t="shared" si="18"/>
        <v>350000</v>
      </c>
      <c r="K22" s="61">
        <f t="shared" si="18"/>
        <v>1300000</v>
      </c>
      <c r="L22" s="60">
        <f t="shared" si="18"/>
        <v>950000</v>
      </c>
      <c r="M22" s="15">
        <f t="shared" si="18"/>
        <v>350000</v>
      </c>
      <c r="N22" s="61">
        <f t="shared" si="18"/>
        <v>1300000</v>
      </c>
      <c r="O22" s="60">
        <f t="shared" si="18"/>
        <v>950000</v>
      </c>
      <c r="P22" s="15">
        <f t="shared" si="18"/>
        <v>350000</v>
      </c>
      <c r="Q22" s="61">
        <f t="shared" si="18"/>
        <v>1300000</v>
      </c>
      <c r="R22" s="60">
        <f t="shared" si="18"/>
        <v>4000000</v>
      </c>
      <c r="S22" s="15">
        <f t="shared" si="18"/>
        <v>1400000</v>
      </c>
      <c r="T22" s="61">
        <f t="shared" si="18"/>
        <v>5400000</v>
      </c>
    </row>
    <row r="23" spans="1:20" x14ac:dyDescent="0.2">
      <c r="B23" s="53" t="s">
        <v>36</v>
      </c>
      <c r="C23" s="60">
        <f t="shared" ref="C23:T23" si="19">SUM(C24)</f>
        <v>100000</v>
      </c>
      <c r="D23" s="15">
        <f t="shared" si="19"/>
        <v>0</v>
      </c>
      <c r="E23" s="61">
        <f t="shared" si="19"/>
        <v>100000</v>
      </c>
      <c r="F23" s="60">
        <f t="shared" si="19"/>
        <v>100000</v>
      </c>
      <c r="G23" s="15">
        <f t="shared" si="19"/>
        <v>0</v>
      </c>
      <c r="H23" s="61">
        <f t="shared" si="19"/>
        <v>100000</v>
      </c>
      <c r="I23" s="60">
        <f t="shared" si="19"/>
        <v>0</v>
      </c>
      <c r="J23" s="15">
        <f t="shared" si="19"/>
        <v>0</v>
      </c>
      <c r="K23" s="61">
        <f t="shared" si="19"/>
        <v>0</v>
      </c>
      <c r="L23" s="60">
        <f t="shared" si="19"/>
        <v>0</v>
      </c>
      <c r="M23" s="15">
        <f t="shared" si="19"/>
        <v>0</v>
      </c>
      <c r="N23" s="61">
        <f t="shared" si="19"/>
        <v>0</v>
      </c>
      <c r="O23" s="60">
        <f t="shared" si="19"/>
        <v>0</v>
      </c>
      <c r="P23" s="15">
        <f t="shared" si="19"/>
        <v>0</v>
      </c>
      <c r="Q23" s="61">
        <f t="shared" si="19"/>
        <v>0</v>
      </c>
      <c r="R23" s="60">
        <f t="shared" si="19"/>
        <v>200000</v>
      </c>
      <c r="S23" s="15">
        <f t="shared" si="19"/>
        <v>0</v>
      </c>
      <c r="T23" s="61">
        <f t="shared" si="19"/>
        <v>200000</v>
      </c>
    </row>
    <row r="24" spans="1:20" x14ac:dyDescent="0.2">
      <c r="B24" s="53" t="s">
        <v>37</v>
      </c>
      <c r="C24" s="60">
        <v>100000</v>
      </c>
      <c r="D24" s="15">
        <f>0</f>
        <v>0</v>
      </c>
      <c r="E24" s="61">
        <f>+C24+D24</f>
        <v>100000</v>
      </c>
      <c r="F24" s="60">
        <f>100000</f>
        <v>100000</v>
      </c>
      <c r="G24" s="15">
        <f>0</f>
        <v>0</v>
      </c>
      <c r="H24" s="61">
        <f>+F24+G24</f>
        <v>100000</v>
      </c>
      <c r="I24" s="60"/>
      <c r="J24" s="15"/>
      <c r="K24" s="61">
        <f>+I24+J24</f>
        <v>0</v>
      </c>
      <c r="L24" s="60"/>
      <c r="M24" s="15"/>
      <c r="N24" s="61">
        <f>+L24+M24</f>
        <v>0</v>
      </c>
      <c r="O24" s="60"/>
      <c r="P24" s="15"/>
      <c r="Q24" s="61">
        <f>+O24+P24</f>
        <v>0</v>
      </c>
      <c r="R24" s="60">
        <f>+C24+F24+I24+L24+O24</f>
        <v>200000</v>
      </c>
      <c r="S24" s="15">
        <f>+D24+G24+J24+M24+P24</f>
        <v>0</v>
      </c>
      <c r="T24" s="61">
        <f>+R24+S24</f>
        <v>200000</v>
      </c>
    </row>
    <row r="25" spans="1:20" x14ac:dyDescent="0.2">
      <c r="B25" s="53" t="s">
        <v>38</v>
      </c>
      <c r="C25" s="66">
        <f t="shared" ref="C25:T25" si="20">SUM(C26:C27)</f>
        <v>0</v>
      </c>
      <c r="D25" s="8">
        <f t="shared" si="20"/>
        <v>0</v>
      </c>
      <c r="E25" s="67">
        <f t="shared" si="20"/>
        <v>0</v>
      </c>
      <c r="F25" s="66">
        <f t="shared" si="20"/>
        <v>950000</v>
      </c>
      <c r="G25" s="8">
        <f t="shared" si="20"/>
        <v>350000</v>
      </c>
      <c r="H25" s="67">
        <f t="shared" si="20"/>
        <v>1300000</v>
      </c>
      <c r="I25" s="66">
        <f t="shared" si="20"/>
        <v>950000</v>
      </c>
      <c r="J25" s="8">
        <f t="shared" si="20"/>
        <v>350000</v>
      </c>
      <c r="K25" s="67">
        <f t="shared" si="20"/>
        <v>1300000</v>
      </c>
      <c r="L25" s="66">
        <f t="shared" si="20"/>
        <v>950000</v>
      </c>
      <c r="M25" s="8">
        <f t="shared" si="20"/>
        <v>350000</v>
      </c>
      <c r="N25" s="67">
        <f t="shared" si="20"/>
        <v>1300000</v>
      </c>
      <c r="O25" s="66">
        <f t="shared" si="20"/>
        <v>950000</v>
      </c>
      <c r="P25" s="8">
        <f t="shared" si="20"/>
        <v>350000</v>
      </c>
      <c r="Q25" s="67">
        <f t="shared" si="20"/>
        <v>1300000</v>
      </c>
      <c r="R25" s="66">
        <f t="shared" si="20"/>
        <v>3800000</v>
      </c>
      <c r="S25" s="8">
        <f t="shared" si="20"/>
        <v>1400000</v>
      </c>
      <c r="T25" s="67">
        <f t="shared" si="20"/>
        <v>5200000</v>
      </c>
    </row>
    <row r="26" spans="1:20" x14ac:dyDescent="0.2">
      <c r="B26" s="53" t="s">
        <v>39</v>
      </c>
      <c r="C26" s="60">
        <f>0</f>
        <v>0</v>
      </c>
      <c r="D26" s="15">
        <f>0</f>
        <v>0</v>
      </c>
      <c r="E26" s="61">
        <f>+C26+D26</f>
        <v>0</v>
      </c>
      <c r="F26" s="60">
        <f>950000</f>
        <v>950000</v>
      </c>
      <c r="G26" s="15">
        <f>0</f>
        <v>0</v>
      </c>
      <c r="H26" s="61">
        <f>+F26+G26</f>
        <v>950000</v>
      </c>
      <c r="I26" s="60">
        <f>950000</f>
        <v>950000</v>
      </c>
      <c r="J26" s="15">
        <f>0</f>
        <v>0</v>
      </c>
      <c r="K26" s="61">
        <f>+I26+J26</f>
        <v>950000</v>
      </c>
      <c r="L26" s="60">
        <f>950000</f>
        <v>950000</v>
      </c>
      <c r="M26" s="15">
        <f>0</f>
        <v>0</v>
      </c>
      <c r="N26" s="61">
        <f>+L26+M26</f>
        <v>950000</v>
      </c>
      <c r="O26" s="60">
        <f>950000</f>
        <v>950000</v>
      </c>
      <c r="P26" s="15">
        <f>0</f>
        <v>0</v>
      </c>
      <c r="Q26" s="61">
        <f>+O26+P26</f>
        <v>950000</v>
      </c>
      <c r="R26" s="60">
        <f>+C26+F26+I26+L26+O26</f>
        <v>3800000</v>
      </c>
      <c r="S26" s="15">
        <f>+D26+G26+J26+M26+P26</f>
        <v>0</v>
      </c>
      <c r="T26" s="61">
        <f>+R26+S26</f>
        <v>3800000</v>
      </c>
    </row>
    <row r="27" spans="1:20" x14ac:dyDescent="0.2">
      <c r="B27" s="53" t="s">
        <v>40</v>
      </c>
      <c r="C27" s="66">
        <f>0</f>
        <v>0</v>
      </c>
      <c r="D27" s="8">
        <f>0</f>
        <v>0</v>
      </c>
      <c r="E27" s="61">
        <f>+C27+D27</f>
        <v>0</v>
      </c>
      <c r="F27" s="66">
        <f>0</f>
        <v>0</v>
      </c>
      <c r="G27" s="8">
        <f>350000</f>
        <v>350000</v>
      </c>
      <c r="H27" s="61">
        <f>+F27+G27</f>
        <v>350000</v>
      </c>
      <c r="I27" s="66">
        <f>0</f>
        <v>0</v>
      </c>
      <c r="J27" s="8">
        <f>350000</f>
        <v>350000</v>
      </c>
      <c r="K27" s="61">
        <f>+I27+J27</f>
        <v>350000</v>
      </c>
      <c r="L27" s="66">
        <f>0</f>
        <v>0</v>
      </c>
      <c r="M27" s="8">
        <f>350000</f>
        <v>350000</v>
      </c>
      <c r="N27" s="61">
        <f>+L27+M27</f>
        <v>350000</v>
      </c>
      <c r="O27" s="66">
        <f>0</f>
        <v>0</v>
      </c>
      <c r="P27" s="8">
        <f>350000</f>
        <v>350000</v>
      </c>
      <c r="Q27" s="61">
        <f>+O27+P27</f>
        <v>350000</v>
      </c>
      <c r="R27" s="60">
        <f>+C27+F27+I27+L27+O27</f>
        <v>0</v>
      </c>
      <c r="S27" s="15">
        <f>+D27+G27+J27+M27+P27</f>
        <v>1400000</v>
      </c>
      <c r="T27" s="61">
        <f>+R27+S27</f>
        <v>1400000</v>
      </c>
    </row>
    <row r="28" spans="1:20" x14ac:dyDescent="0.2">
      <c r="B28" s="68" t="s">
        <v>41</v>
      </c>
      <c r="C28" s="69">
        <f>+C29+C58+C66</f>
        <v>637000</v>
      </c>
      <c r="D28" s="70">
        <f t="shared" ref="D28:T28" si="21">+D29+D58+D66</f>
        <v>0</v>
      </c>
      <c r="E28" s="71">
        <f t="shared" si="21"/>
        <v>637000</v>
      </c>
      <c r="F28" s="69">
        <f t="shared" si="21"/>
        <v>1232000</v>
      </c>
      <c r="G28" s="70">
        <f t="shared" si="21"/>
        <v>125000</v>
      </c>
      <c r="H28" s="71">
        <f t="shared" si="21"/>
        <v>1357000</v>
      </c>
      <c r="I28" s="69">
        <f t="shared" si="21"/>
        <v>1200000</v>
      </c>
      <c r="J28" s="70">
        <f t="shared" si="21"/>
        <v>125000</v>
      </c>
      <c r="K28" s="71">
        <f t="shared" si="21"/>
        <v>1325000</v>
      </c>
      <c r="L28" s="69">
        <f t="shared" si="21"/>
        <v>896000</v>
      </c>
      <c r="M28" s="70">
        <f t="shared" si="21"/>
        <v>125000</v>
      </c>
      <c r="N28" s="71">
        <f t="shared" si="21"/>
        <v>1021000</v>
      </c>
      <c r="O28" s="69">
        <f t="shared" si="21"/>
        <v>535000</v>
      </c>
      <c r="P28" s="70">
        <f t="shared" si="21"/>
        <v>125000</v>
      </c>
      <c r="Q28" s="71">
        <f t="shared" si="21"/>
        <v>660000</v>
      </c>
      <c r="R28" s="69">
        <f t="shared" si="21"/>
        <v>4500000</v>
      </c>
      <c r="S28" s="70">
        <f t="shared" si="21"/>
        <v>500000</v>
      </c>
      <c r="T28" s="71">
        <f t="shared" si="21"/>
        <v>5000000</v>
      </c>
    </row>
    <row r="29" spans="1:20" x14ac:dyDescent="0.2">
      <c r="A29" s="45"/>
      <c r="B29" s="53" t="s">
        <v>42</v>
      </c>
      <c r="C29" s="60">
        <f>+C30+C39+C46+C53</f>
        <v>357000</v>
      </c>
      <c r="D29" s="15">
        <f t="shared" ref="D29:T29" si="22">+D30+D39+D46+D53</f>
        <v>0</v>
      </c>
      <c r="E29" s="61">
        <f t="shared" si="22"/>
        <v>357000</v>
      </c>
      <c r="F29" s="60">
        <f t="shared" si="22"/>
        <v>772000</v>
      </c>
      <c r="G29" s="15">
        <f t="shared" si="22"/>
        <v>0</v>
      </c>
      <c r="H29" s="61">
        <f t="shared" si="22"/>
        <v>772000</v>
      </c>
      <c r="I29" s="60">
        <f t="shared" si="22"/>
        <v>340000</v>
      </c>
      <c r="J29" s="15">
        <f t="shared" si="22"/>
        <v>0</v>
      </c>
      <c r="K29" s="61">
        <f t="shared" si="22"/>
        <v>340000</v>
      </c>
      <c r="L29" s="60">
        <f t="shared" si="22"/>
        <v>96000</v>
      </c>
      <c r="M29" s="15">
        <f t="shared" si="22"/>
        <v>0</v>
      </c>
      <c r="N29" s="61">
        <f t="shared" si="22"/>
        <v>96000</v>
      </c>
      <c r="O29" s="60">
        <f t="shared" si="22"/>
        <v>65000</v>
      </c>
      <c r="P29" s="15">
        <f t="shared" si="22"/>
        <v>0</v>
      </c>
      <c r="Q29" s="61">
        <f t="shared" si="22"/>
        <v>65000</v>
      </c>
      <c r="R29" s="60">
        <f t="shared" si="22"/>
        <v>1630000</v>
      </c>
      <c r="S29" s="15">
        <f t="shared" si="22"/>
        <v>0</v>
      </c>
      <c r="T29" s="61">
        <f t="shared" si="22"/>
        <v>1630000</v>
      </c>
    </row>
    <row r="30" spans="1:20" x14ac:dyDescent="0.2">
      <c r="B30" s="53" t="s">
        <v>43</v>
      </c>
      <c r="C30" s="54">
        <f>SUM(C31:C38)</f>
        <v>337000</v>
      </c>
      <c r="D30" s="55">
        <f t="shared" ref="D30:T30" si="23">SUM(D31:D38)</f>
        <v>0</v>
      </c>
      <c r="E30" s="56">
        <f t="shared" si="23"/>
        <v>337000</v>
      </c>
      <c r="F30" s="54">
        <f t="shared" si="23"/>
        <v>398000</v>
      </c>
      <c r="G30" s="55">
        <f t="shared" si="23"/>
        <v>0</v>
      </c>
      <c r="H30" s="56">
        <f t="shared" si="23"/>
        <v>398000</v>
      </c>
      <c r="I30" s="54">
        <f t="shared" si="23"/>
        <v>163000</v>
      </c>
      <c r="J30" s="55">
        <f t="shared" si="23"/>
        <v>0</v>
      </c>
      <c r="K30" s="56">
        <f t="shared" si="23"/>
        <v>163000</v>
      </c>
      <c r="L30" s="54">
        <f t="shared" si="23"/>
        <v>27000</v>
      </c>
      <c r="M30" s="55">
        <f t="shared" si="23"/>
        <v>0</v>
      </c>
      <c r="N30" s="56">
        <f t="shared" si="23"/>
        <v>27000</v>
      </c>
      <c r="O30" s="54">
        <f t="shared" si="23"/>
        <v>17000</v>
      </c>
      <c r="P30" s="55">
        <f t="shared" si="23"/>
        <v>0</v>
      </c>
      <c r="Q30" s="56">
        <f t="shared" si="23"/>
        <v>17000</v>
      </c>
      <c r="R30" s="72">
        <f t="shared" si="23"/>
        <v>942000</v>
      </c>
      <c r="S30" s="73">
        <f t="shared" si="23"/>
        <v>0</v>
      </c>
      <c r="T30" s="74">
        <f t="shared" si="23"/>
        <v>942000</v>
      </c>
    </row>
    <row r="31" spans="1:20" x14ac:dyDescent="0.2">
      <c r="B31" s="53" t="s">
        <v>44</v>
      </c>
      <c r="C31" s="60">
        <f>70000</f>
        <v>70000</v>
      </c>
      <c r="D31" s="15">
        <f>0</f>
        <v>0</v>
      </c>
      <c r="E31" s="61">
        <f t="shared" ref="E31:E38" si="24">+C31+D31</f>
        <v>70000</v>
      </c>
      <c r="F31" s="60">
        <f>0</f>
        <v>0</v>
      </c>
      <c r="G31" s="15">
        <f>0</f>
        <v>0</v>
      </c>
      <c r="H31" s="61">
        <f t="shared" ref="H31:H38" si="25">+F31+G31</f>
        <v>0</v>
      </c>
      <c r="I31" s="60">
        <f>0</f>
        <v>0</v>
      </c>
      <c r="J31" s="15">
        <f>0</f>
        <v>0</v>
      </c>
      <c r="K31" s="61">
        <f t="shared" ref="K31:K38" si="26">+I31+J31</f>
        <v>0</v>
      </c>
      <c r="L31" s="60">
        <f>0</f>
        <v>0</v>
      </c>
      <c r="M31" s="15">
        <f>0</f>
        <v>0</v>
      </c>
      <c r="N31" s="61">
        <f t="shared" ref="N31:N38" si="27">+L31+M31</f>
        <v>0</v>
      </c>
      <c r="O31" s="60">
        <f>0</f>
        <v>0</v>
      </c>
      <c r="P31" s="15">
        <f>0</f>
        <v>0</v>
      </c>
      <c r="Q31" s="61">
        <f t="shared" ref="Q31:Q38" si="28">+O31+P31</f>
        <v>0</v>
      </c>
      <c r="R31" s="60">
        <f t="shared" ref="R31:S38" si="29">+C31+F31+I31+L31+O31</f>
        <v>70000</v>
      </c>
      <c r="S31" s="15">
        <f t="shared" si="29"/>
        <v>0</v>
      </c>
      <c r="T31" s="61">
        <f t="shared" ref="T31:T38" si="30">+R31+S31</f>
        <v>70000</v>
      </c>
    </row>
    <row r="32" spans="1:20" x14ac:dyDescent="0.2">
      <c r="B32" s="53" t="s">
        <v>45</v>
      </c>
      <c r="C32" s="60">
        <f>70000</f>
        <v>70000</v>
      </c>
      <c r="D32" s="15">
        <f>0</f>
        <v>0</v>
      </c>
      <c r="E32" s="61">
        <f t="shared" si="24"/>
        <v>70000</v>
      </c>
      <c r="F32" s="60">
        <f>0</f>
        <v>0</v>
      </c>
      <c r="G32" s="15">
        <f>0</f>
        <v>0</v>
      </c>
      <c r="H32" s="61">
        <f t="shared" si="25"/>
        <v>0</v>
      </c>
      <c r="I32" s="60">
        <f>0</f>
        <v>0</v>
      </c>
      <c r="J32" s="15">
        <f>0</f>
        <v>0</v>
      </c>
      <c r="K32" s="61">
        <f t="shared" si="26"/>
        <v>0</v>
      </c>
      <c r="L32" s="60">
        <f>0</f>
        <v>0</v>
      </c>
      <c r="M32" s="15">
        <f>0</f>
        <v>0</v>
      </c>
      <c r="N32" s="61">
        <f t="shared" si="27"/>
        <v>0</v>
      </c>
      <c r="O32" s="60">
        <f>0</f>
        <v>0</v>
      </c>
      <c r="P32" s="15">
        <f>0</f>
        <v>0</v>
      </c>
      <c r="Q32" s="61">
        <f t="shared" si="28"/>
        <v>0</v>
      </c>
      <c r="R32" s="60">
        <f t="shared" si="29"/>
        <v>70000</v>
      </c>
      <c r="S32" s="15">
        <f t="shared" si="29"/>
        <v>0</v>
      </c>
      <c r="T32" s="61">
        <f t="shared" si="30"/>
        <v>70000</v>
      </c>
    </row>
    <row r="33" spans="2:20" x14ac:dyDescent="0.2">
      <c r="B33" s="53" t="s">
        <v>46</v>
      </c>
      <c r="C33" s="60">
        <f>61000</f>
        <v>61000</v>
      </c>
      <c r="D33" s="15">
        <f>0</f>
        <v>0</v>
      </c>
      <c r="E33" s="61">
        <f t="shared" si="24"/>
        <v>61000</v>
      </c>
      <c r="F33" s="60">
        <f>0</f>
        <v>0</v>
      </c>
      <c r="G33" s="15">
        <f>0</f>
        <v>0</v>
      </c>
      <c r="H33" s="61">
        <f t="shared" si="25"/>
        <v>0</v>
      </c>
      <c r="I33" s="60">
        <f>0</f>
        <v>0</v>
      </c>
      <c r="J33" s="15">
        <f>0</f>
        <v>0</v>
      </c>
      <c r="K33" s="61">
        <f t="shared" si="26"/>
        <v>0</v>
      </c>
      <c r="L33" s="60">
        <f>0</f>
        <v>0</v>
      </c>
      <c r="M33" s="15">
        <f>0</f>
        <v>0</v>
      </c>
      <c r="N33" s="61">
        <f t="shared" si="27"/>
        <v>0</v>
      </c>
      <c r="O33" s="60">
        <f>0</f>
        <v>0</v>
      </c>
      <c r="P33" s="15">
        <f>0</f>
        <v>0</v>
      </c>
      <c r="Q33" s="61">
        <f t="shared" si="28"/>
        <v>0</v>
      </c>
      <c r="R33" s="60">
        <f t="shared" si="29"/>
        <v>61000</v>
      </c>
      <c r="S33" s="15">
        <f t="shared" si="29"/>
        <v>0</v>
      </c>
      <c r="T33" s="61">
        <f t="shared" si="30"/>
        <v>61000</v>
      </c>
    </row>
    <row r="34" spans="2:20" x14ac:dyDescent="0.2">
      <c r="B34" s="53" t="s">
        <v>47</v>
      </c>
      <c r="C34" s="60">
        <f>0</f>
        <v>0</v>
      </c>
      <c r="D34" s="15">
        <f>0</f>
        <v>0</v>
      </c>
      <c r="E34" s="61">
        <f t="shared" si="24"/>
        <v>0</v>
      </c>
      <c r="F34" s="60">
        <f>70000</f>
        <v>70000</v>
      </c>
      <c r="G34" s="15">
        <f>0</f>
        <v>0</v>
      </c>
      <c r="H34" s="61">
        <f t="shared" si="25"/>
        <v>70000</v>
      </c>
      <c r="I34" s="60">
        <f>0</f>
        <v>0</v>
      </c>
      <c r="J34" s="15">
        <f>0</f>
        <v>0</v>
      </c>
      <c r="K34" s="61">
        <f t="shared" si="26"/>
        <v>0</v>
      </c>
      <c r="L34" s="60">
        <f>0</f>
        <v>0</v>
      </c>
      <c r="M34" s="15">
        <f>0</f>
        <v>0</v>
      </c>
      <c r="N34" s="61">
        <f t="shared" si="27"/>
        <v>0</v>
      </c>
      <c r="O34" s="60">
        <f>0</f>
        <v>0</v>
      </c>
      <c r="P34" s="15">
        <f>0</f>
        <v>0</v>
      </c>
      <c r="Q34" s="61">
        <f t="shared" si="28"/>
        <v>0</v>
      </c>
      <c r="R34" s="60">
        <f t="shared" si="29"/>
        <v>70000</v>
      </c>
      <c r="S34" s="15">
        <f t="shared" si="29"/>
        <v>0</v>
      </c>
      <c r="T34" s="61">
        <f t="shared" si="30"/>
        <v>70000</v>
      </c>
    </row>
    <row r="35" spans="2:20" x14ac:dyDescent="0.2">
      <c r="B35" s="53" t="s">
        <v>48</v>
      </c>
      <c r="C35" s="60">
        <f>12000</f>
        <v>12000</v>
      </c>
      <c r="D35" s="15">
        <f>0</f>
        <v>0</v>
      </c>
      <c r="E35" s="61">
        <f t="shared" si="24"/>
        <v>12000</v>
      </c>
      <c r="F35" s="60">
        <f>12000</f>
        <v>12000</v>
      </c>
      <c r="G35" s="15">
        <f>0</f>
        <v>0</v>
      </c>
      <c r="H35" s="61">
        <f t="shared" si="25"/>
        <v>12000</v>
      </c>
      <c r="I35" s="60">
        <f>2*12000</f>
        <v>24000</v>
      </c>
      <c r="J35" s="15">
        <f>0</f>
        <v>0</v>
      </c>
      <c r="K35" s="61">
        <f t="shared" si="26"/>
        <v>24000</v>
      </c>
      <c r="L35" s="60">
        <f>12000</f>
        <v>12000</v>
      </c>
      <c r="M35" s="15">
        <f>0</f>
        <v>0</v>
      </c>
      <c r="N35" s="61">
        <f t="shared" si="27"/>
        <v>12000</v>
      </c>
      <c r="O35" s="60">
        <f>12000</f>
        <v>12000</v>
      </c>
      <c r="P35" s="15">
        <f>0</f>
        <v>0</v>
      </c>
      <c r="Q35" s="61">
        <f t="shared" si="28"/>
        <v>12000</v>
      </c>
      <c r="R35" s="60">
        <f t="shared" si="29"/>
        <v>72000</v>
      </c>
      <c r="S35" s="15">
        <f t="shared" si="29"/>
        <v>0</v>
      </c>
      <c r="T35" s="61">
        <f t="shared" si="30"/>
        <v>72000</v>
      </c>
    </row>
    <row r="36" spans="2:20" x14ac:dyDescent="0.2">
      <c r="B36" s="53" t="s">
        <v>49</v>
      </c>
      <c r="C36" s="60">
        <f>0</f>
        <v>0</v>
      </c>
      <c r="D36" s="15">
        <f>0</f>
        <v>0</v>
      </c>
      <c r="E36" s="61">
        <f t="shared" si="24"/>
        <v>0</v>
      </c>
      <c r="F36" s="60">
        <f>53000</f>
        <v>53000</v>
      </c>
      <c r="G36" s="15">
        <f>0</f>
        <v>0</v>
      </c>
      <c r="H36" s="61">
        <f t="shared" si="25"/>
        <v>53000</v>
      </c>
      <c r="I36" s="60">
        <f>0</f>
        <v>0</v>
      </c>
      <c r="J36" s="15">
        <f>0</f>
        <v>0</v>
      </c>
      <c r="K36" s="61">
        <f t="shared" si="26"/>
        <v>0</v>
      </c>
      <c r="L36" s="60">
        <f>0</f>
        <v>0</v>
      </c>
      <c r="M36" s="15">
        <f>0</f>
        <v>0</v>
      </c>
      <c r="N36" s="61">
        <f t="shared" si="27"/>
        <v>0</v>
      </c>
      <c r="O36" s="60">
        <f>0</f>
        <v>0</v>
      </c>
      <c r="P36" s="15">
        <f>0</f>
        <v>0</v>
      </c>
      <c r="Q36" s="61">
        <f t="shared" si="28"/>
        <v>0</v>
      </c>
      <c r="R36" s="60">
        <f t="shared" si="29"/>
        <v>53000</v>
      </c>
      <c r="S36" s="15">
        <f t="shared" si="29"/>
        <v>0</v>
      </c>
      <c r="T36" s="61">
        <f t="shared" si="30"/>
        <v>53000</v>
      </c>
    </row>
    <row r="37" spans="2:20" x14ac:dyDescent="0.2">
      <c r="B37" s="53" t="s">
        <v>50</v>
      </c>
      <c r="C37" s="60">
        <f>496000/4</f>
        <v>124000</v>
      </c>
      <c r="D37" s="15">
        <f>0</f>
        <v>0</v>
      </c>
      <c r="E37" s="61">
        <f t="shared" si="24"/>
        <v>124000</v>
      </c>
      <c r="F37" s="60">
        <f>496000/4*2</f>
        <v>248000</v>
      </c>
      <c r="G37" s="15">
        <f>0</f>
        <v>0</v>
      </c>
      <c r="H37" s="61">
        <f t="shared" si="25"/>
        <v>248000</v>
      </c>
      <c r="I37" s="60">
        <f>496000/4</f>
        <v>124000</v>
      </c>
      <c r="J37" s="15">
        <f>0</f>
        <v>0</v>
      </c>
      <c r="K37" s="61">
        <f t="shared" si="26"/>
        <v>124000</v>
      </c>
      <c r="L37" s="60">
        <f>0</f>
        <v>0</v>
      </c>
      <c r="M37" s="15">
        <f>0</f>
        <v>0</v>
      </c>
      <c r="N37" s="61">
        <f t="shared" si="27"/>
        <v>0</v>
      </c>
      <c r="O37" s="60">
        <f>0</f>
        <v>0</v>
      </c>
      <c r="P37" s="15">
        <f>0</f>
        <v>0</v>
      </c>
      <c r="Q37" s="61">
        <f t="shared" si="28"/>
        <v>0</v>
      </c>
      <c r="R37" s="60">
        <f t="shared" si="29"/>
        <v>496000</v>
      </c>
      <c r="S37" s="15">
        <f t="shared" si="29"/>
        <v>0</v>
      </c>
      <c r="T37" s="61">
        <f t="shared" si="30"/>
        <v>496000</v>
      </c>
    </row>
    <row r="38" spans="2:20" x14ac:dyDescent="0.2">
      <c r="B38" s="53" t="s">
        <v>51</v>
      </c>
      <c r="C38" s="60">
        <f>0</f>
        <v>0</v>
      </c>
      <c r="D38" s="15">
        <f>0</f>
        <v>0</v>
      </c>
      <c r="E38" s="61">
        <f t="shared" si="24"/>
        <v>0</v>
      </c>
      <c r="F38" s="60">
        <f>50000/10*3</f>
        <v>15000</v>
      </c>
      <c r="G38" s="15">
        <f>0</f>
        <v>0</v>
      </c>
      <c r="H38" s="61">
        <f t="shared" si="25"/>
        <v>15000</v>
      </c>
      <c r="I38" s="60">
        <f>50000/10*3</f>
        <v>15000</v>
      </c>
      <c r="J38" s="15">
        <f>0</f>
        <v>0</v>
      </c>
      <c r="K38" s="61">
        <f t="shared" si="26"/>
        <v>15000</v>
      </c>
      <c r="L38" s="60">
        <f>50000/10*3</f>
        <v>15000</v>
      </c>
      <c r="M38" s="15">
        <f>0</f>
        <v>0</v>
      </c>
      <c r="N38" s="61">
        <f t="shared" si="27"/>
        <v>15000</v>
      </c>
      <c r="O38" s="60">
        <f>50000/10*1</f>
        <v>5000</v>
      </c>
      <c r="P38" s="15">
        <f>0</f>
        <v>0</v>
      </c>
      <c r="Q38" s="61">
        <f t="shared" si="28"/>
        <v>5000</v>
      </c>
      <c r="R38" s="75">
        <f t="shared" si="29"/>
        <v>50000</v>
      </c>
      <c r="S38" s="76">
        <f t="shared" si="29"/>
        <v>0</v>
      </c>
      <c r="T38" s="67">
        <f t="shared" si="30"/>
        <v>50000</v>
      </c>
    </row>
    <row r="39" spans="2:20" x14ac:dyDescent="0.2">
      <c r="B39" s="53" t="s">
        <v>52</v>
      </c>
      <c r="C39" s="54">
        <f>SUM(C40:C45)</f>
        <v>0</v>
      </c>
      <c r="D39" s="55">
        <f t="shared" ref="D39:T39" si="31">SUM(D40:D45)</f>
        <v>0</v>
      </c>
      <c r="E39" s="56">
        <f t="shared" si="31"/>
        <v>0</v>
      </c>
      <c r="F39" s="54">
        <f t="shared" si="31"/>
        <v>336000</v>
      </c>
      <c r="G39" s="55">
        <f t="shared" si="31"/>
        <v>0</v>
      </c>
      <c r="H39" s="56">
        <f t="shared" si="31"/>
        <v>336000</v>
      </c>
      <c r="I39" s="54">
        <f t="shared" si="31"/>
        <v>124000</v>
      </c>
      <c r="J39" s="55">
        <f t="shared" si="31"/>
        <v>0</v>
      </c>
      <c r="K39" s="56">
        <f t="shared" si="31"/>
        <v>124000</v>
      </c>
      <c r="L39" s="54">
        <f t="shared" si="31"/>
        <v>16000</v>
      </c>
      <c r="M39" s="55">
        <f t="shared" si="31"/>
        <v>0</v>
      </c>
      <c r="N39" s="56">
        <f t="shared" si="31"/>
        <v>16000</v>
      </c>
      <c r="O39" s="54">
        <f t="shared" si="31"/>
        <v>12000</v>
      </c>
      <c r="P39" s="55">
        <f t="shared" si="31"/>
        <v>0</v>
      </c>
      <c r="Q39" s="56">
        <f t="shared" si="31"/>
        <v>12000</v>
      </c>
      <c r="R39" s="72">
        <f t="shared" si="31"/>
        <v>488000</v>
      </c>
      <c r="S39" s="73">
        <f t="shared" si="31"/>
        <v>0</v>
      </c>
      <c r="T39" s="74">
        <f t="shared" si="31"/>
        <v>488000</v>
      </c>
    </row>
    <row r="40" spans="2:20" x14ac:dyDescent="0.2">
      <c r="B40" s="53" t="s">
        <v>53</v>
      </c>
      <c r="C40" s="60">
        <f>0</f>
        <v>0</v>
      </c>
      <c r="D40" s="15">
        <f>0</f>
        <v>0</v>
      </c>
      <c r="E40" s="61">
        <f t="shared" ref="E40:E49" si="32">+C40+D40</f>
        <v>0</v>
      </c>
      <c r="F40" s="60">
        <f>55000</f>
        <v>55000</v>
      </c>
      <c r="G40" s="15">
        <v>0</v>
      </c>
      <c r="H40" s="61">
        <f t="shared" ref="H40:H45" si="33">+F40+G40</f>
        <v>55000</v>
      </c>
      <c r="I40" s="60">
        <f>27000</f>
        <v>27000</v>
      </c>
      <c r="J40" s="15">
        <v>0</v>
      </c>
      <c r="K40" s="61">
        <f t="shared" ref="K40:K45" si="34">+I40+J40</f>
        <v>27000</v>
      </c>
      <c r="L40" s="60">
        <f>0</f>
        <v>0</v>
      </c>
      <c r="M40" s="15">
        <f>0</f>
        <v>0</v>
      </c>
      <c r="N40" s="61">
        <f t="shared" ref="N40:N45" si="35">+L40+M40</f>
        <v>0</v>
      </c>
      <c r="O40" s="60">
        <f>0</f>
        <v>0</v>
      </c>
      <c r="P40" s="15">
        <f>0</f>
        <v>0</v>
      </c>
      <c r="Q40" s="61">
        <f t="shared" ref="Q40:Q45" si="36">+O40+P40</f>
        <v>0</v>
      </c>
      <c r="R40" s="60">
        <f t="shared" ref="R40:S45" si="37">+C40+F40+I40+L40+O40</f>
        <v>82000</v>
      </c>
      <c r="S40" s="15">
        <f t="shared" si="37"/>
        <v>0</v>
      </c>
      <c r="T40" s="61">
        <f t="shared" ref="T40:T45" si="38">+R40+S40</f>
        <v>82000</v>
      </c>
    </row>
    <row r="41" spans="2:20" x14ac:dyDescent="0.2">
      <c r="B41" s="53" t="s">
        <v>54</v>
      </c>
      <c r="C41" s="60">
        <f>0</f>
        <v>0</v>
      </c>
      <c r="D41" s="15">
        <f>0</f>
        <v>0</v>
      </c>
      <c r="E41" s="61">
        <f t="shared" si="32"/>
        <v>0</v>
      </c>
      <c r="F41" s="60">
        <f>55000</f>
        <v>55000</v>
      </c>
      <c r="G41" s="15">
        <v>0</v>
      </c>
      <c r="H41" s="61">
        <f t="shared" si="33"/>
        <v>55000</v>
      </c>
      <c r="I41" s="60">
        <f>27000</f>
        <v>27000</v>
      </c>
      <c r="J41" s="15">
        <v>0</v>
      </c>
      <c r="K41" s="61">
        <f t="shared" si="34"/>
        <v>27000</v>
      </c>
      <c r="L41" s="60">
        <f>0</f>
        <v>0</v>
      </c>
      <c r="M41" s="15">
        <f>0</f>
        <v>0</v>
      </c>
      <c r="N41" s="61">
        <f t="shared" si="35"/>
        <v>0</v>
      </c>
      <c r="O41" s="60">
        <f>0</f>
        <v>0</v>
      </c>
      <c r="P41" s="15">
        <f>0</f>
        <v>0</v>
      </c>
      <c r="Q41" s="61">
        <f t="shared" si="36"/>
        <v>0</v>
      </c>
      <c r="R41" s="60">
        <f t="shared" si="37"/>
        <v>82000</v>
      </c>
      <c r="S41" s="15">
        <f t="shared" si="37"/>
        <v>0</v>
      </c>
      <c r="T41" s="61">
        <f t="shared" si="38"/>
        <v>82000</v>
      </c>
    </row>
    <row r="42" spans="2:20" x14ac:dyDescent="0.2">
      <c r="B42" s="53" t="s">
        <v>55</v>
      </c>
      <c r="C42" s="60">
        <f>0</f>
        <v>0</v>
      </c>
      <c r="D42" s="15">
        <f>0</f>
        <v>0</v>
      </c>
      <c r="E42" s="61">
        <f t="shared" si="32"/>
        <v>0</v>
      </c>
      <c r="F42" s="60">
        <f>55000</f>
        <v>55000</v>
      </c>
      <c r="G42" s="15">
        <v>0</v>
      </c>
      <c r="H42" s="61">
        <f t="shared" si="33"/>
        <v>55000</v>
      </c>
      <c r="I42" s="60">
        <f>27000</f>
        <v>27000</v>
      </c>
      <c r="J42" s="15">
        <v>0</v>
      </c>
      <c r="K42" s="61">
        <f t="shared" si="34"/>
        <v>27000</v>
      </c>
      <c r="L42" s="60">
        <f>0</f>
        <v>0</v>
      </c>
      <c r="M42" s="15">
        <f>0</f>
        <v>0</v>
      </c>
      <c r="N42" s="61">
        <f t="shared" si="35"/>
        <v>0</v>
      </c>
      <c r="O42" s="60">
        <f>0</f>
        <v>0</v>
      </c>
      <c r="P42" s="15">
        <f>0</f>
        <v>0</v>
      </c>
      <c r="Q42" s="61">
        <f t="shared" si="36"/>
        <v>0</v>
      </c>
      <c r="R42" s="60">
        <f t="shared" si="37"/>
        <v>82000</v>
      </c>
      <c r="S42" s="15">
        <f t="shared" si="37"/>
        <v>0</v>
      </c>
      <c r="T42" s="61">
        <f t="shared" si="38"/>
        <v>82000</v>
      </c>
    </row>
    <row r="43" spans="2:20" x14ac:dyDescent="0.2">
      <c r="B43" s="53" t="s">
        <v>56</v>
      </c>
      <c r="C43" s="60">
        <f>0</f>
        <v>0</v>
      </c>
      <c r="D43" s="15">
        <f>0</f>
        <v>0</v>
      </c>
      <c r="E43" s="61">
        <f t="shared" si="32"/>
        <v>0</v>
      </c>
      <c r="F43" s="60">
        <f>55000</f>
        <v>55000</v>
      </c>
      <c r="G43" s="15">
        <v>0</v>
      </c>
      <c r="H43" s="61">
        <f t="shared" si="33"/>
        <v>55000</v>
      </c>
      <c r="I43" s="60">
        <f>27000</f>
        <v>27000</v>
      </c>
      <c r="J43" s="15">
        <v>0</v>
      </c>
      <c r="K43" s="61">
        <f t="shared" si="34"/>
        <v>27000</v>
      </c>
      <c r="L43" s="60">
        <f>0</f>
        <v>0</v>
      </c>
      <c r="M43" s="15">
        <f>0</f>
        <v>0</v>
      </c>
      <c r="N43" s="61">
        <f t="shared" si="35"/>
        <v>0</v>
      </c>
      <c r="O43" s="60">
        <f>0</f>
        <v>0</v>
      </c>
      <c r="P43" s="15">
        <f>0</f>
        <v>0</v>
      </c>
      <c r="Q43" s="61">
        <f t="shared" si="36"/>
        <v>0</v>
      </c>
      <c r="R43" s="60">
        <f t="shared" si="37"/>
        <v>82000</v>
      </c>
      <c r="S43" s="15">
        <f t="shared" si="37"/>
        <v>0</v>
      </c>
      <c r="T43" s="61">
        <f t="shared" si="38"/>
        <v>82000</v>
      </c>
    </row>
    <row r="44" spans="2:20" x14ac:dyDescent="0.2">
      <c r="B44" s="53" t="s">
        <v>57</v>
      </c>
      <c r="C44" s="60">
        <f>0</f>
        <v>0</v>
      </c>
      <c r="D44" s="15">
        <f>0</f>
        <v>0</v>
      </c>
      <c r="E44" s="61">
        <f t="shared" si="32"/>
        <v>0</v>
      </c>
      <c r="F44" s="60">
        <f>100000</f>
        <v>100000</v>
      </c>
      <c r="G44" s="15">
        <f>0</f>
        <v>0</v>
      </c>
      <c r="H44" s="61">
        <f t="shared" si="33"/>
        <v>100000</v>
      </c>
      <c r="I44" s="60">
        <f>0</f>
        <v>0</v>
      </c>
      <c r="J44" s="15">
        <f>0</f>
        <v>0</v>
      </c>
      <c r="K44" s="61">
        <f t="shared" si="34"/>
        <v>0</v>
      </c>
      <c r="L44" s="60">
        <f>0</f>
        <v>0</v>
      </c>
      <c r="M44" s="15">
        <f>0</f>
        <v>0</v>
      </c>
      <c r="N44" s="61">
        <f t="shared" si="35"/>
        <v>0</v>
      </c>
      <c r="O44" s="60">
        <f>0</f>
        <v>0</v>
      </c>
      <c r="P44" s="15">
        <f>0</f>
        <v>0</v>
      </c>
      <c r="Q44" s="61">
        <f t="shared" si="36"/>
        <v>0</v>
      </c>
      <c r="R44" s="60">
        <f t="shared" si="37"/>
        <v>100000</v>
      </c>
      <c r="S44" s="15">
        <f t="shared" si="37"/>
        <v>0</v>
      </c>
      <c r="T44" s="61">
        <f t="shared" si="38"/>
        <v>100000</v>
      </c>
    </row>
    <row r="45" spans="2:20" x14ac:dyDescent="0.2">
      <c r="B45" s="53" t="s">
        <v>58</v>
      </c>
      <c r="C45" s="60">
        <f>0</f>
        <v>0</v>
      </c>
      <c r="D45" s="15">
        <f>0</f>
        <v>0</v>
      </c>
      <c r="E45" s="61">
        <f t="shared" si="32"/>
        <v>0</v>
      </c>
      <c r="F45" s="60">
        <f>4*4000</f>
        <v>16000</v>
      </c>
      <c r="G45" s="15">
        <f>0</f>
        <v>0</v>
      </c>
      <c r="H45" s="61">
        <f t="shared" si="33"/>
        <v>16000</v>
      </c>
      <c r="I45" s="60">
        <f>4*4000</f>
        <v>16000</v>
      </c>
      <c r="J45" s="15">
        <f>0</f>
        <v>0</v>
      </c>
      <c r="K45" s="61">
        <f t="shared" si="34"/>
        <v>16000</v>
      </c>
      <c r="L45" s="60">
        <f>4*4000</f>
        <v>16000</v>
      </c>
      <c r="M45" s="15">
        <f>0</f>
        <v>0</v>
      </c>
      <c r="N45" s="61">
        <f t="shared" si="35"/>
        <v>16000</v>
      </c>
      <c r="O45" s="60">
        <f>3*4000</f>
        <v>12000</v>
      </c>
      <c r="P45" s="15">
        <f>0</f>
        <v>0</v>
      </c>
      <c r="Q45" s="61">
        <f t="shared" si="36"/>
        <v>12000</v>
      </c>
      <c r="R45" s="75">
        <f t="shared" si="37"/>
        <v>60000</v>
      </c>
      <c r="S45" s="76">
        <f t="shared" si="37"/>
        <v>0</v>
      </c>
      <c r="T45" s="67">
        <f t="shared" si="38"/>
        <v>60000</v>
      </c>
    </row>
    <row r="46" spans="2:20" x14ac:dyDescent="0.2">
      <c r="B46" s="53" t="s">
        <v>59</v>
      </c>
      <c r="C46" s="54">
        <f>SUM(C47:C52)</f>
        <v>0</v>
      </c>
      <c r="D46" s="55">
        <f t="shared" ref="D46:T46" si="39">SUM(D47:D52)</f>
        <v>0</v>
      </c>
      <c r="E46" s="56">
        <f t="shared" si="39"/>
        <v>0</v>
      </c>
      <c r="F46" s="54">
        <f t="shared" si="39"/>
        <v>18000</v>
      </c>
      <c r="G46" s="55">
        <f t="shared" si="39"/>
        <v>0</v>
      </c>
      <c r="H46" s="56">
        <f t="shared" si="39"/>
        <v>18000</v>
      </c>
      <c r="I46" s="54">
        <f t="shared" si="39"/>
        <v>33000</v>
      </c>
      <c r="J46" s="55">
        <f t="shared" si="39"/>
        <v>0</v>
      </c>
      <c r="K46" s="56">
        <f t="shared" si="39"/>
        <v>33000</v>
      </c>
      <c r="L46" s="54">
        <f t="shared" si="39"/>
        <v>33000</v>
      </c>
      <c r="M46" s="55">
        <f t="shared" si="39"/>
        <v>0</v>
      </c>
      <c r="N46" s="56">
        <f t="shared" si="39"/>
        <v>33000</v>
      </c>
      <c r="O46" s="54">
        <f t="shared" si="39"/>
        <v>16000</v>
      </c>
      <c r="P46" s="55">
        <f t="shared" si="39"/>
        <v>0</v>
      </c>
      <c r="Q46" s="56">
        <f t="shared" si="39"/>
        <v>16000</v>
      </c>
      <c r="R46" s="72">
        <f t="shared" si="39"/>
        <v>100000</v>
      </c>
      <c r="S46" s="73">
        <f t="shared" si="39"/>
        <v>0</v>
      </c>
      <c r="T46" s="74">
        <f t="shared" si="39"/>
        <v>100000</v>
      </c>
    </row>
    <row r="47" spans="2:20" x14ac:dyDescent="0.2">
      <c r="B47" s="53" t="s">
        <v>60</v>
      </c>
      <c r="C47" s="60">
        <f>0</f>
        <v>0</v>
      </c>
      <c r="D47" s="15">
        <f>0</f>
        <v>0</v>
      </c>
      <c r="E47" s="61">
        <f t="shared" si="32"/>
        <v>0</v>
      </c>
      <c r="F47" s="60">
        <f>4*2000</f>
        <v>8000</v>
      </c>
      <c r="G47" s="15">
        <f>0</f>
        <v>0</v>
      </c>
      <c r="H47" s="61">
        <f t="shared" ref="H47:H52" si="40">+F47+G47</f>
        <v>8000</v>
      </c>
      <c r="I47" s="60">
        <f>4*2000</f>
        <v>8000</v>
      </c>
      <c r="J47" s="15">
        <f>0</f>
        <v>0</v>
      </c>
      <c r="K47" s="61">
        <f t="shared" ref="K47:K52" si="41">+I47+J47</f>
        <v>8000</v>
      </c>
      <c r="L47" s="60">
        <f>4*2000</f>
        <v>8000</v>
      </c>
      <c r="M47" s="15">
        <f>0</f>
        <v>0</v>
      </c>
      <c r="N47" s="61">
        <f t="shared" ref="N47:N52" si="42">+L47+M47</f>
        <v>8000</v>
      </c>
      <c r="O47" s="60">
        <f>3*2000</f>
        <v>6000</v>
      </c>
      <c r="P47" s="15">
        <f>0</f>
        <v>0</v>
      </c>
      <c r="Q47" s="61">
        <f t="shared" ref="Q47:Q52" si="43">+O47+P47</f>
        <v>6000</v>
      </c>
      <c r="R47" s="60">
        <f t="shared" ref="R47:S52" si="44">+C47+F47+I47+L47+O47</f>
        <v>30000</v>
      </c>
      <c r="S47" s="15">
        <f t="shared" si="44"/>
        <v>0</v>
      </c>
      <c r="T47" s="61">
        <f t="shared" ref="T47:T52" si="45">+R47+S47</f>
        <v>30000</v>
      </c>
    </row>
    <row r="48" spans="2:20" x14ac:dyDescent="0.2">
      <c r="B48" s="53" t="s">
        <v>61</v>
      </c>
      <c r="C48" s="60">
        <f>0</f>
        <v>0</v>
      </c>
      <c r="D48" s="15">
        <f>0</f>
        <v>0</v>
      </c>
      <c r="E48" s="61">
        <f t="shared" si="32"/>
        <v>0</v>
      </c>
      <c r="F48" s="60">
        <f>0</f>
        <v>0</v>
      </c>
      <c r="G48" s="15">
        <f>0</f>
        <v>0</v>
      </c>
      <c r="H48" s="61">
        <f t="shared" si="40"/>
        <v>0</v>
      </c>
      <c r="I48" s="60">
        <f>1*10000</f>
        <v>10000</v>
      </c>
      <c r="J48" s="15">
        <f>0</f>
        <v>0</v>
      </c>
      <c r="K48" s="61">
        <f t="shared" si="41"/>
        <v>10000</v>
      </c>
      <c r="L48" s="60">
        <f>1*10000</f>
        <v>10000</v>
      </c>
      <c r="M48" s="15">
        <f>0</f>
        <v>0</v>
      </c>
      <c r="N48" s="61">
        <f t="shared" si="42"/>
        <v>10000</v>
      </c>
      <c r="O48" s="60">
        <f>0</f>
        <v>0</v>
      </c>
      <c r="P48" s="15">
        <f>0</f>
        <v>0</v>
      </c>
      <c r="Q48" s="61">
        <f t="shared" si="43"/>
        <v>0</v>
      </c>
      <c r="R48" s="60">
        <f t="shared" si="44"/>
        <v>20000</v>
      </c>
      <c r="S48" s="15">
        <f t="shared" si="44"/>
        <v>0</v>
      </c>
      <c r="T48" s="61">
        <f t="shared" si="45"/>
        <v>20000</v>
      </c>
    </row>
    <row r="49" spans="1:20" x14ac:dyDescent="0.2">
      <c r="B49" s="53" t="s">
        <v>62</v>
      </c>
      <c r="C49" s="60">
        <f>0</f>
        <v>0</v>
      </c>
      <c r="D49" s="15">
        <f>0</f>
        <v>0</v>
      </c>
      <c r="E49" s="61">
        <f t="shared" si="32"/>
        <v>0</v>
      </c>
      <c r="F49" s="60">
        <f>2*2000</f>
        <v>4000</v>
      </c>
      <c r="G49" s="15">
        <f>0</f>
        <v>0</v>
      </c>
      <c r="H49" s="61">
        <f t="shared" si="40"/>
        <v>4000</v>
      </c>
      <c r="I49" s="60">
        <f>3*2000</f>
        <v>6000</v>
      </c>
      <c r="J49" s="15">
        <f>0</f>
        <v>0</v>
      </c>
      <c r="K49" s="61">
        <f t="shared" si="41"/>
        <v>6000</v>
      </c>
      <c r="L49" s="60">
        <f>3*2000</f>
        <v>6000</v>
      </c>
      <c r="M49" s="15">
        <f>0</f>
        <v>0</v>
      </c>
      <c r="N49" s="61">
        <f t="shared" si="42"/>
        <v>6000</v>
      </c>
      <c r="O49" s="60">
        <f>2*2000</f>
        <v>4000</v>
      </c>
      <c r="P49" s="15">
        <f>0</f>
        <v>0</v>
      </c>
      <c r="Q49" s="61">
        <f t="shared" si="43"/>
        <v>4000</v>
      </c>
      <c r="R49" s="60">
        <f t="shared" si="44"/>
        <v>20000</v>
      </c>
      <c r="S49" s="15">
        <f t="shared" si="44"/>
        <v>0</v>
      </c>
      <c r="T49" s="61">
        <f t="shared" si="45"/>
        <v>20000</v>
      </c>
    </row>
    <row r="50" spans="1:20" x14ac:dyDescent="0.2">
      <c r="B50" s="53" t="s">
        <v>63</v>
      </c>
      <c r="C50" s="60">
        <f>0</f>
        <v>0</v>
      </c>
      <c r="D50" s="15">
        <f>0</f>
        <v>0</v>
      </c>
      <c r="E50" s="61">
        <f>+C50+D50</f>
        <v>0</v>
      </c>
      <c r="F50" s="60">
        <f>2*1000</f>
        <v>2000</v>
      </c>
      <c r="G50" s="15">
        <f>0</f>
        <v>0</v>
      </c>
      <c r="H50" s="61">
        <f t="shared" si="40"/>
        <v>2000</v>
      </c>
      <c r="I50" s="60">
        <f>3*1000</f>
        <v>3000</v>
      </c>
      <c r="J50" s="15">
        <f>0</f>
        <v>0</v>
      </c>
      <c r="K50" s="61">
        <f t="shared" si="41"/>
        <v>3000</v>
      </c>
      <c r="L50" s="60">
        <f>3*1000</f>
        <v>3000</v>
      </c>
      <c r="M50" s="15">
        <f>0</f>
        <v>0</v>
      </c>
      <c r="N50" s="61">
        <f t="shared" si="42"/>
        <v>3000</v>
      </c>
      <c r="O50" s="60">
        <f>2*1000</f>
        <v>2000</v>
      </c>
      <c r="P50" s="15">
        <f>0</f>
        <v>0</v>
      </c>
      <c r="Q50" s="61">
        <f t="shared" si="43"/>
        <v>2000</v>
      </c>
      <c r="R50" s="60">
        <f t="shared" si="44"/>
        <v>10000</v>
      </c>
      <c r="S50" s="15">
        <f t="shared" si="44"/>
        <v>0</v>
      </c>
      <c r="T50" s="61">
        <f t="shared" si="45"/>
        <v>10000</v>
      </c>
    </row>
    <row r="51" spans="1:20" x14ac:dyDescent="0.2">
      <c r="B51" s="53" t="s">
        <v>64</v>
      </c>
      <c r="C51" s="60">
        <f>0</f>
        <v>0</v>
      </c>
      <c r="D51" s="15">
        <f>0</f>
        <v>0</v>
      </c>
      <c r="E51" s="61">
        <f>+C51+D51</f>
        <v>0</v>
      </c>
      <c r="F51" s="60">
        <f>2*1000</f>
        <v>2000</v>
      </c>
      <c r="G51" s="15">
        <f>0</f>
        <v>0</v>
      </c>
      <c r="H51" s="61">
        <f t="shared" si="40"/>
        <v>2000</v>
      </c>
      <c r="I51" s="60">
        <f>3*1000</f>
        <v>3000</v>
      </c>
      <c r="J51" s="15">
        <f>0</f>
        <v>0</v>
      </c>
      <c r="K51" s="61">
        <f t="shared" si="41"/>
        <v>3000</v>
      </c>
      <c r="L51" s="60">
        <f>3*1000</f>
        <v>3000</v>
      </c>
      <c r="M51" s="15">
        <f>0</f>
        <v>0</v>
      </c>
      <c r="N51" s="61">
        <f t="shared" si="42"/>
        <v>3000</v>
      </c>
      <c r="O51" s="60">
        <f>2*1000</f>
        <v>2000</v>
      </c>
      <c r="P51" s="15">
        <f>0</f>
        <v>0</v>
      </c>
      <c r="Q51" s="61">
        <f t="shared" si="43"/>
        <v>2000</v>
      </c>
      <c r="R51" s="60">
        <f t="shared" si="44"/>
        <v>10000</v>
      </c>
      <c r="S51" s="15">
        <f t="shared" si="44"/>
        <v>0</v>
      </c>
      <c r="T51" s="61">
        <f t="shared" si="45"/>
        <v>10000</v>
      </c>
    </row>
    <row r="52" spans="1:20" x14ac:dyDescent="0.2">
      <c r="B52" s="53" t="s">
        <v>65</v>
      </c>
      <c r="C52" s="60">
        <f>0</f>
        <v>0</v>
      </c>
      <c r="D52" s="15">
        <f>0</f>
        <v>0</v>
      </c>
      <c r="E52" s="61">
        <f>+C52+D52</f>
        <v>0</v>
      </c>
      <c r="F52" s="60">
        <f>2*1000</f>
        <v>2000</v>
      </c>
      <c r="G52" s="15">
        <f>0</f>
        <v>0</v>
      </c>
      <c r="H52" s="61">
        <f t="shared" si="40"/>
        <v>2000</v>
      </c>
      <c r="I52" s="60">
        <f>3*1000</f>
        <v>3000</v>
      </c>
      <c r="J52" s="15">
        <f>0</f>
        <v>0</v>
      </c>
      <c r="K52" s="61">
        <f t="shared" si="41"/>
        <v>3000</v>
      </c>
      <c r="L52" s="60">
        <f>3*1000</f>
        <v>3000</v>
      </c>
      <c r="M52" s="15">
        <f>0</f>
        <v>0</v>
      </c>
      <c r="N52" s="61">
        <f t="shared" si="42"/>
        <v>3000</v>
      </c>
      <c r="O52" s="60">
        <f>2*1000</f>
        <v>2000</v>
      </c>
      <c r="P52" s="15">
        <f>0</f>
        <v>0</v>
      </c>
      <c r="Q52" s="61">
        <f t="shared" si="43"/>
        <v>2000</v>
      </c>
      <c r="R52" s="60">
        <f t="shared" si="44"/>
        <v>10000</v>
      </c>
      <c r="S52" s="15">
        <f t="shared" si="44"/>
        <v>0</v>
      </c>
      <c r="T52" s="61">
        <f t="shared" si="45"/>
        <v>10000</v>
      </c>
    </row>
    <row r="53" spans="1:20" x14ac:dyDescent="0.2">
      <c r="B53" s="53" t="s">
        <v>66</v>
      </c>
      <c r="C53" s="54">
        <f>SUM(C54:C57)</f>
        <v>20000</v>
      </c>
      <c r="D53" s="55">
        <f t="shared" ref="D53:T53" si="46">SUM(D54:D57)</f>
        <v>0</v>
      </c>
      <c r="E53" s="56">
        <f t="shared" si="46"/>
        <v>20000</v>
      </c>
      <c r="F53" s="54">
        <f t="shared" si="46"/>
        <v>20000</v>
      </c>
      <c r="G53" s="55">
        <f t="shared" si="46"/>
        <v>0</v>
      </c>
      <c r="H53" s="56">
        <f t="shared" si="46"/>
        <v>20000</v>
      </c>
      <c r="I53" s="54">
        <f t="shared" si="46"/>
        <v>20000</v>
      </c>
      <c r="J53" s="55">
        <f t="shared" si="46"/>
        <v>0</v>
      </c>
      <c r="K53" s="56">
        <f t="shared" si="46"/>
        <v>20000</v>
      </c>
      <c r="L53" s="54">
        <f t="shared" si="46"/>
        <v>20000</v>
      </c>
      <c r="M53" s="55">
        <f t="shared" si="46"/>
        <v>0</v>
      </c>
      <c r="N53" s="56">
        <f t="shared" si="46"/>
        <v>20000</v>
      </c>
      <c r="O53" s="54">
        <f t="shared" si="46"/>
        <v>20000</v>
      </c>
      <c r="P53" s="55">
        <f t="shared" si="46"/>
        <v>0</v>
      </c>
      <c r="Q53" s="56">
        <f t="shared" si="46"/>
        <v>20000</v>
      </c>
      <c r="R53" s="54">
        <f t="shared" si="46"/>
        <v>100000</v>
      </c>
      <c r="S53" s="55">
        <f t="shared" si="46"/>
        <v>0</v>
      </c>
      <c r="T53" s="56">
        <f t="shared" si="46"/>
        <v>100000</v>
      </c>
    </row>
    <row r="54" spans="1:20" x14ac:dyDescent="0.2">
      <c r="B54" s="53" t="s">
        <v>67</v>
      </c>
      <c r="C54" s="60">
        <f>1*20000</f>
        <v>20000</v>
      </c>
      <c r="D54" s="15">
        <f>0</f>
        <v>0</v>
      </c>
      <c r="E54" s="61">
        <f>+C54+D54</f>
        <v>20000</v>
      </c>
      <c r="F54" s="60">
        <f>1*20000</f>
        <v>20000</v>
      </c>
      <c r="G54" s="15">
        <f>0</f>
        <v>0</v>
      </c>
      <c r="H54" s="61">
        <f>+F54+G54</f>
        <v>20000</v>
      </c>
      <c r="I54" s="60">
        <f>0</f>
        <v>0</v>
      </c>
      <c r="J54" s="15">
        <f>0</f>
        <v>0</v>
      </c>
      <c r="K54" s="61">
        <f>+I54+J54</f>
        <v>0</v>
      </c>
      <c r="L54" s="60">
        <f>0</f>
        <v>0</v>
      </c>
      <c r="M54" s="15">
        <f>0</f>
        <v>0</v>
      </c>
      <c r="N54" s="61">
        <f>+L54+M54</f>
        <v>0</v>
      </c>
      <c r="O54" s="60">
        <f>0</f>
        <v>0</v>
      </c>
      <c r="P54" s="15">
        <f>0</f>
        <v>0</v>
      </c>
      <c r="Q54" s="61">
        <f>+O54+P54</f>
        <v>0</v>
      </c>
      <c r="R54" s="60">
        <f t="shared" ref="R54:S57" si="47">+C54+F54+I54+L54+O54</f>
        <v>40000</v>
      </c>
      <c r="S54" s="15">
        <f t="shared" si="47"/>
        <v>0</v>
      </c>
      <c r="T54" s="61">
        <f>+R54+S54</f>
        <v>40000</v>
      </c>
    </row>
    <row r="55" spans="1:20" x14ac:dyDescent="0.2">
      <c r="B55" s="53" t="s">
        <v>68</v>
      </c>
      <c r="C55" s="60">
        <f>0</f>
        <v>0</v>
      </c>
      <c r="D55" s="15">
        <f>0</f>
        <v>0</v>
      </c>
      <c r="E55" s="61">
        <f>+C55+D55</f>
        <v>0</v>
      </c>
      <c r="F55" s="60">
        <f>0</f>
        <v>0</v>
      </c>
      <c r="G55" s="15">
        <f>0</f>
        <v>0</v>
      </c>
      <c r="H55" s="61">
        <f>+F55+G55</f>
        <v>0</v>
      </c>
      <c r="I55" s="60">
        <f>1*20000</f>
        <v>20000</v>
      </c>
      <c r="J55" s="15">
        <f>0</f>
        <v>0</v>
      </c>
      <c r="K55" s="61">
        <f>+I55+J55</f>
        <v>20000</v>
      </c>
      <c r="L55" s="60">
        <f>0</f>
        <v>0</v>
      </c>
      <c r="M55" s="15">
        <f>0</f>
        <v>0</v>
      </c>
      <c r="N55" s="61">
        <f>+L55+M55</f>
        <v>0</v>
      </c>
      <c r="O55" s="60">
        <f>0</f>
        <v>0</v>
      </c>
      <c r="P55" s="15">
        <f>0</f>
        <v>0</v>
      </c>
      <c r="Q55" s="61">
        <f>+O55+P55</f>
        <v>0</v>
      </c>
      <c r="R55" s="60">
        <f t="shared" si="47"/>
        <v>20000</v>
      </c>
      <c r="S55" s="15">
        <f t="shared" si="47"/>
        <v>0</v>
      </c>
      <c r="T55" s="61">
        <f>+R55+S55</f>
        <v>20000</v>
      </c>
    </row>
    <row r="56" spans="1:20" x14ac:dyDescent="0.2">
      <c r="B56" s="53" t="s">
        <v>69</v>
      </c>
      <c r="C56" s="60">
        <f>0</f>
        <v>0</v>
      </c>
      <c r="D56" s="15">
        <f>0</f>
        <v>0</v>
      </c>
      <c r="E56" s="61">
        <f>+C56+D56</f>
        <v>0</v>
      </c>
      <c r="F56" s="60">
        <f>0</f>
        <v>0</v>
      </c>
      <c r="G56" s="15">
        <f>0</f>
        <v>0</v>
      </c>
      <c r="H56" s="61">
        <f>+F56+G56</f>
        <v>0</v>
      </c>
      <c r="I56" s="60">
        <f>0</f>
        <v>0</v>
      </c>
      <c r="J56" s="15">
        <f>0</f>
        <v>0</v>
      </c>
      <c r="K56" s="61">
        <f>+I56+J56</f>
        <v>0</v>
      </c>
      <c r="L56" s="60">
        <f>1*20000</f>
        <v>20000</v>
      </c>
      <c r="M56" s="15">
        <f>0</f>
        <v>0</v>
      </c>
      <c r="N56" s="61">
        <f>+L56+M56</f>
        <v>20000</v>
      </c>
      <c r="O56" s="60">
        <f>0</f>
        <v>0</v>
      </c>
      <c r="P56" s="15">
        <f>0</f>
        <v>0</v>
      </c>
      <c r="Q56" s="61">
        <f>+O56+P56</f>
        <v>0</v>
      </c>
      <c r="R56" s="60">
        <f t="shared" si="47"/>
        <v>20000</v>
      </c>
      <c r="S56" s="15">
        <f t="shared" si="47"/>
        <v>0</v>
      </c>
      <c r="T56" s="61">
        <f>+R56+S56</f>
        <v>20000</v>
      </c>
    </row>
    <row r="57" spans="1:20" x14ac:dyDescent="0.2">
      <c r="B57" s="53" t="s">
        <v>70</v>
      </c>
      <c r="C57" s="60">
        <f>0</f>
        <v>0</v>
      </c>
      <c r="D57" s="15">
        <f>0</f>
        <v>0</v>
      </c>
      <c r="E57" s="61">
        <f>+C57+D57</f>
        <v>0</v>
      </c>
      <c r="F57" s="60">
        <f>0</f>
        <v>0</v>
      </c>
      <c r="G57" s="15">
        <f>0</f>
        <v>0</v>
      </c>
      <c r="H57" s="61">
        <f>+F57+G57</f>
        <v>0</v>
      </c>
      <c r="I57" s="60">
        <f>0</f>
        <v>0</v>
      </c>
      <c r="J57" s="15">
        <f>0</f>
        <v>0</v>
      </c>
      <c r="K57" s="61">
        <f>+I57+J57</f>
        <v>0</v>
      </c>
      <c r="L57" s="60">
        <f>0</f>
        <v>0</v>
      </c>
      <c r="M57" s="15">
        <f>0</f>
        <v>0</v>
      </c>
      <c r="N57" s="61">
        <f>+L57+M57</f>
        <v>0</v>
      </c>
      <c r="O57" s="60">
        <f>1*20000</f>
        <v>20000</v>
      </c>
      <c r="P57" s="15">
        <f>0</f>
        <v>0</v>
      </c>
      <c r="Q57" s="61">
        <f>+O57+P57</f>
        <v>20000</v>
      </c>
      <c r="R57" s="60">
        <f t="shared" si="47"/>
        <v>20000</v>
      </c>
      <c r="S57" s="15">
        <f t="shared" si="47"/>
        <v>0</v>
      </c>
      <c r="T57" s="61">
        <f>+R57+S57</f>
        <v>20000</v>
      </c>
    </row>
    <row r="58" spans="1:20" x14ac:dyDescent="0.2">
      <c r="A58" s="45"/>
      <c r="B58" s="53" t="s">
        <v>71</v>
      </c>
      <c r="C58" s="54">
        <f>+C59+C61</f>
        <v>125000</v>
      </c>
      <c r="D58" s="55">
        <f t="shared" ref="D58:T58" si="48">+D59+D61</f>
        <v>0</v>
      </c>
      <c r="E58" s="56">
        <f t="shared" si="48"/>
        <v>125000</v>
      </c>
      <c r="F58" s="54">
        <f t="shared" si="48"/>
        <v>460000</v>
      </c>
      <c r="G58" s="55">
        <f t="shared" si="48"/>
        <v>125000</v>
      </c>
      <c r="H58" s="56">
        <f t="shared" si="48"/>
        <v>585000</v>
      </c>
      <c r="I58" s="54">
        <f t="shared" si="48"/>
        <v>860000</v>
      </c>
      <c r="J58" s="55">
        <f t="shared" si="48"/>
        <v>125000</v>
      </c>
      <c r="K58" s="56">
        <f t="shared" si="48"/>
        <v>985000</v>
      </c>
      <c r="L58" s="54">
        <f t="shared" si="48"/>
        <v>800000</v>
      </c>
      <c r="M58" s="55">
        <f t="shared" si="48"/>
        <v>125000</v>
      </c>
      <c r="N58" s="56">
        <f t="shared" si="48"/>
        <v>925000</v>
      </c>
      <c r="O58" s="54">
        <f t="shared" si="48"/>
        <v>470000</v>
      </c>
      <c r="P58" s="55">
        <f t="shared" si="48"/>
        <v>125000</v>
      </c>
      <c r="Q58" s="56">
        <f t="shared" si="48"/>
        <v>595000</v>
      </c>
      <c r="R58" s="54">
        <f t="shared" si="48"/>
        <v>2715000</v>
      </c>
      <c r="S58" s="55">
        <f t="shared" si="48"/>
        <v>500000</v>
      </c>
      <c r="T58" s="56">
        <f t="shared" si="48"/>
        <v>3215000</v>
      </c>
    </row>
    <row r="59" spans="1:20" x14ac:dyDescent="0.2">
      <c r="B59" s="53" t="s">
        <v>72</v>
      </c>
      <c r="C59" s="54">
        <f>SUM(C60)</f>
        <v>50000</v>
      </c>
      <c r="D59" s="55">
        <f t="shared" ref="D59:T59" si="49">SUM(D60)</f>
        <v>0</v>
      </c>
      <c r="E59" s="56">
        <f t="shared" si="49"/>
        <v>50000</v>
      </c>
      <c r="F59" s="54">
        <f t="shared" si="49"/>
        <v>0</v>
      </c>
      <c r="G59" s="55">
        <f t="shared" si="49"/>
        <v>0</v>
      </c>
      <c r="H59" s="56">
        <f t="shared" si="49"/>
        <v>0</v>
      </c>
      <c r="I59" s="54">
        <f t="shared" si="49"/>
        <v>0</v>
      </c>
      <c r="J59" s="55">
        <f t="shared" si="49"/>
        <v>0</v>
      </c>
      <c r="K59" s="56">
        <f t="shared" si="49"/>
        <v>0</v>
      </c>
      <c r="L59" s="54">
        <f t="shared" si="49"/>
        <v>0</v>
      </c>
      <c r="M59" s="55">
        <f t="shared" si="49"/>
        <v>0</v>
      </c>
      <c r="N59" s="56">
        <f t="shared" si="49"/>
        <v>0</v>
      </c>
      <c r="O59" s="54">
        <f t="shared" si="49"/>
        <v>0</v>
      </c>
      <c r="P59" s="55">
        <f t="shared" si="49"/>
        <v>0</v>
      </c>
      <c r="Q59" s="56">
        <f t="shared" si="49"/>
        <v>0</v>
      </c>
      <c r="R59" s="54">
        <f t="shared" si="49"/>
        <v>50000</v>
      </c>
      <c r="S59" s="55">
        <f t="shared" si="49"/>
        <v>0</v>
      </c>
      <c r="T59" s="56">
        <f t="shared" si="49"/>
        <v>50000</v>
      </c>
    </row>
    <row r="60" spans="1:20" x14ac:dyDescent="0.2">
      <c r="B60" s="53" t="s">
        <v>73</v>
      </c>
      <c r="C60" s="60">
        <f>50000</f>
        <v>50000</v>
      </c>
      <c r="D60" s="15">
        <f>0</f>
        <v>0</v>
      </c>
      <c r="E60" s="61">
        <f>+C60+D60</f>
        <v>50000</v>
      </c>
      <c r="F60" s="60">
        <f>0</f>
        <v>0</v>
      </c>
      <c r="G60" s="15">
        <f>0</f>
        <v>0</v>
      </c>
      <c r="H60" s="61">
        <f>+F60+G60</f>
        <v>0</v>
      </c>
      <c r="I60" s="60">
        <f>0</f>
        <v>0</v>
      </c>
      <c r="J60" s="15">
        <f>0</f>
        <v>0</v>
      </c>
      <c r="K60" s="61">
        <f>+I60+J60</f>
        <v>0</v>
      </c>
      <c r="L60" s="60">
        <f>0</f>
        <v>0</v>
      </c>
      <c r="M60" s="15">
        <f>0</f>
        <v>0</v>
      </c>
      <c r="N60" s="61">
        <f>+L60+M60</f>
        <v>0</v>
      </c>
      <c r="O60" s="60">
        <f>0</f>
        <v>0</v>
      </c>
      <c r="P60" s="15">
        <f>0</f>
        <v>0</v>
      </c>
      <c r="Q60" s="61">
        <f>+O60+P60</f>
        <v>0</v>
      </c>
      <c r="R60" s="60">
        <f>+C60+F60+I60+L60+O60</f>
        <v>50000</v>
      </c>
      <c r="S60" s="15">
        <f>+D60+G60+J60+M60+P60</f>
        <v>0</v>
      </c>
      <c r="T60" s="61">
        <f>+R60+S60</f>
        <v>50000</v>
      </c>
    </row>
    <row r="61" spans="1:20" x14ac:dyDescent="0.2">
      <c r="B61" s="53" t="s">
        <v>74</v>
      </c>
      <c r="C61" s="54">
        <f t="shared" ref="C61:T61" si="50">SUM(C62:C65)</f>
        <v>75000</v>
      </c>
      <c r="D61" s="55">
        <f t="shared" si="50"/>
        <v>0</v>
      </c>
      <c r="E61" s="56">
        <f t="shared" si="50"/>
        <v>75000</v>
      </c>
      <c r="F61" s="54">
        <f t="shared" si="50"/>
        <v>460000</v>
      </c>
      <c r="G61" s="55">
        <f t="shared" si="50"/>
        <v>125000</v>
      </c>
      <c r="H61" s="56">
        <f t="shared" si="50"/>
        <v>585000</v>
      </c>
      <c r="I61" s="54">
        <f t="shared" si="50"/>
        <v>860000</v>
      </c>
      <c r="J61" s="55">
        <f t="shared" si="50"/>
        <v>125000</v>
      </c>
      <c r="K61" s="56">
        <f t="shared" si="50"/>
        <v>985000</v>
      </c>
      <c r="L61" s="54">
        <f t="shared" si="50"/>
        <v>800000</v>
      </c>
      <c r="M61" s="55">
        <f t="shared" si="50"/>
        <v>125000</v>
      </c>
      <c r="N61" s="56">
        <f t="shared" si="50"/>
        <v>925000</v>
      </c>
      <c r="O61" s="54">
        <f t="shared" si="50"/>
        <v>470000</v>
      </c>
      <c r="P61" s="55">
        <f t="shared" si="50"/>
        <v>125000</v>
      </c>
      <c r="Q61" s="56">
        <f t="shared" si="50"/>
        <v>595000</v>
      </c>
      <c r="R61" s="54">
        <f t="shared" si="50"/>
        <v>2665000</v>
      </c>
      <c r="S61" s="55">
        <f t="shared" si="50"/>
        <v>500000</v>
      </c>
      <c r="T61" s="56">
        <f t="shared" si="50"/>
        <v>3165000</v>
      </c>
    </row>
    <row r="62" spans="1:20" x14ac:dyDescent="0.2">
      <c r="B62" s="53" t="s">
        <v>75</v>
      </c>
      <c r="C62" s="60">
        <f>0</f>
        <v>0</v>
      </c>
      <c r="D62" s="15">
        <f>0</f>
        <v>0</v>
      </c>
      <c r="E62" s="61">
        <f>+C62+D62</f>
        <v>0</v>
      </c>
      <c r="F62" s="60">
        <f>40*3000/2</f>
        <v>60000</v>
      </c>
      <c r="G62" s="15">
        <f>0</f>
        <v>0</v>
      </c>
      <c r="H62" s="61">
        <f>+F62+G62</f>
        <v>60000</v>
      </c>
      <c r="I62" s="60">
        <f>40*3000/2</f>
        <v>60000</v>
      </c>
      <c r="J62" s="15">
        <f>0</f>
        <v>0</v>
      </c>
      <c r="K62" s="61">
        <f>+I62+J62</f>
        <v>60000</v>
      </c>
      <c r="L62" s="60">
        <f>0</f>
        <v>0</v>
      </c>
      <c r="M62" s="15">
        <f>0</f>
        <v>0</v>
      </c>
      <c r="N62" s="61">
        <f>+L62+M62</f>
        <v>0</v>
      </c>
      <c r="O62" s="60">
        <f>0</f>
        <v>0</v>
      </c>
      <c r="P62" s="15">
        <f>0</f>
        <v>0</v>
      </c>
      <c r="Q62" s="61">
        <f>+O62+P62</f>
        <v>0</v>
      </c>
      <c r="R62" s="60">
        <f t="shared" ref="R62:S64" si="51">+C62+F62+I62+L62+O62</f>
        <v>120000</v>
      </c>
      <c r="S62" s="15">
        <f t="shared" si="51"/>
        <v>0</v>
      </c>
      <c r="T62" s="61">
        <f>+R62+S62</f>
        <v>120000</v>
      </c>
    </row>
    <row r="63" spans="1:20" x14ac:dyDescent="0.2">
      <c r="B63" s="53" t="s">
        <v>76</v>
      </c>
      <c r="C63" s="60">
        <f>0</f>
        <v>0</v>
      </c>
      <c r="D63" s="15">
        <f>0</f>
        <v>0</v>
      </c>
      <c r="E63" s="61">
        <f>+C63+D63</f>
        <v>0</v>
      </c>
      <c r="F63" s="60">
        <f>400000</f>
        <v>400000</v>
      </c>
      <c r="G63" s="15">
        <f>0</f>
        <v>0</v>
      </c>
      <c r="H63" s="61">
        <f>+F63+G63</f>
        <v>400000</v>
      </c>
      <c r="I63" s="60">
        <f>800000</f>
        <v>800000</v>
      </c>
      <c r="J63" s="15">
        <f>0</f>
        <v>0</v>
      </c>
      <c r="K63" s="61">
        <f>+I63+J63</f>
        <v>800000</v>
      </c>
      <c r="L63" s="60">
        <f>800000</f>
        <v>800000</v>
      </c>
      <c r="M63" s="15">
        <f>0</f>
        <v>0</v>
      </c>
      <c r="N63" s="61">
        <f>+L63+M63</f>
        <v>800000</v>
      </c>
      <c r="O63" s="60">
        <f>470000</f>
        <v>470000</v>
      </c>
      <c r="P63" s="15">
        <f>0</f>
        <v>0</v>
      </c>
      <c r="Q63" s="61">
        <f>+O63+P63</f>
        <v>470000</v>
      </c>
      <c r="R63" s="60">
        <f t="shared" si="51"/>
        <v>2470000</v>
      </c>
      <c r="S63" s="15">
        <f t="shared" si="51"/>
        <v>0</v>
      </c>
      <c r="T63" s="61">
        <f>+R63+S63</f>
        <v>2470000</v>
      </c>
    </row>
    <row r="64" spans="1:20" x14ac:dyDescent="0.2">
      <c r="B64" s="53" t="s">
        <v>77</v>
      </c>
      <c r="C64" s="60">
        <f>75000</f>
        <v>75000</v>
      </c>
      <c r="D64" s="15">
        <f>0</f>
        <v>0</v>
      </c>
      <c r="E64" s="61">
        <f>+C64+D64</f>
        <v>75000</v>
      </c>
      <c r="F64" s="60">
        <f>0</f>
        <v>0</v>
      </c>
      <c r="G64" s="15">
        <f>0</f>
        <v>0</v>
      </c>
      <c r="H64" s="61">
        <f>+F64+G64</f>
        <v>0</v>
      </c>
      <c r="I64" s="60">
        <f>0</f>
        <v>0</v>
      </c>
      <c r="J64" s="15">
        <f>0</f>
        <v>0</v>
      </c>
      <c r="K64" s="61">
        <f>+I64+J64</f>
        <v>0</v>
      </c>
      <c r="L64" s="60">
        <f>0</f>
        <v>0</v>
      </c>
      <c r="M64" s="15">
        <f>0</f>
        <v>0</v>
      </c>
      <c r="N64" s="61">
        <f>+L64+M64</f>
        <v>0</v>
      </c>
      <c r="O64" s="60">
        <f>0</f>
        <v>0</v>
      </c>
      <c r="P64" s="15">
        <f>0</f>
        <v>0</v>
      </c>
      <c r="Q64" s="61">
        <f>+O64+P64</f>
        <v>0</v>
      </c>
      <c r="R64" s="60">
        <f t="shared" si="51"/>
        <v>75000</v>
      </c>
      <c r="S64" s="15">
        <f t="shared" si="51"/>
        <v>0</v>
      </c>
      <c r="T64" s="61">
        <f>+R64+S64</f>
        <v>75000</v>
      </c>
    </row>
    <row r="65" spans="1:20" x14ac:dyDescent="0.2">
      <c r="B65" s="53" t="s">
        <v>78</v>
      </c>
      <c r="C65" s="60">
        <f>0</f>
        <v>0</v>
      </c>
      <c r="D65" s="15">
        <f>0</f>
        <v>0</v>
      </c>
      <c r="E65" s="61">
        <f>+C65+D65</f>
        <v>0</v>
      </c>
      <c r="F65" s="60">
        <f>0</f>
        <v>0</v>
      </c>
      <c r="G65" s="15">
        <f>125000</f>
        <v>125000</v>
      </c>
      <c r="H65" s="61">
        <f>+F65+G65</f>
        <v>125000</v>
      </c>
      <c r="I65" s="60">
        <f>0</f>
        <v>0</v>
      </c>
      <c r="J65" s="15">
        <f>125000</f>
        <v>125000</v>
      </c>
      <c r="K65" s="61">
        <f>+I65+J65</f>
        <v>125000</v>
      </c>
      <c r="L65" s="60">
        <f>0</f>
        <v>0</v>
      </c>
      <c r="M65" s="15">
        <f>125000</f>
        <v>125000</v>
      </c>
      <c r="N65" s="61">
        <f>+L65+M65</f>
        <v>125000</v>
      </c>
      <c r="O65" s="60">
        <f>0</f>
        <v>0</v>
      </c>
      <c r="P65" s="15">
        <f>125000</f>
        <v>125000</v>
      </c>
      <c r="Q65" s="61">
        <f>+O65+P65</f>
        <v>125000</v>
      </c>
      <c r="R65" s="60">
        <f>+C65+F65+I65+L65+O65</f>
        <v>0</v>
      </c>
      <c r="S65" s="15">
        <f>+D65+G65+J65+M65+P65</f>
        <v>500000</v>
      </c>
      <c r="T65" s="61">
        <f>+R65+S65</f>
        <v>500000</v>
      </c>
    </row>
    <row r="66" spans="1:20" x14ac:dyDescent="0.2">
      <c r="B66" s="53" t="s">
        <v>79</v>
      </c>
      <c r="C66" s="54">
        <f>+C67</f>
        <v>155000</v>
      </c>
      <c r="D66" s="55">
        <f t="shared" ref="D66:T66" si="52">+D67</f>
        <v>0</v>
      </c>
      <c r="E66" s="56">
        <f t="shared" si="52"/>
        <v>155000</v>
      </c>
      <c r="F66" s="54">
        <f t="shared" si="52"/>
        <v>0</v>
      </c>
      <c r="G66" s="55">
        <f t="shared" si="52"/>
        <v>0</v>
      </c>
      <c r="H66" s="56">
        <f t="shared" si="52"/>
        <v>0</v>
      </c>
      <c r="I66" s="54">
        <f t="shared" si="52"/>
        <v>0</v>
      </c>
      <c r="J66" s="55">
        <f t="shared" si="52"/>
        <v>0</v>
      </c>
      <c r="K66" s="56">
        <f t="shared" si="52"/>
        <v>0</v>
      </c>
      <c r="L66" s="54">
        <f t="shared" si="52"/>
        <v>0</v>
      </c>
      <c r="M66" s="55">
        <f t="shared" si="52"/>
        <v>0</v>
      </c>
      <c r="N66" s="56">
        <f t="shared" si="52"/>
        <v>0</v>
      </c>
      <c r="O66" s="54">
        <f t="shared" si="52"/>
        <v>0</v>
      </c>
      <c r="P66" s="55">
        <f t="shared" si="52"/>
        <v>0</v>
      </c>
      <c r="Q66" s="56">
        <f t="shared" si="52"/>
        <v>0</v>
      </c>
      <c r="R66" s="54">
        <f t="shared" si="52"/>
        <v>155000</v>
      </c>
      <c r="S66" s="55">
        <f t="shared" si="52"/>
        <v>0</v>
      </c>
      <c r="T66" s="56">
        <f t="shared" si="52"/>
        <v>155000</v>
      </c>
    </row>
    <row r="67" spans="1:20" x14ac:dyDescent="0.2">
      <c r="B67" s="53" t="s">
        <v>80</v>
      </c>
      <c r="C67" s="54">
        <f>SUM(C68)</f>
        <v>155000</v>
      </c>
      <c r="D67" s="55">
        <f t="shared" ref="D67:T67" si="53">SUM(D68)</f>
        <v>0</v>
      </c>
      <c r="E67" s="56">
        <f t="shared" si="53"/>
        <v>155000</v>
      </c>
      <c r="F67" s="54">
        <f t="shared" si="53"/>
        <v>0</v>
      </c>
      <c r="G67" s="55">
        <f t="shared" si="53"/>
        <v>0</v>
      </c>
      <c r="H67" s="56">
        <f t="shared" si="53"/>
        <v>0</v>
      </c>
      <c r="I67" s="54">
        <f t="shared" si="53"/>
        <v>0</v>
      </c>
      <c r="J67" s="55">
        <f t="shared" si="53"/>
        <v>0</v>
      </c>
      <c r="K67" s="56">
        <f t="shared" si="53"/>
        <v>0</v>
      </c>
      <c r="L67" s="54">
        <f t="shared" si="53"/>
        <v>0</v>
      </c>
      <c r="M67" s="55">
        <f t="shared" si="53"/>
        <v>0</v>
      </c>
      <c r="N67" s="56">
        <f t="shared" si="53"/>
        <v>0</v>
      </c>
      <c r="O67" s="54">
        <f t="shared" si="53"/>
        <v>0</v>
      </c>
      <c r="P67" s="55">
        <f t="shared" si="53"/>
        <v>0</v>
      </c>
      <c r="Q67" s="56">
        <f t="shared" si="53"/>
        <v>0</v>
      </c>
      <c r="R67" s="54">
        <f t="shared" si="53"/>
        <v>155000</v>
      </c>
      <c r="S67" s="55">
        <f t="shared" si="53"/>
        <v>0</v>
      </c>
      <c r="T67" s="56">
        <f t="shared" si="53"/>
        <v>155000</v>
      </c>
    </row>
    <row r="68" spans="1:20" x14ac:dyDescent="0.2">
      <c r="B68" s="77" t="s">
        <v>81</v>
      </c>
      <c r="C68" s="66">
        <f>170000-15000</f>
        <v>155000</v>
      </c>
      <c r="D68" s="8">
        <f>0</f>
        <v>0</v>
      </c>
      <c r="E68" s="61">
        <f>+C68+D68</f>
        <v>155000</v>
      </c>
      <c r="F68" s="60">
        <f>0</f>
        <v>0</v>
      </c>
      <c r="G68" s="15">
        <f>0</f>
        <v>0</v>
      </c>
      <c r="H68" s="61">
        <f>+F68+G68</f>
        <v>0</v>
      </c>
      <c r="I68" s="60">
        <f>0</f>
        <v>0</v>
      </c>
      <c r="J68" s="15">
        <f>0</f>
        <v>0</v>
      </c>
      <c r="K68" s="61">
        <f>+I68+J68</f>
        <v>0</v>
      </c>
      <c r="L68" s="60">
        <f>0</f>
        <v>0</v>
      </c>
      <c r="M68" s="15">
        <f>0</f>
        <v>0</v>
      </c>
      <c r="N68" s="61">
        <f>+L68+M68</f>
        <v>0</v>
      </c>
      <c r="O68" s="60">
        <f>0</f>
        <v>0</v>
      </c>
      <c r="P68" s="15">
        <f>0</f>
        <v>0</v>
      </c>
      <c r="Q68" s="61">
        <f>+O68+P68</f>
        <v>0</v>
      </c>
      <c r="R68" s="60">
        <f>+C68+F68+I68+L68+O68</f>
        <v>155000</v>
      </c>
      <c r="S68" s="15">
        <f>+D68+G68+J68+M68+P68</f>
        <v>0</v>
      </c>
      <c r="T68" s="61">
        <f>+R68+S68</f>
        <v>155000</v>
      </c>
    </row>
    <row r="69" spans="1:20" ht="13.5" thickBot="1" x14ac:dyDescent="0.25">
      <c r="B69" s="78" t="s">
        <v>82</v>
      </c>
      <c r="C69" s="79">
        <f>0</f>
        <v>0</v>
      </c>
      <c r="D69" s="80">
        <f>0</f>
        <v>0</v>
      </c>
      <c r="E69" s="81">
        <f>+C69+D69</f>
        <v>0</v>
      </c>
      <c r="F69" s="79">
        <f>0</f>
        <v>0</v>
      </c>
      <c r="G69" s="80">
        <f>0</f>
        <v>0</v>
      </c>
      <c r="H69" s="81">
        <f>+F69+G69</f>
        <v>0</v>
      </c>
      <c r="I69" s="82">
        <v>1800000</v>
      </c>
      <c r="J69" s="83">
        <f>0</f>
        <v>0</v>
      </c>
      <c r="K69" s="84">
        <f>+I69+J69</f>
        <v>1800000</v>
      </c>
      <c r="L69" s="82">
        <v>1900000</v>
      </c>
      <c r="M69" s="83">
        <f>0</f>
        <v>0</v>
      </c>
      <c r="N69" s="84">
        <f>+L69+M69</f>
        <v>1900000</v>
      </c>
      <c r="O69" s="82">
        <v>1800000</v>
      </c>
      <c r="P69" s="83">
        <f>0</f>
        <v>0</v>
      </c>
      <c r="Q69" s="84">
        <f>+O69+P69</f>
        <v>1800000</v>
      </c>
      <c r="R69" s="69">
        <f>+C69+F69+I69+L69+O69</f>
        <v>5500000</v>
      </c>
      <c r="S69" s="70">
        <f>+D69+G69+J69+M69+P69</f>
        <v>0</v>
      </c>
      <c r="T69" s="71">
        <f>+R69+S69</f>
        <v>5500000</v>
      </c>
    </row>
    <row r="70" spans="1:20" ht="14.25" thickTop="1" thickBot="1" x14ac:dyDescent="0.25">
      <c r="B70" s="85" t="s">
        <v>16</v>
      </c>
      <c r="C70" s="47">
        <f t="shared" ref="C70:T70" si="54">+C71+C75+C76</f>
        <v>593000</v>
      </c>
      <c r="D70" s="2">
        <f t="shared" si="54"/>
        <v>80000</v>
      </c>
      <c r="E70" s="48">
        <f t="shared" si="54"/>
        <v>673000</v>
      </c>
      <c r="F70" s="47">
        <f t="shared" si="54"/>
        <v>418800</v>
      </c>
      <c r="G70" s="2">
        <f t="shared" si="54"/>
        <v>80000</v>
      </c>
      <c r="H70" s="48">
        <f t="shared" si="54"/>
        <v>498800</v>
      </c>
      <c r="I70" s="47">
        <f t="shared" si="54"/>
        <v>382800</v>
      </c>
      <c r="J70" s="2">
        <f t="shared" si="54"/>
        <v>80000</v>
      </c>
      <c r="K70" s="48">
        <f t="shared" si="54"/>
        <v>462800</v>
      </c>
      <c r="L70" s="47">
        <f t="shared" si="54"/>
        <v>382800</v>
      </c>
      <c r="M70" s="2">
        <f t="shared" si="54"/>
        <v>80000</v>
      </c>
      <c r="N70" s="48">
        <f t="shared" si="54"/>
        <v>462800</v>
      </c>
      <c r="O70" s="47">
        <f t="shared" si="54"/>
        <v>547200</v>
      </c>
      <c r="P70" s="2">
        <f t="shared" si="54"/>
        <v>80000</v>
      </c>
      <c r="Q70" s="48">
        <f t="shared" si="54"/>
        <v>627200</v>
      </c>
      <c r="R70" s="47">
        <f t="shared" si="54"/>
        <v>2324600</v>
      </c>
      <c r="S70" s="2">
        <f t="shared" si="54"/>
        <v>400000</v>
      </c>
      <c r="T70" s="48">
        <f t="shared" si="54"/>
        <v>2724600</v>
      </c>
    </row>
    <row r="71" spans="1:20" ht="14.25" thickTop="1" thickBot="1" x14ac:dyDescent="0.25">
      <c r="B71" s="49" t="s">
        <v>17</v>
      </c>
      <c r="C71" s="50">
        <f t="shared" ref="C71:T71" si="55">SUM(C72:C74)</f>
        <v>418800</v>
      </c>
      <c r="D71" s="51">
        <f t="shared" si="55"/>
        <v>0</v>
      </c>
      <c r="E71" s="52">
        <f t="shared" si="55"/>
        <v>418800</v>
      </c>
      <c r="F71" s="50">
        <f t="shared" si="55"/>
        <v>418800</v>
      </c>
      <c r="G71" s="51">
        <f t="shared" si="55"/>
        <v>0</v>
      </c>
      <c r="H71" s="52">
        <f t="shared" si="55"/>
        <v>418800</v>
      </c>
      <c r="I71" s="50">
        <f t="shared" si="55"/>
        <v>382800</v>
      </c>
      <c r="J71" s="51">
        <f t="shared" si="55"/>
        <v>0</v>
      </c>
      <c r="K71" s="52">
        <f t="shared" si="55"/>
        <v>382800</v>
      </c>
      <c r="L71" s="50">
        <f t="shared" si="55"/>
        <v>382800</v>
      </c>
      <c r="M71" s="51">
        <f t="shared" si="55"/>
        <v>0</v>
      </c>
      <c r="N71" s="52">
        <f t="shared" si="55"/>
        <v>382800</v>
      </c>
      <c r="O71" s="50">
        <f t="shared" si="55"/>
        <v>547200</v>
      </c>
      <c r="P71" s="51">
        <f t="shared" si="55"/>
        <v>0</v>
      </c>
      <c r="Q71" s="52">
        <f t="shared" si="55"/>
        <v>547200</v>
      </c>
      <c r="R71" s="50">
        <f t="shared" si="55"/>
        <v>2150400</v>
      </c>
      <c r="S71" s="51">
        <f t="shared" si="55"/>
        <v>0</v>
      </c>
      <c r="T71" s="52">
        <f t="shared" si="55"/>
        <v>2150400</v>
      </c>
    </row>
    <row r="72" spans="1:20" x14ac:dyDescent="0.2">
      <c r="B72" s="86" t="s">
        <v>18</v>
      </c>
      <c r="C72" s="66">
        <f>+COST.ADMIN.SALARIOS!$D$13+COST.ADMIN.SALARIOS!$D$14+COST.ADMIN.SALARIOS!$D$15+COST.ADMIN.SALARIOS!$D$16+COST.ADMIN.SALARIOS!D17</f>
        <v>258000</v>
      </c>
      <c r="D72" s="8">
        <f>0</f>
        <v>0</v>
      </c>
      <c r="E72" s="67">
        <f>+C72+D72</f>
        <v>258000</v>
      </c>
      <c r="F72" s="66">
        <f>+COST.ADMIN.SALARIOS!$D$13+COST.ADMIN.SALARIOS!$D$14+COST.ADMIN.SALARIOS!$D$15+COST.ADMIN.SALARIOS!$D$16+COST.ADMIN.SALARIOS!$D$17</f>
        <v>258000</v>
      </c>
      <c r="G72" s="8">
        <f>0</f>
        <v>0</v>
      </c>
      <c r="H72" s="67">
        <f>+F72+G72</f>
        <v>258000</v>
      </c>
      <c r="I72" s="66">
        <f>+COST.ADMIN.SALARIOS!$D$13+COST.ADMIN.SALARIOS!$D$14+COST.ADMIN.SALARIOS!$D$15+(3500*12)+COST.ADMIN.SALARIOS!$D$17</f>
        <v>222000</v>
      </c>
      <c r="J72" s="8">
        <f>0</f>
        <v>0</v>
      </c>
      <c r="K72" s="67">
        <f>+I72+J72</f>
        <v>222000</v>
      </c>
      <c r="L72" s="66">
        <f>+COST.ADMIN.SALARIOS!$D$13+COST.ADMIN.SALARIOS!$D$14+COST.ADMIN.SALARIOS!$D$15+(3500*12)+COST.ADMIN.SALARIOS!$D$17</f>
        <v>222000</v>
      </c>
      <c r="M72" s="8">
        <f>0</f>
        <v>0</v>
      </c>
      <c r="N72" s="67">
        <f>+L72+M72</f>
        <v>222000</v>
      </c>
      <c r="O72" s="66">
        <f>+COST.ADMIN.SALARIOS!$D$13+COST.ADMIN.SALARIOS!$D$14+COST.ADMIN.SALARIOS!$D$15+(3500*12)+COST.ADMIN.SALARIOS!$D$12+COST.ADMIN.SALARIOS!$D$17</f>
        <v>289200</v>
      </c>
      <c r="P72" s="8">
        <f>0</f>
        <v>0</v>
      </c>
      <c r="Q72" s="67">
        <f>+O72+P72</f>
        <v>289200</v>
      </c>
      <c r="R72" s="66">
        <f t="shared" ref="R72:S76" si="56">+C72+F72+I72+L72+O72</f>
        <v>1249200</v>
      </c>
      <c r="S72" s="8">
        <f t="shared" si="56"/>
        <v>0</v>
      </c>
      <c r="T72" s="67">
        <f>+R72+S72</f>
        <v>1249200</v>
      </c>
    </row>
    <row r="73" spans="1:20" x14ac:dyDescent="0.2">
      <c r="A73" s="45"/>
      <c r="B73" s="87" t="s">
        <v>19</v>
      </c>
      <c r="C73" s="60">
        <f>+COST.ADMIN.SALARIOS!$D$21+COST.ADMIN.SALARIOS!$D$22+COST.ADMIN.SALARIOS!$D$23+COST.ADMIN.SALARIOS!$D$24+COST.ADMIN.SALARIOS!$D$25+COST.ADMIN.SALARIOS!$D$26+COST.ADMIN.SALARIOS!$D$27</f>
        <v>132000</v>
      </c>
      <c r="D73" s="15">
        <f>0</f>
        <v>0</v>
      </c>
      <c r="E73" s="61">
        <f>+C73+D73</f>
        <v>132000</v>
      </c>
      <c r="F73" s="60">
        <f>+COST.ADMIN.SALARIOS!$D$21+COST.ADMIN.SALARIOS!$D$22+COST.ADMIN.SALARIOS!$D$23+COST.ADMIN.SALARIOS!$D$24+COST.ADMIN.SALARIOS!$D$25+COST.ADMIN.SALARIOS!$D$26+COST.ADMIN.SALARIOS!$D$27</f>
        <v>132000</v>
      </c>
      <c r="G73" s="15">
        <f>0</f>
        <v>0</v>
      </c>
      <c r="H73" s="61">
        <f>+F73+G73</f>
        <v>132000</v>
      </c>
      <c r="I73" s="60">
        <f>+COST.ADMIN.SALARIOS!$D$21+COST.ADMIN.SALARIOS!$D$22+COST.ADMIN.SALARIOS!$D$23+COST.ADMIN.SALARIOS!$D$24+COST.ADMIN.SALARIOS!$D$25+COST.ADMIN.SALARIOS!$D$26+COST.ADMIN.SALARIOS!$D$27</f>
        <v>132000</v>
      </c>
      <c r="J73" s="15">
        <f>0</f>
        <v>0</v>
      </c>
      <c r="K73" s="61">
        <f>+I73+J73</f>
        <v>132000</v>
      </c>
      <c r="L73" s="60">
        <f>+COST.ADMIN.SALARIOS!$D$21+COST.ADMIN.SALARIOS!$D$22+COST.ADMIN.SALARIOS!$D$23+COST.ADMIN.SALARIOS!$D$24+COST.ADMIN.SALARIOS!$D$25+COST.ADMIN.SALARIOS!$D$26+COST.ADMIN.SALARIOS!$D$27</f>
        <v>132000</v>
      </c>
      <c r="M73" s="15">
        <f>0</f>
        <v>0</v>
      </c>
      <c r="N73" s="61">
        <f>+L73+M73</f>
        <v>132000</v>
      </c>
      <c r="O73" s="60">
        <f>+COST.ADMIN.SALARIOS!$D$19+COST.ADMIN.SALARIOS!$D$20+COST.ADMIN.SALARIOS!$D$21+COST.ADMIN.SALARIOS!$D$22+COST.ADMIN.SALARIOS!$D$23+COST.ADMIN.SALARIOS!$D$24+COST.ADMIN.SALARIOS!$D$25+COST.ADMIN.SALARIOS!$D$26+COST.ADMIN.SALARIOS!$D$27</f>
        <v>229200</v>
      </c>
      <c r="P73" s="15">
        <f>0</f>
        <v>0</v>
      </c>
      <c r="Q73" s="61">
        <f>+O73+P73</f>
        <v>229200</v>
      </c>
      <c r="R73" s="60">
        <f t="shared" si="56"/>
        <v>757200</v>
      </c>
      <c r="S73" s="15">
        <f t="shared" si="56"/>
        <v>0</v>
      </c>
      <c r="T73" s="61">
        <f>+R73+S73</f>
        <v>757200</v>
      </c>
    </row>
    <row r="74" spans="1:20" ht="13.5" thickBot="1" x14ac:dyDescent="0.25">
      <c r="B74" s="87" t="s">
        <v>20</v>
      </c>
      <c r="C74" s="60">
        <f>+COST.ADMIN.SALARIOS!$D$29*2</f>
        <v>28800</v>
      </c>
      <c r="D74" s="15">
        <f>0</f>
        <v>0</v>
      </c>
      <c r="E74" s="67">
        <f>+C74+D74</f>
        <v>28800</v>
      </c>
      <c r="F74" s="60">
        <f>+COST.ADMIN.SALARIOS!$D$29*2</f>
        <v>28800</v>
      </c>
      <c r="G74" s="15">
        <f>0</f>
        <v>0</v>
      </c>
      <c r="H74" s="67">
        <f>+F74+G74</f>
        <v>28800</v>
      </c>
      <c r="I74" s="60">
        <f>+COST.ADMIN.SALARIOS!$D$29*2</f>
        <v>28800</v>
      </c>
      <c r="J74" s="15">
        <f>0</f>
        <v>0</v>
      </c>
      <c r="K74" s="67">
        <f>+I74+J74</f>
        <v>28800</v>
      </c>
      <c r="L74" s="60">
        <f>+COST.ADMIN.SALARIOS!$D$29*2</f>
        <v>28800</v>
      </c>
      <c r="M74" s="15">
        <f>0</f>
        <v>0</v>
      </c>
      <c r="N74" s="67">
        <f>+L74+M74</f>
        <v>28800</v>
      </c>
      <c r="O74" s="60">
        <f>+COST.ADMIN.SALARIOS!$D$29*2</f>
        <v>28800</v>
      </c>
      <c r="P74" s="15">
        <f>0</f>
        <v>0</v>
      </c>
      <c r="Q74" s="67">
        <f>+O74+P74</f>
        <v>28800</v>
      </c>
      <c r="R74" s="66">
        <f t="shared" si="56"/>
        <v>144000</v>
      </c>
      <c r="S74" s="8">
        <f t="shared" si="56"/>
        <v>0</v>
      </c>
      <c r="T74" s="67">
        <f>+R74+S74</f>
        <v>144000</v>
      </c>
    </row>
    <row r="75" spans="1:20" ht="13.5" thickBot="1" x14ac:dyDescent="0.25">
      <c r="A75" s="45"/>
      <c r="B75" s="88" t="s">
        <v>21</v>
      </c>
      <c r="C75" s="89">
        <f>+COST.ADMIN.ACTIVOS!E36</f>
        <v>174200</v>
      </c>
      <c r="D75" s="90">
        <f>0</f>
        <v>0</v>
      </c>
      <c r="E75" s="91">
        <f>+C75+D75</f>
        <v>174200</v>
      </c>
      <c r="F75" s="89">
        <f>0</f>
        <v>0</v>
      </c>
      <c r="G75" s="90">
        <f>0</f>
        <v>0</v>
      </c>
      <c r="H75" s="91">
        <f>+F75+G75</f>
        <v>0</v>
      </c>
      <c r="I75" s="89">
        <f>0</f>
        <v>0</v>
      </c>
      <c r="J75" s="90">
        <f>0</f>
        <v>0</v>
      </c>
      <c r="K75" s="91">
        <f>+I75+J75</f>
        <v>0</v>
      </c>
      <c r="L75" s="89">
        <f>0</f>
        <v>0</v>
      </c>
      <c r="M75" s="90">
        <f>0</f>
        <v>0</v>
      </c>
      <c r="N75" s="91">
        <f>+L75+M75</f>
        <v>0</v>
      </c>
      <c r="O75" s="89">
        <f>0</f>
        <v>0</v>
      </c>
      <c r="P75" s="90">
        <f>0</f>
        <v>0</v>
      </c>
      <c r="Q75" s="91">
        <f>+O75+P75</f>
        <v>0</v>
      </c>
      <c r="R75" s="89">
        <f t="shared" si="56"/>
        <v>174200</v>
      </c>
      <c r="S75" s="90">
        <f t="shared" si="56"/>
        <v>0</v>
      </c>
      <c r="T75" s="91">
        <f>+R75+S75</f>
        <v>174200</v>
      </c>
    </row>
    <row r="76" spans="1:20" ht="13.5" thickBot="1" x14ac:dyDescent="0.25">
      <c r="B76" s="92" t="s">
        <v>22</v>
      </c>
      <c r="C76" s="93">
        <f>0</f>
        <v>0</v>
      </c>
      <c r="D76" s="94">
        <f>+COST.ADMIN.OPER.!$E$37/5</f>
        <v>80000</v>
      </c>
      <c r="E76" s="95">
        <f>+C76+D76</f>
        <v>80000</v>
      </c>
      <c r="F76" s="93">
        <f>0</f>
        <v>0</v>
      </c>
      <c r="G76" s="94">
        <f>+COST.ADMIN.OPER.!$E$37/5</f>
        <v>80000</v>
      </c>
      <c r="H76" s="95">
        <f>+F76+G76</f>
        <v>80000</v>
      </c>
      <c r="I76" s="93">
        <f>0</f>
        <v>0</v>
      </c>
      <c r="J76" s="94">
        <f>+COST.ADMIN.OPER.!$E$37/5</f>
        <v>80000</v>
      </c>
      <c r="K76" s="95">
        <f>+I76+J76</f>
        <v>80000</v>
      </c>
      <c r="L76" s="93">
        <f>0</f>
        <v>0</v>
      </c>
      <c r="M76" s="94">
        <f>+COST.ADMIN.OPER.!$E$37/5</f>
        <v>80000</v>
      </c>
      <c r="N76" s="95">
        <f>+L76+M76</f>
        <v>80000</v>
      </c>
      <c r="O76" s="93">
        <f>0</f>
        <v>0</v>
      </c>
      <c r="P76" s="94">
        <f>+COST.ADMIN.OPER.!$E$37/5</f>
        <v>80000</v>
      </c>
      <c r="Q76" s="95">
        <f>+O76+P76</f>
        <v>80000</v>
      </c>
      <c r="R76" s="96">
        <f t="shared" si="56"/>
        <v>0</v>
      </c>
      <c r="S76" s="97">
        <f t="shared" si="56"/>
        <v>400000</v>
      </c>
      <c r="T76" s="95">
        <f>+R76+S76</f>
        <v>400000</v>
      </c>
    </row>
    <row r="77" spans="1:20" ht="14.25" thickTop="1" thickBot="1" x14ac:dyDescent="0.25">
      <c r="B77" s="85" t="s">
        <v>23</v>
      </c>
      <c r="C77" s="47">
        <f t="shared" ref="C77:T77" si="57">+C78</f>
        <v>50000</v>
      </c>
      <c r="D77" s="2">
        <f t="shared" si="57"/>
        <v>0</v>
      </c>
      <c r="E77" s="48">
        <f t="shared" si="57"/>
        <v>50000</v>
      </c>
      <c r="F77" s="47">
        <f t="shared" si="57"/>
        <v>50000</v>
      </c>
      <c r="G77" s="2">
        <f t="shared" si="57"/>
        <v>0</v>
      </c>
      <c r="H77" s="48">
        <f t="shared" si="57"/>
        <v>50000</v>
      </c>
      <c r="I77" s="47">
        <f t="shared" si="57"/>
        <v>50000</v>
      </c>
      <c r="J77" s="2">
        <f t="shared" si="57"/>
        <v>0</v>
      </c>
      <c r="K77" s="48">
        <f t="shared" si="57"/>
        <v>50000</v>
      </c>
      <c r="L77" s="47">
        <f t="shared" si="57"/>
        <v>50000</v>
      </c>
      <c r="M77" s="2">
        <f t="shared" si="57"/>
        <v>0</v>
      </c>
      <c r="N77" s="48">
        <f t="shared" si="57"/>
        <v>50000</v>
      </c>
      <c r="O77" s="47">
        <f t="shared" si="57"/>
        <v>50000</v>
      </c>
      <c r="P77" s="2">
        <f t="shared" si="57"/>
        <v>0</v>
      </c>
      <c r="Q77" s="48">
        <f t="shared" si="57"/>
        <v>50000</v>
      </c>
      <c r="R77" s="47">
        <f t="shared" si="57"/>
        <v>250000</v>
      </c>
      <c r="S77" s="2">
        <f t="shared" si="57"/>
        <v>0</v>
      </c>
      <c r="T77" s="48">
        <f t="shared" si="57"/>
        <v>250000</v>
      </c>
    </row>
    <row r="78" spans="1:20" ht="14.25" thickTop="1" thickBot="1" x14ac:dyDescent="0.25">
      <c r="B78" s="98" t="s">
        <v>24</v>
      </c>
      <c r="C78" s="99">
        <f>50000</f>
        <v>50000</v>
      </c>
      <c r="D78" s="100">
        <v>0</v>
      </c>
      <c r="E78" s="101">
        <f>+C78+D78</f>
        <v>50000</v>
      </c>
      <c r="F78" s="99">
        <f>50000</f>
        <v>50000</v>
      </c>
      <c r="G78" s="100">
        <v>0</v>
      </c>
      <c r="H78" s="101">
        <f>+F78+G78</f>
        <v>50000</v>
      </c>
      <c r="I78" s="99">
        <f>50000</f>
        <v>50000</v>
      </c>
      <c r="J78" s="100">
        <v>0</v>
      </c>
      <c r="K78" s="101">
        <f>+I78+J78</f>
        <v>50000</v>
      </c>
      <c r="L78" s="99">
        <f>50000</f>
        <v>50000</v>
      </c>
      <c r="M78" s="100">
        <v>0</v>
      </c>
      <c r="N78" s="101">
        <f>+L78+M78</f>
        <v>50000</v>
      </c>
      <c r="O78" s="99">
        <f>50000</f>
        <v>50000</v>
      </c>
      <c r="P78" s="100">
        <v>0</v>
      </c>
      <c r="Q78" s="101">
        <f>+O78+P78</f>
        <v>50000</v>
      </c>
      <c r="R78" s="102">
        <f>+C78+F78+I78+L78+O78</f>
        <v>250000</v>
      </c>
      <c r="S78" s="103">
        <f>+D78+G78+J78+M78+P78</f>
        <v>0</v>
      </c>
      <c r="T78" s="101">
        <f>+R78+S78</f>
        <v>250000</v>
      </c>
    </row>
    <row r="79" spans="1:20" ht="14.25" thickTop="1" thickBot="1" x14ac:dyDescent="0.25">
      <c r="B79" s="85" t="s">
        <v>25</v>
      </c>
      <c r="C79" s="47">
        <f>SUM(C80:C82)</f>
        <v>70000</v>
      </c>
      <c r="D79" s="2">
        <f>SUM(D80:D81)</f>
        <v>0</v>
      </c>
      <c r="E79" s="48">
        <f>SUM(E80:E82)</f>
        <v>70000</v>
      </c>
      <c r="F79" s="47">
        <f>SUM(F80:F81)</f>
        <v>0</v>
      </c>
      <c r="G79" s="2">
        <f>SUM(G80:G81)</f>
        <v>0</v>
      </c>
      <c r="H79" s="48">
        <f>SUM(H80:H82)</f>
        <v>0</v>
      </c>
      <c r="I79" s="47">
        <f>SUM(I80:I82)</f>
        <v>90000</v>
      </c>
      <c r="J79" s="2">
        <f>SUM(J80:J81)</f>
        <v>0</v>
      </c>
      <c r="K79" s="48">
        <f>SUM(K80:K81)</f>
        <v>90000</v>
      </c>
      <c r="L79" s="47">
        <f>SUM(L80:L82)</f>
        <v>0</v>
      </c>
      <c r="M79" s="2">
        <f>SUM(M80:M82)</f>
        <v>0</v>
      </c>
      <c r="N79" s="48">
        <f>SUM(N80:N81)</f>
        <v>0</v>
      </c>
      <c r="O79" s="47">
        <f>SUM(O80:O82)</f>
        <v>90000</v>
      </c>
      <c r="P79" s="2">
        <f>SUM(P80:P81)</f>
        <v>0</v>
      </c>
      <c r="Q79" s="48">
        <f>SUM(Q80:Q81)</f>
        <v>80000</v>
      </c>
      <c r="R79" s="47">
        <f>SUM(R80:R82)</f>
        <v>250000</v>
      </c>
      <c r="S79" s="2">
        <f>SUM(S80:S81)</f>
        <v>0</v>
      </c>
      <c r="T79" s="48">
        <f>SUM(T80:T82)</f>
        <v>250000</v>
      </c>
    </row>
    <row r="80" spans="1:20" ht="14.25" thickTop="1" thickBot="1" x14ac:dyDescent="0.25">
      <c r="B80" s="104" t="s">
        <v>219</v>
      </c>
      <c r="C80" s="105">
        <v>10000</v>
      </c>
      <c r="D80" s="106">
        <f>0</f>
        <v>0</v>
      </c>
      <c r="E80" s="107">
        <f>+C80+D80</f>
        <v>10000</v>
      </c>
      <c r="F80" s="105">
        <f>0</f>
        <v>0</v>
      </c>
      <c r="G80" s="106">
        <f>0</f>
        <v>0</v>
      </c>
      <c r="H80" s="107">
        <f>+F80+G80</f>
        <v>0</v>
      </c>
      <c r="I80" s="105">
        <v>25000</v>
      </c>
      <c r="J80" s="106">
        <f>0</f>
        <v>0</v>
      </c>
      <c r="K80" s="107">
        <f>+I80+J80</f>
        <v>25000</v>
      </c>
      <c r="L80" s="105">
        <f>0</f>
        <v>0</v>
      </c>
      <c r="M80" s="106">
        <f>0</f>
        <v>0</v>
      </c>
      <c r="N80" s="107">
        <f>+L80+M80</f>
        <v>0</v>
      </c>
      <c r="O80" s="105">
        <v>15000</v>
      </c>
      <c r="P80" s="106">
        <f>0</f>
        <v>0</v>
      </c>
      <c r="Q80" s="107">
        <f>+O80+P80</f>
        <v>15000</v>
      </c>
      <c r="R80" s="102">
        <f t="shared" ref="R80:S83" si="58">+C80+F80+I80+L80+O80</f>
        <v>50000</v>
      </c>
      <c r="S80" s="103">
        <f t="shared" si="58"/>
        <v>0</v>
      </c>
      <c r="T80" s="107">
        <f>+R80+S80</f>
        <v>50000</v>
      </c>
    </row>
    <row r="81" spans="2:20" ht="13.5" thickBot="1" x14ac:dyDescent="0.25">
      <c r="B81" s="108" t="s">
        <v>221</v>
      </c>
      <c r="C81" s="96">
        <v>60000</v>
      </c>
      <c r="D81" s="97">
        <f>0</f>
        <v>0</v>
      </c>
      <c r="E81" s="95">
        <f>+C81+D81</f>
        <v>60000</v>
      </c>
      <c r="F81" s="96">
        <f>0</f>
        <v>0</v>
      </c>
      <c r="G81" s="97">
        <f>0</f>
        <v>0</v>
      </c>
      <c r="H81" s="95">
        <f>+F81+G81</f>
        <v>0</v>
      </c>
      <c r="I81" s="96">
        <v>65000</v>
      </c>
      <c r="J81" s="97">
        <f>0</f>
        <v>0</v>
      </c>
      <c r="K81" s="95">
        <f>+I81+J81</f>
        <v>65000</v>
      </c>
      <c r="L81" s="96">
        <f>0</f>
        <v>0</v>
      </c>
      <c r="M81" s="97">
        <f>0</f>
        <v>0</v>
      </c>
      <c r="N81" s="95">
        <f>+L81+M81</f>
        <v>0</v>
      </c>
      <c r="O81" s="96">
        <v>65000</v>
      </c>
      <c r="P81" s="97">
        <v>0</v>
      </c>
      <c r="Q81" s="95">
        <f>+O81+P81</f>
        <v>65000</v>
      </c>
      <c r="R81" s="96">
        <f t="shared" si="58"/>
        <v>190000</v>
      </c>
      <c r="S81" s="97">
        <f t="shared" si="58"/>
        <v>0</v>
      </c>
      <c r="T81" s="95">
        <f>+R81+S81</f>
        <v>190000</v>
      </c>
    </row>
    <row r="82" spans="2:20" ht="14.25" thickTop="1" thickBot="1" x14ac:dyDescent="0.25">
      <c r="B82" s="248" t="s">
        <v>216</v>
      </c>
      <c r="C82" s="249"/>
      <c r="D82" s="250"/>
      <c r="E82" s="251"/>
      <c r="F82" s="249"/>
      <c r="G82" s="250"/>
      <c r="H82" s="251"/>
      <c r="I82" s="249"/>
      <c r="J82" s="250"/>
      <c r="K82" s="251"/>
      <c r="L82" s="249"/>
      <c r="M82" s="250"/>
      <c r="N82" s="251"/>
      <c r="O82" s="249">
        <v>10000</v>
      </c>
      <c r="P82" s="250"/>
      <c r="Q82" s="251">
        <f>SUM(O82:P82)</f>
        <v>10000</v>
      </c>
      <c r="R82" s="249">
        <f>SUM(O82,L82,I82,C82,F82)</f>
        <v>10000</v>
      </c>
      <c r="S82" s="250"/>
      <c r="T82" s="251">
        <f>SUM(Q82,N82,K82,H82,E82)</f>
        <v>10000</v>
      </c>
    </row>
    <row r="83" spans="2:20" ht="14.25" thickTop="1" thickBot="1" x14ac:dyDescent="0.25">
      <c r="B83" s="85" t="s">
        <v>26</v>
      </c>
      <c r="C83" s="47">
        <v>35080</v>
      </c>
      <c r="D83" s="2">
        <f>0</f>
        <v>0</v>
      </c>
      <c r="E83" s="48">
        <f>+C83+D83</f>
        <v>35080</v>
      </c>
      <c r="F83" s="47">
        <v>35080</v>
      </c>
      <c r="G83" s="2">
        <f>0</f>
        <v>0</v>
      </c>
      <c r="H83" s="48">
        <f>+F83+G83</f>
        <v>35080</v>
      </c>
      <c r="I83" s="47">
        <v>35080</v>
      </c>
      <c r="J83" s="2">
        <f>0</f>
        <v>0</v>
      </c>
      <c r="K83" s="48">
        <f>+I83+J83</f>
        <v>35080</v>
      </c>
      <c r="L83" s="47">
        <v>35080</v>
      </c>
      <c r="M83" s="2">
        <f>0</f>
        <v>0</v>
      </c>
      <c r="N83" s="48">
        <f>+L83+M83</f>
        <v>35080</v>
      </c>
      <c r="O83" s="47">
        <v>35080</v>
      </c>
      <c r="P83" s="2">
        <f>0</f>
        <v>0</v>
      </c>
      <c r="Q83" s="48">
        <f>+O83+P83</f>
        <v>35080</v>
      </c>
      <c r="R83" s="109">
        <f>+C83+F83+I83+L83+O83</f>
        <v>175400</v>
      </c>
      <c r="S83" s="110">
        <f t="shared" si="58"/>
        <v>0</v>
      </c>
      <c r="T83" s="48">
        <f>+R83+S83</f>
        <v>175400</v>
      </c>
    </row>
    <row r="84" spans="2:20" ht="14.25" thickTop="1" thickBot="1" x14ac:dyDescent="0.25">
      <c r="B84" s="111" t="s">
        <v>27</v>
      </c>
      <c r="C84" s="112">
        <f t="shared" ref="C84:T84" si="59">+C12+C70+C77+C79+C83</f>
        <v>4635080</v>
      </c>
      <c r="D84" s="39">
        <f t="shared" si="59"/>
        <v>280000</v>
      </c>
      <c r="E84" s="113">
        <f t="shared" si="59"/>
        <v>4915080</v>
      </c>
      <c r="F84" s="112">
        <f t="shared" si="59"/>
        <v>8935880</v>
      </c>
      <c r="G84" s="39">
        <f t="shared" si="59"/>
        <v>955000</v>
      </c>
      <c r="H84" s="113">
        <f t="shared" si="59"/>
        <v>9890880</v>
      </c>
      <c r="I84" s="112">
        <f t="shared" si="59"/>
        <v>10957880</v>
      </c>
      <c r="J84" s="39">
        <f t="shared" si="59"/>
        <v>955000</v>
      </c>
      <c r="K84" s="113">
        <f t="shared" si="59"/>
        <v>11912880</v>
      </c>
      <c r="L84" s="112">
        <f t="shared" si="59"/>
        <v>6463880</v>
      </c>
      <c r="M84" s="39">
        <f t="shared" si="59"/>
        <v>555000</v>
      </c>
      <c r="N84" s="113">
        <f t="shared" si="59"/>
        <v>7018880</v>
      </c>
      <c r="O84" s="112">
        <f t="shared" si="59"/>
        <v>4007280</v>
      </c>
      <c r="P84" s="39">
        <f t="shared" si="59"/>
        <v>555000</v>
      </c>
      <c r="Q84" s="113">
        <f t="shared" si="59"/>
        <v>4552280</v>
      </c>
      <c r="R84" s="112">
        <f t="shared" si="59"/>
        <v>35000000</v>
      </c>
      <c r="S84" s="39">
        <f t="shared" si="59"/>
        <v>3300000</v>
      </c>
      <c r="T84" s="113">
        <f t="shared" si="59"/>
        <v>38300000</v>
      </c>
    </row>
    <row r="85" spans="2:20" ht="13.5" thickTop="1" x14ac:dyDescent="0.2"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</row>
    <row r="86" spans="2:20" ht="13.5" thickBot="1" x14ac:dyDescent="0.25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</row>
    <row r="87" spans="2:20" ht="14.25" thickTop="1" thickBot="1" x14ac:dyDescent="0.25">
      <c r="B87" s="269" t="s">
        <v>83</v>
      </c>
      <c r="C87" s="114" t="s">
        <v>84</v>
      </c>
      <c r="D87" s="114" t="s">
        <v>85</v>
      </c>
      <c r="E87" s="114" t="s">
        <v>86</v>
      </c>
      <c r="F87" s="114" t="s">
        <v>87</v>
      </c>
      <c r="G87" s="114" t="s">
        <v>88</v>
      </c>
      <c r="H87" s="115" t="s">
        <v>89</v>
      </c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</row>
    <row r="88" spans="2:20" ht="13.5" thickBot="1" x14ac:dyDescent="0.25">
      <c r="B88" s="270"/>
      <c r="C88" s="116">
        <f>+C84/$R$84</f>
        <v>0.13243085714285716</v>
      </c>
      <c r="D88" s="116">
        <f>+F84/$R$84</f>
        <v>0.25531085714285712</v>
      </c>
      <c r="E88" s="116">
        <f>+I84/$R$84</f>
        <v>0.3130822857142857</v>
      </c>
      <c r="F88" s="116">
        <f>+L84/$R$84</f>
        <v>0.18468228571428572</v>
      </c>
      <c r="G88" s="116">
        <f>+O84/$R$84</f>
        <v>0.11449371428571428</v>
      </c>
      <c r="H88" s="117">
        <f>SUM(C88:G88)</f>
        <v>0.99999999999999989</v>
      </c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</row>
    <row r="89" spans="2:20" ht="13.5" thickTop="1" x14ac:dyDescent="0.2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</row>
    <row r="90" spans="2:20" x14ac:dyDescent="0.2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</row>
    <row r="91" spans="2:20" x14ac:dyDescent="0.2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</row>
  </sheetData>
  <mergeCells count="31">
    <mergeCell ref="O10:O11"/>
    <mergeCell ref="P10:P11"/>
    <mergeCell ref="B9:B11"/>
    <mergeCell ref="O9:Q9"/>
    <mergeCell ref="R9:T9"/>
    <mergeCell ref="C10:C11"/>
    <mergeCell ref="D10:D11"/>
    <mergeCell ref="E10:E11"/>
    <mergeCell ref="F10:F11"/>
    <mergeCell ref="L9:N9"/>
    <mergeCell ref="B87:B88"/>
    <mergeCell ref="K10:K11"/>
    <mergeCell ref="L10:L11"/>
    <mergeCell ref="M10:M11"/>
    <mergeCell ref="N10:N11"/>
    <mergeCell ref="Q10:Q11"/>
    <mergeCell ref="R10:R11"/>
    <mergeCell ref="B2:T2"/>
    <mergeCell ref="B3:T3"/>
    <mergeCell ref="B4:T4"/>
    <mergeCell ref="B6:T6"/>
    <mergeCell ref="B7:T7"/>
    <mergeCell ref="G10:G11"/>
    <mergeCell ref="H10:H11"/>
    <mergeCell ref="I10:I11"/>
    <mergeCell ref="J10:J11"/>
    <mergeCell ref="C9:E9"/>
    <mergeCell ref="F9:H9"/>
    <mergeCell ref="I9:K9"/>
    <mergeCell ref="S10:S11"/>
    <mergeCell ref="T10:T1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workbookViewId="0">
      <selection activeCell="C26" sqref="C26"/>
    </sheetView>
  </sheetViews>
  <sheetFormatPr defaultRowHeight="12.75" x14ac:dyDescent="0.2"/>
  <cols>
    <col min="2" max="2" width="53.28515625" customWidth="1"/>
    <col min="3" max="4" width="12.7109375" customWidth="1"/>
    <col min="5" max="5" width="63.5703125" customWidth="1"/>
    <col min="6" max="8" width="12.7109375" customWidth="1"/>
  </cols>
  <sheetData>
    <row r="1" spans="1:8" x14ac:dyDescent="0.2">
      <c r="A1" s="43"/>
      <c r="B1" s="43"/>
      <c r="C1" s="43"/>
      <c r="D1" s="43"/>
      <c r="E1" s="43"/>
      <c r="F1" s="43"/>
      <c r="G1" s="43"/>
      <c r="H1" s="43"/>
    </row>
    <row r="2" spans="1:8" x14ac:dyDescent="0.2">
      <c r="A2" s="43"/>
      <c r="B2" s="257" t="s">
        <v>90</v>
      </c>
      <c r="C2" s="257"/>
      <c r="D2" s="257"/>
      <c r="E2" s="257"/>
      <c r="F2" s="257"/>
      <c r="G2" s="257"/>
      <c r="H2" s="257"/>
    </row>
    <row r="3" spans="1:8" x14ac:dyDescent="0.2">
      <c r="A3" s="43"/>
      <c r="B3" s="257" t="s">
        <v>91</v>
      </c>
      <c r="C3" s="257"/>
      <c r="D3" s="257"/>
      <c r="E3" s="257"/>
      <c r="F3" s="257"/>
      <c r="G3" s="257"/>
      <c r="H3" s="257"/>
    </row>
    <row r="4" spans="1:8" x14ac:dyDescent="0.2">
      <c r="A4" s="43"/>
      <c r="B4" s="257" t="s">
        <v>2</v>
      </c>
      <c r="C4" s="257"/>
      <c r="D4" s="257"/>
      <c r="E4" s="257"/>
      <c r="F4" s="257"/>
      <c r="G4" s="257"/>
      <c r="H4" s="257"/>
    </row>
    <row r="5" spans="1:8" x14ac:dyDescent="0.2">
      <c r="A5" s="43"/>
      <c r="B5" s="257"/>
      <c r="C5" s="257"/>
      <c r="D5" s="257"/>
      <c r="E5" s="257"/>
      <c r="F5" s="257"/>
      <c r="G5" s="257"/>
      <c r="H5" s="257"/>
    </row>
    <row r="6" spans="1:8" x14ac:dyDescent="0.2">
      <c r="A6" s="43"/>
      <c r="B6" s="257" t="s">
        <v>92</v>
      </c>
      <c r="C6" s="257"/>
      <c r="D6" s="257"/>
      <c r="E6" s="257"/>
      <c r="F6" s="257"/>
      <c r="G6" s="257"/>
      <c r="H6" s="257"/>
    </row>
    <row r="7" spans="1:8" x14ac:dyDescent="0.2">
      <c r="A7" s="43"/>
      <c r="B7" s="258" t="s">
        <v>4</v>
      </c>
      <c r="C7" s="258"/>
      <c r="D7" s="258"/>
      <c r="E7" s="258"/>
      <c r="F7" s="258"/>
      <c r="G7" s="258"/>
      <c r="H7" s="258"/>
    </row>
    <row r="8" spans="1:8" ht="13.5" thickBot="1" x14ac:dyDescent="0.25">
      <c r="A8" s="43"/>
      <c r="B8" s="259"/>
      <c r="C8" s="259"/>
      <c r="D8" s="259"/>
      <c r="E8" s="259"/>
      <c r="F8" s="259"/>
      <c r="G8" s="259"/>
      <c r="H8" s="259"/>
    </row>
    <row r="9" spans="1:8" ht="13.5" thickTop="1" x14ac:dyDescent="0.2">
      <c r="A9" s="43"/>
      <c r="B9" s="274" t="s">
        <v>93</v>
      </c>
      <c r="C9" s="118" t="s">
        <v>94</v>
      </c>
      <c r="D9" s="118" t="s">
        <v>94</v>
      </c>
      <c r="E9" s="118" t="s">
        <v>95</v>
      </c>
      <c r="F9" s="118" t="s">
        <v>96</v>
      </c>
      <c r="G9" s="276" t="s">
        <v>8</v>
      </c>
      <c r="H9" s="119" t="s">
        <v>97</v>
      </c>
    </row>
    <row r="10" spans="1:8" ht="13.5" thickBot="1" x14ac:dyDescent="0.25">
      <c r="A10" s="43"/>
      <c r="B10" s="275"/>
      <c r="C10" s="120" t="s">
        <v>98</v>
      </c>
      <c r="D10" s="120" t="s">
        <v>99</v>
      </c>
      <c r="E10" s="120" t="s">
        <v>100</v>
      </c>
      <c r="F10" s="120" t="s">
        <v>101</v>
      </c>
      <c r="G10" s="277"/>
      <c r="H10" s="121" t="s">
        <v>102</v>
      </c>
    </row>
    <row r="11" spans="1:8" ht="14.25" thickTop="1" thickBot="1" x14ac:dyDescent="0.25">
      <c r="A11" s="43"/>
      <c r="B11" s="122" t="s">
        <v>103</v>
      </c>
      <c r="C11" s="123"/>
      <c r="D11" s="123"/>
      <c r="E11" s="124"/>
      <c r="F11" s="124"/>
      <c r="G11" s="123">
        <f>SUM(G12:G17)</f>
        <v>1321200</v>
      </c>
      <c r="H11" s="125"/>
    </row>
    <row r="12" spans="1:8" x14ac:dyDescent="0.2">
      <c r="A12" s="43"/>
      <c r="B12" s="126" t="s">
        <v>104</v>
      </c>
      <c r="C12" s="127">
        <f>5600</f>
        <v>5600</v>
      </c>
      <c r="D12" s="127">
        <f t="shared" ref="D12:D17" si="0">12*C12</f>
        <v>67200</v>
      </c>
      <c r="E12" s="128" t="s">
        <v>105</v>
      </c>
      <c r="F12" s="128">
        <f>1*12</f>
        <v>12</v>
      </c>
      <c r="G12" s="127">
        <f>C12*F12</f>
        <v>67200</v>
      </c>
      <c r="H12" s="129"/>
    </row>
    <row r="13" spans="1:8" x14ac:dyDescent="0.2">
      <c r="A13" s="43"/>
      <c r="B13" s="130" t="s">
        <v>106</v>
      </c>
      <c r="C13" s="131">
        <f>3800+700</f>
        <v>4500</v>
      </c>
      <c r="D13" s="131">
        <f t="shared" si="0"/>
        <v>54000</v>
      </c>
      <c r="E13" s="132" t="s">
        <v>107</v>
      </c>
      <c r="F13" s="132">
        <f>12*5</f>
        <v>60</v>
      </c>
      <c r="G13" s="131">
        <f>C13*F13</f>
        <v>270000</v>
      </c>
      <c r="H13" s="133"/>
    </row>
    <row r="14" spans="1:8" x14ac:dyDescent="0.2">
      <c r="A14" s="43"/>
      <c r="B14" s="130" t="s">
        <v>108</v>
      </c>
      <c r="C14" s="131">
        <f>3000+500</f>
        <v>3500</v>
      </c>
      <c r="D14" s="131">
        <f t="shared" si="0"/>
        <v>42000</v>
      </c>
      <c r="E14" s="132" t="s">
        <v>107</v>
      </c>
      <c r="F14" s="132">
        <f>12*5</f>
        <v>60</v>
      </c>
      <c r="G14" s="131">
        <f>C14*F14</f>
        <v>210000</v>
      </c>
      <c r="H14" s="133"/>
    </row>
    <row r="15" spans="1:8" x14ac:dyDescent="0.2">
      <c r="A15" s="43"/>
      <c r="B15" s="130" t="s">
        <v>109</v>
      </c>
      <c r="C15" s="131">
        <f>3000+500</f>
        <v>3500</v>
      </c>
      <c r="D15" s="131">
        <f t="shared" si="0"/>
        <v>42000</v>
      </c>
      <c r="E15" s="132" t="s">
        <v>107</v>
      </c>
      <c r="F15" s="132">
        <f>12*5</f>
        <v>60</v>
      </c>
      <c r="G15" s="131">
        <f>C15*F15</f>
        <v>210000</v>
      </c>
      <c r="H15" s="133"/>
    </row>
    <row r="16" spans="1:8" x14ac:dyDescent="0.2">
      <c r="A16" s="43"/>
      <c r="B16" s="130" t="s">
        <v>110</v>
      </c>
      <c r="C16" s="131">
        <f>6000+500</f>
        <v>6500</v>
      </c>
      <c r="D16" s="131">
        <f t="shared" si="0"/>
        <v>78000</v>
      </c>
      <c r="E16" s="132" t="s">
        <v>111</v>
      </c>
      <c r="F16" s="132">
        <f>2*12+3*6</f>
        <v>42</v>
      </c>
      <c r="G16" s="131">
        <f>(6500*12*2)+(3500*12*3)</f>
        <v>282000</v>
      </c>
      <c r="H16" s="129"/>
    </row>
    <row r="17" spans="1:8" ht="13.5" thickBot="1" x14ac:dyDescent="0.25">
      <c r="A17" s="43"/>
      <c r="B17" s="126" t="s">
        <v>215</v>
      </c>
      <c r="C17" s="127">
        <v>3500</v>
      </c>
      <c r="D17" s="131">
        <f t="shared" si="0"/>
        <v>42000</v>
      </c>
      <c r="E17" s="132" t="s">
        <v>107</v>
      </c>
      <c r="F17" s="128">
        <v>60</v>
      </c>
      <c r="G17" s="131">
        <f>(6500*12*2)+(3500*12*3)</f>
        <v>282000</v>
      </c>
      <c r="H17" s="129"/>
    </row>
    <row r="18" spans="1:8" ht="14.25" thickTop="1" thickBot="1" x14ac:dyDescent="0.25">
      <c r="A18" s="43"/>
      <c r="B18" s="122" t="s">
        <v>112</v>
      </c>
      <c r="C18" s="123"/>
      <c r="D18" s="123"/>
      <c r="E18" s="124"/>
      <c r="F18" s="124"/>
      <c r="G18" s="123">
        <f>SUM(G19:G27)</f>
        <v>757200</v>
      </c>
      <c r="H18" s="125"/>
    </row>
    <row r="19" spans="1:8" x14ac:dyDescent="0.2">
      <c r="A19" s="43"/>
      <c r="B19" s="126" t="s">
        <v>113</v>
      </c>
      <c r="C19" s="127">
        <f>5000</f>
        <v>5000</v>
      </c>
      <c r="D19" s="127">
        <f t="shared" ref="D19:D29" si="1">12*C19</f>
        <v>60000</v>
      </c>
      <c r="E19" s="128" t="s">
        <v>105</v>
      </c>
      <c r="F19" s="128">
        <f>1*12</f>
        <v>12</v>
      </c>
      <c r="G19" s="127">
        <f t="shared" ref="G19:G27" si="2">C19*F19</f>
        <v>60000</v>
      </c>
      <c r="H19" s="129"/>
    </row>
    <row r="20" spans="1:8" x14ac:dyDescent="0.2">
      <c r="A20" s="43"/>
      <c r="B20" s="130" t="s">
        <v>114</v>
      </c>
      <c r="C20" s="131">
        <f>3100</f>
        <v>3100</v>
      </c>
      <c r="D20" s="131">
        <f t="shared" si="1"/>
        <v>37200</v>
      </c>
      <c r="E20" s="132" t="s">
        <v>105</v>
      </c>
      <c r="F20" s="132">
        <f>1*12</f>
        <v>12</v>
      </c>
      <c r="G20" s="131">
        <f t="shared" si="2"/>
        <v>37200</v>
      </c>
      <c r="H20" s="133"/>
    </row>
    <row r="21" spans="1:8" x14ac:dyDescent="0.2">
      <c r="A21" s="43"/>
      <c r="B21" s="130" t="s">
        <v>115</v>
      </c>
      <c r="C21" s="131">
        <f>2600-100</f>
        <v>2500</v>
      </c>
      <c r="D21" s="131">
        <f t="shared" si="1"/>
        <v>30000</v>
      </c>
      <c r="E21" s="132" t="s">
        <v>107</v>
      </c>
      <c r="F21" s="132">
        <f t="shared" ref="F21:F27" si="3">12*5</f>
        <v>60</v>
      </c>
      <c r="G21" s="131">
        <f t="shared" si="2"/>
        <v>150000</v>
      </c>
      <c r="H21" s="133"/>
    </row>
    <row r="22" spans="1:8" x14ac:dyDescent="0.2">
      <c r="A22" s="43"/>
      <c r="B22" s="130" t="s">
        <v>116</v>
      </c>
      <c r="C22" s="131">
        <f>2500-500</f>
        <v>2000</v>
      </c>
      <c r="D22" s="131">
        <f t="shared" si="1"/>
        <v>24000</v>
      </c>
      <c r="E22" s="132" t="s">
        <v>107</v>
      </c>
      <c r="F22" s="132">
        <f t="shared" si="3"/>
        <v>60</v>
      </c>
      <c r="G22" s="131">
        <f t="shared" si="2"/>
        <v>120000</v>
      </c>
      <c r="H22" s="133"/>
    </row>
    <row r="23" spans="1:8" x14ac:dyDescent="0.2">
      <c r="A23" s="43"/>
      <c r="B23" s="130" t="s">
        <v>117</v>
      </c>
      <c r="C23" s="131">
        <f>1200</f>
        <v>1200</v>
      </c>
      <c r="D23" s="131">
        <f t="shared" si="1"/>
        <v>14400</v>
      </c>
      <c r="E23" s="132" t="s">
        <v>118</v>
      </c>
      <c r="F23" s="132">
        <f t="shared" si="3"/>
        <v>60</v>
      </c>
      <c r="G23" s="131">
        <f t="shared" si="2"/>
        <v>72000</v>
      </c>
      <c r="H23" s="133"/>
    </row>
    <row r="24" spans="1:8" x14ac:dyDescent="0.2">
      <c r="A24" s="43"/>
      <c r="B24" s="130" t="s">
        <v>119</v>
      </c>
      <c r="C24" s="131">
        <f>1200-100</f>
        <v>1100</v>
      </c>
      <c r="D24" s="131">
        <f t="shared" si="1"/>
        <v>13200</v>
      </c>
      <c r="E24" s="132" t="s">
        <v>118</v>
      </c>
      <c r="F24" s="132">
        <f t="shared" si="3"/>
        <v>60</v>
      </c>
      <c r="G24" s="131">
        <f t="shared" si="2"/>
        <v>66000</v>
      </c>
      <c r="H24" s="133"/>
    </row>
    <row r="25" spans="1:8" x14ac:dyDescent="0.2">
      <c r="A25" s="43"/>
      <c r="B25" s="130" t="s">
        <v>120</v>
      </c>
      <c r="C25" s="131">
        <f>2000</f>
        <v>2000</v>
      </c>
      <c r="D25" s="131">
        <f t="shared" si="1"/>
        <v>24000</v>
      </c>
      <c r="E25" s="132" t="s">
        <v>107</v>
      </c>
      <c r="F25" s="132">
        <f t="shared" si="3"/>
        <v>60</v>
      </c>
      <c r="G25" s="131">
        <f t="shared" si="2"/>
        <v>120000</v>
      </c>
      <c r="H25" s="133"/>
    </row>
    <row r="26" spans="1:8" x14ac:dyDescent="0.2">
      <c r="A26" s="43"/>
      <c r="B26" s="130" t="s">
        <v>121</v>
      </c>
      <c r="C26" s="131">
        <f>800</f>
        <v>800</v>
      </c>
      <c r="D26" s="131">
        <f t="shared" si="1"/>
        <v>9600</v>
      </c>
      <c r="E26" s="132" t="s">
        <v>118</v>
      </c>
      <c r="F26" s="132">
        <f t="shared" si="3"/>
        <v>60</v>
      </c>
      <c r="G26" s="131">
        <f>C26*F26</f>
        <v>48000</v>
      </c>
      <c r="H26" s="133"/>
    </row>
    <row r="27" spans="1:8" ht="13.5" thickBot="1" x14ac:dyDescent="0.25">
      <c r="A27" s="43"/>
      <c r="B27" s="126" t="s">
        <v>122</v>
      </c>
      <c r="C27" s="127">
        <f>1600-200</f>
        <v>1400</v>
      </c>
      <c r="D27" s="134">
        <f t="shared" si="1"/>
        <v>16800</v>
      </c>
      <c r="E27" s="128" t="s">
        <v>107</v>
      </c>
      <c r="F27" s="135">
        <f t="shared" si="3"/>
        <v>60</v>
      </c>
      <c r="G27" s="134">
        <f t="shared" si="2"/>
        <v>84000</v>
      </c>
      <c r="H27" s="129"/>
    </row>
    <row r="28" spans="1:8" ht="14.25" thickTop="1" thickBot="1" x14ac:dyDescent="0.25">
      <c r="A28" s="43"/>
      <c r="B28" s="122" t="s">
        <v>123</v>
      </c>
      <c r="C28" s="123"/>
      <c r="D28" s="123"/>
      <c r="E28" s="124"/>
      <c r="F28" s="124"/>
      <c r="G28" s="123">
        <f>SUM(G29:G29)</f>
        <v>144000</v>
      </c>
      <c r="H28" s="125"/>
    </row>
    <row r="29" spans="1:8" ht="13.5" thickBot="1" x14ac:dyDescent="0.25">
      <c r="A29" s="43"/>
      <c r="B29" s="130" t="s">
        <v>124</v>
      </c>
      <c r="C29" s="131">
        <f>1300-100</f>
        <v>1200</v>
      </c>
      <c r="D29" s="131">
        <f t="shared" si="1"/>
        <v>14400</v>
      </c>
      <c r="E29" s="132" t="s">
        <v>107</v>
      </c>
      <c r="F29" s="132">
        <f>12*5*2</f>
        <v>120</v>
      </c>
      <c r="G29" s="131">
        <f>C29*F29</f>
        <v>144000</v>
      </c>
      <c r="H29" s="133"/>
    </row>
    <row r="30" spans="1:8" ht="14.25" thickTop="1" thickBot="1" x14ac:dyDescent="0.25">
      <c r="A30" s="43"/>
      <c r="B30" s="136" t="s">
        <v>27</v>
      </c>
      <c r="C30" s="137"/>
      <c r="D30" s="137"/>
      <c r="E30" s="138"/>
      <c r="F30" s="138"/>
      <c r="G30" s="137">
        <f>+G11+G18+G28</f>
        <v>2222400</v>
      </c>
      <c r="H30" s="139"/>
    </row>
    <row r="31" spans="1:8" ht="13.5" thickTop="1" x14ac:dyDescent="0.2">
      <c r="B31" s="140"/>
      <c r="C31" s="141"/>
      <c r="D31" s="141"/>
      <c r="E31" s="140"/>
      <c r="F31" s="140"/>
      <c r="G31" s="140"/>
      <c r="H31" s="140"/>
    </row>
    <row r="32" spans="1:8" x14ac:dyDescent="0.2">
      <c r="B32" s="140"/>
    </row>
    <row r="34" spans="7:7" x14ac:dyDescent="0.2">
      <c r="G34" s="142"/>
    </row>
  </sheetData>
  <mergeCells count="9">
    <mergeCell ref="B8:H8"/>
    <mergeCell ref="B9:B10"/>
    <mergeCell ref="G9:G10"/>
    <mergeCell ref="B2:H2"/>
    <mergeCell ref="B3:H3"/>
    <mergeCell ref="B4:H4"/>
    <mergeCell ref="B5:H5"/>
    <mergeCell ref="B6:H6"/>
    <mergeCell ref="B7:H7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workbookViewId="0"/>
  </sheetViews>
  <sheetFormatPr defaultRowHeight="12.75" x14ac:dyDescent="0.2"/>
  <cols>
    <col min="2" max="2" width="59.42578125" customWidth="1"/>
    <col min="3" max="7" width="12.7109375" customWidth="1"/>
    <col min="8" max="8" width="61.28515625" customWidth="1"/>
    <col min="9" max="9" width="12.7109375" customWidth="1"/>
  </cols>
  <sheetData>
    <row r="1" spans="1:9" x14ac:dyDescent="0.2">
      <c r="A1" s="43"/>
      <c r="B1" s="43"/>
      <c r="C1" s="43"/>
      <c r="D1" s="43"/>
      <c r="E1" s="43"/>
      <c r="F1" s="43"/>
      <c r="G1" s="43"/>
      <c r="H1" s="43"/>
      <c r="I1" s="43"/>
    </row>
    <row r="2" spans="1:9" x14ac:dyDescent="0.2">
      <c r="A2" s="43"/>
      <c r="B2" s="257" t="s">
        <v>90</v>
      </c>
      <c r="C2" s="257"/>
      <c r="D2" s="257"/>
      <c r="E2" s="257"/>
      <c r="F2" s="257"/>
      <c r="G2" s="143"/>
      <c r="H2" s="143"/>
      <c r="I2" s="143"/>
    </row>
    <row r="3" spans="1:9" x14ac:dyDescent="0.2">
      <c r="A3" s="43"/>
      <c r="B3" s="257" t="s">
        <v>91</v>
      </c>
      <c r="C3" s="257"/>
      <c r="D3" s="257"/>
      <c r="E3" s="257"/>
      <c r="F3" s="257"/>
      <c r="G3" s="143"/>
      <c r="H3" s="143"/>
      <c r="I3" s="143"/>
    </row>
    <row r="4" spans="1:9" x14ac:dyDescent="0.2">
      <c r="A4" s="43"/>
      <c r="B4" s="257" t="s">
        <v>2</v>
      </c>
      <c r="C4" s="257"/>
      <c r="D4" s="257"/>
      <c r="E4" s="257"/>
      <c r="F4" s="257"/>
      <c r="G4" s="143"/>
      <c r="H4" s="143"/>
      <c r="I4" s="143"/>
    </row>
    <row r="5" spans="1:9" x14ac:dyDescent="0.2">
      <c r="A5" s="43"/>
      <c r="B5" s="144"/>
      <c r="C5" s="144"/>
      <c r="D5" s="43"/>
      <c r="E5" s="43"/>
      <c r="F5" s="43"/>
      <c r="G5" s="43"/>
      <c r="H5" s="43"/>
      <c r="I5" s="43"/>
    </row>
    <row r="6" spans="1:9" x14ac:dyDescent="0.2">
      <c r="A6" s="43"/>
      <c r="B6" s="257" t="s">
        <v>125</v>
      </c>
      <c r="C6" s="257"/>
      <c r="D6" s="257"/>
      <c r="E6" s="257"/>
      <c r="F6" s="257"/>
      <c r="G6" s="143"/>
      <c r="H6" s="143"/>
      <c r="I6" s="143"/>
    </row>
    <row r="7" spans="1:9" x14ac:dyDescent="0.2">
      <c r="A7" s="43"/>
      <c r="B7" s="258" t="s">
        <v>4</v>
      </c>
      <c r="C7" s="258"/>
      <c r="D7" s="258"/>
      <c r="E7" s="258"/>
      <c r="F7" s="258"/>
      <c r="G7" s="145"/>
      <c r="H7" s="145"/>
      <c r="I7" s="145"/>
    </row>
    <row r="8" spans="1:9" ht="13.5" thickBot="1" x14ac:dyDescent="0.25">
      <c r="A8" s="43"/>
      <c r="B8" s="43"/>
      <c r="C8" s="43"/>
      <c r="D8" s="43"/>
      <c r="E8" s="43"/>
      <c r="F8" s="43"/>
      <c r="G8" s="43"/>
      <c r="H8" s="43"/>
      <c r="I8" s="43"/>
    </row>
    <row r="9" spans="1:9" ht="13.5" thickTop="1" x14ac:dyDescent="0.2">
      <c r="A9" s="43"/>
      <c r="B9" s="274" t="s">
        <v>126</v>
      </c>
      <c r="C9" s="118" t="s">
        <v>127</v>
      </c>
      <c r="D9" s="118" t="s">
        <v>128</v>
      </c>
      <c r="E9" s="278" t="s">
        <v>8</v>
      </c>
      <c r="F9" s="146" t="s">
        <v>97</v>
      </c>
      <c r="G9" s="43"/>
      <c r="H9" s="147"/>
      <c r="I9" s="43"/>
    </row>
    <row r="10" spans="1:9" ht="13.5" thickBot="1" x14ac:dyDescent="0.25">
      <c r="A10" s="43"/>
      <c r="B10" s="275"/>
      <c r="C10" s="120" t="s">
        <v>129</v>
      </c>
      <c r="D10" s="120" t="s">
        <v>130</v>
      </c>
      <c r="E10" s="279"/>
      <c r="F10" s="111" t="s">
        <v>102</v>
      </c>
      <c r="G10" s="43"/>
      <c r="H10" s="147"/>
      <c r="I10" s="43"/>
    </row>
    <row r="11" spans="1:9" ht="14.25" thickTop="1" thickBot="1" x14ac:dyDescent="0.25">
      <c r="A11" s="43"/>
      <c r="B11" s="122" t="s">
        <v>131</v>
      </c>
      <c r="C11" s="123"/>
      <c r="D11" s="148"/>
      <c r="E11" s="149">
        <f>SUM(E12:E22)</f>
        <v>34800</v>
      </c>
      <c r="F11" s="150"/>
      <c r="G11" s="144"/>
      <c r="H11" s="147"/>
      <c r="I11" s="144"/>
    </row>
    <row r="12" spans="1:9" x14ac:dyDescent="0.2">
      <c r="A12" s="43"/>
      <c r="B12" s="126" t="s">
        <v>132</v>
      </c>
      <c r="C12" s="127">
        <f>5000</f>
        <v>5000</v>
      </c>
      <c r="D12" s="8">
        <f>1</f>
        <v>1</v>
      </c>
      <c r="E12" s="151">
        <f>C12*D12</f>
        <v>5000</v>
      </c>
      <c r="F12" s="152"/>
      <c r="G12" s="153"/>
      <c r="H12" s="154" t="s">
        <v>133</v>
      </c>
      <c r="I12" s="43"/>
    </row>
    <row r="13" spans="1:9" x14ac:dyDescent="0.2">
      <c r="A13" s="43"/>
      <c r="B13" s="130" t="s">
        <v>134</v>
      </c>
      <c r="C13" s="131">
        <f>1000</f>
        <v>1000</v>
      </c>
      <c r="D13" s="15">
        <f>8</f>
        <v>8</v>
      </c>
      <c r="E13" s="155">
        <f>C13*D13</f>
        <v>8000</v>
      </c>
      <c r="F13" s="156"/>
      <c r="G13" s="153"/>
      <c r="H13" s="147" t="s">
        <v>135</v>
      </c>
      <c r="I13" s="43"/>
    </row>
    <row r="14" spans="1:9" x14ac:dyDescent="0.2">
      <c r="A14" s="43"/>
      <c r="B14" s="130" t="s">
        <v>136</v>
      </c>
      <c r="C14" s="131">
        <f>2000</f>
        <v>2000</v>
      </c>
      <c r="D14" s="15">
        <f>3</f>
        <v>3</v>
      </c>
      <c r="E14" s="155">
        <f t="shared" ref="E14:E26" si="0">C14*D14</f>
        <v>6000</v>
      </c>
      <c r="F14" s="156"/>
      <c r="G14" s="153"/>
      <c r="H14" s="147" t="s">
        <v>137</v>
      </c>
      <c r="I14" s="43"/>
    </row>
    <row r="15" spans="1:9" x14ac:dyDescent="0.2">
      <c r="A15" s="43"/>
      <c r="B15" s="130" t="s">
        <v>138</v>
      </c>
      <c r="C15" s="131">
        <f>250</f>
        <v>250</v>
      </c>
      <c r="D15" s="15">
        <f>6</f>
        <v>6</v>
      </c>
      <c r="E15" s="155">
        <f t="shared" si="0"/>
        <v>1500</v>
      </c>
      <c r="F15" s="156"/>
      <c r="G15" s="153"/>
      <c r="H15" s="147" t="s">
        <v>139</v>
      </c>
      <c r="I15" s="43"/>
    </row>
    <row r="16" spans="1:9" x14ac:dyDescent="0.2">
      <c r="A16" s="43"/>
      <c r="B16" s="130" t="s">
        <v>140</v>
      </c>
      <c r="C16" s="131">
        <f>600</f>
        <v>600</v>
      </c>
      <c r="D16" s="15">
        <f>2</f>
        <v>2</v>
      </c>
      <c r="E16" s="155">
        <f>C16*D16</f>
        <v>1200</v>
      </c>
      <c r="F16" s="156"/>
      <c r="G16" s="153"/>
      <c r="H16" s="147" t="s">
        <v>141</v>
      </c>
      <c r="I16" s="43"/>
    </row>
    <row r="17" spans="1:9" x14ac:dyDescent="0.2">
      <c r="A17" s="43"/>
      <c r="B17" s="130" t="s">
        <v>142</v>
      </c>
      <c r="C17" s="131">
        <f>1000</f>
        <v>1000</v>
      </c>
      <c r="D17" s="15">
        <f>2</f>
        <v>2</v>
      </c>
      <c r="E17" s="155">
        <f t="shared" si="0"/>
        <v>2000</v>
      </c>
      <c r="F17" s="156"/>
      <c r="G17" s="153"/>
      <c r="H17" s="147" t="s">
        <v>141</v>
      </c>
      <c r="I17" s="43"/>
    </row>
    <row r="18" spans="1:9" x14ac:dyDescent="0.2">
      <c r="A18" s="43"/>
      <c r="B18" s="130" t="s">
        <v>143</v>
      </c>
      <c r="C18" s="131">
        <f>1500</f>
        <v>1500</v>
      </c>
      <c r="D18" s="15">
        <f>2</f>
        <v>2</v>
      </c>
      <c r="E18" s="155">
        <f t="shared" si="0"/>
        <v>3000</v>
      </c>
      <c r="F18" s="156"/>
      <c r="G18" s="153"/>
      <c r="H18" s="147" t="s">
        <v>141</v>
      </c>
      <c r="I18" s="43"/>
    </row>
    <row r="19" spans="1:9" x14ac:dyDescent="0.2">
      <c r="A19" s="43"/>
      <c r="B19" s="130" t="s">
        <v>144</v>
      </c>
      <c r="C19" s="131">
        <f>2000</f>
        <v>2000</v>
      </c>
      <c r="D19" s="15">
        <f>1</f>
        <v>1</v>
      </c>
      <c r="E19" s="155">
        <f t="shared" si="0"/>
        <v>2000</v>
      </c>
      <c r="F19" s="156"/>
      <c r="G19" s="153"/>
      <c r="H19" s="147" t="s">
        <v>145</v>
      </c>
      <c r="I19" s="43"/>
    </row>
    <row r="20" spans="1:9" x14ac:dyDescent="0.2">
      <c r="A20" s="43"/>
      <c r="B20" s="130" t="s">
        <v>146</v>
      </c>
      <c r="C20" s="131">
        <f>200</f>
        <v>200</v>
      </c>
      <c r="D20" s="15">
        <f>1</f>
        <v>1</v>
      </c>
      <c r="E20" s="155">
        <f t="shared" si="0"/>
        <v>200</v>
      </c>
      <c r="F20" s="156"/>
      <c r="G20" s="153"/>
      <c r="H20" s="147" t="s">
        <v>145</v>
      </c>
      <c r="I20" s="43"/>
    </row>
    <row r="21" spans="1:9" x14ac:dyDescent="0.2">
      <c r="A21" s="43"/>
      <c r="B21" s="126" t="s">
        <v>147</v>
      </c>
      <c r="C21" s="127">
        <f>300</f>
        <v>300</v>
      </c>
      <c r="D21" s="8">
        <f>8</f>
        <v>8</v>
      </c>
      <c r="E21" s="151">
        <f t="shared" si="0"/>
        <v>2400</v>
      </c>
      <c r="F21" s="152"/>
      <c r="G21" s="153"/>
      <c r="H21" s="147" t="s">
        <v>148</v>
      </c>
      <c r="I21" s="43"/>
    </row>
    <row r="22" spans="1:9" ht="13.5" thickBot="1" x14ac:dyDescent="0.25">
      <c r="A22" s="43"/>
      <c r="B22" s="157" t="s">
        <v>149</v>
      </c>
      <c r="C22" s="158">
        <f>3500</f>
        <v>3500</v>
      </c>
      <c r="D22" s="12">
        <f>1</f>
        <v>1</v>
      </c>
      <c r="E22" s="159">
        <f>C22*D22</f>
        <v>3500</v>
      </c>
      <c r="F22" s="160"/>
      <c r="G22" s="153"/>
      <c r="H22" s="147"/>
      <c r="I22" s="43"/>
    </row>
    <row r="23" spans="1:9" ht="14.25" thickTop="1" thickBot="1" x14ac:dyDescent="0.25">
      <c r="A23" s="43"/>
      <c r="B23" s="122" t="s">
        <v>150</v>
      </c>
      <c r="C23" s="123"/>
      <c r="D23" s="148"/>
      <c r="E23" s="149">
        <f>SUM(E24:E27)</f>
        <v>19400</v>
      </c>
      <c r="F23" s="150"/>
      <c r="G23" s="43"/>
      <c r="H23" s="147"/>
      <c r="I23" s="43"/>
    </row>
    <row r="24" spans="1:9" x14ac:dyDescent="0.2">
      <c r="A24" s="43"/>
      <c r="B24" s="126" t="s">
        <v>151</v>
      </c>
      <c r="C24" s="127">
        <f>400</f>
        <v>400</v>
      </c>
      <c r="D24" s="8">
        <f>11</f>
        <v>11</v>
      </c>
      <c r="E24" s="151">
        <f t="shared" si="0"/>
        <v>4400</v>
      </c>
      <c r="F24" s="152"/>
      <c r="G24" s="153"/>
      <c r="H24" s="147" t="s">
        <v>152</v>
      </c>
      <c r="I24" s="43"/>
    </row>
    <row r="25" spans="1:9" x14ac:dyDescent="0.2">
      <c r="A25" s="43"/>
      <c r="B25" s="130" t="s">
        <v>153</v>
      </c>
      <c r="C25" s="131">
        <f>500</f>
        <v>500</v>
      </c>
      <c r="D25" s="15">
        <f>6</f>
        <v>6</v>
      </c>
      <c r="E25" s="155">
        <f t="shared" si="0"/>
        <v>3000</v>
      </c>
      <c r="F25" s="156"/>
      <c r="G25" s="153"/>
      <c r="H25" s="147" t="s">
        <v>154</v>
      </c>
      <c r="I25" s="43"/>
    </row>
    <row r="26" spans="1:9" x14ac:dyDescent="0.2">
      <c r="A26" s="43"/>
      <c r="B26" s="130" t="s">
        <v>155</v>
      </c>
      <c r="C26" s="131">
        <f>400</f>
        <v>400</v>
      </c>
      <c r="D26" s="15">
        <f>5</f>
        <v>5</v>
      </c>
      <c r="E26" s="155">
        <f t="shared" si="0"/>
        <v>2000</v>
      </c>
      <c r="F26" s="156"/>
      <c r="G26" s="153"/>
      <c r="H26" s="147" t="s">
        <v>156</v>
      </c>
      <c r="I26" s="43"/>
    </row>
    <row r="27" spans="1:9" ht="13.5" thickBot="1" x14ac:dyDescent="0.25">
      <c r="A27" s="43"/>
      <c r="B27" s="126" t="s">
        <v>157</v>
      </c>
      <c r="C27" s="127"/>
      <c r="D27" s="8"/>
      <c r="E27" s="151">
        <f>10000</f>
        <v>10000</v>
      </c>
      <c r="F27" s="152"/>
      <c r="G27" s="153"/>
      <c r="H27" s="147" t="s">
        <v>158</v>
      </c>
      <c r="I27" s="43"/>
    </row>
    <row r="28" spans="1:9" ht="14.25" thickTop="1" thickBot="1" x14ac:dyDescent="0.25">
      <c r="A28" s="43"/>
      <c r="B28" s="122" t="s">
        <v>159</v>
      </c>
      <c r="C28" s="123"/>
      <c r="D28" s="148"/>
      <c r="E28" s="149">
        <f>SUM(E29:E30)</f>
        <v>10000</v>
      </c>
      <c r="F28" s="150"/>
      <c r="G28" s="153"/>
      <c r="H28" s="147"/>
      <c r="I28" s="43"/>
    </row>
    <row r="29" spans="1:9" x14ac:dyDescent="0.2">
      <c r="A29" s="43"/>
      <c r="B29" s="126" t="s">
        <v>160</v>
      </c>
      <c r="C29" s="127"/>
      <c r="D29" s="8"/>
      <c r="E29" s="151">
        <f>7000</f>
        <v>7000</v>
      </c>
      <c r="F29" s="152"/>
      <c r="G29" s="153"/>
      <c r="H29" s="147"/>
      <c r="I29" s="43"/>
    </row>
    <row r="30" spans="1:9" ht="13.5" thickBot="1" x14ac:dyDescent="0.25">
      <c r="A30" s="43"/>
      <c r="B30" s="126" t="s">
        <v>161</v>
      </c>
      <c r="C30" s="127"/>
      <c r="D30" s="8"/>
      <c r="E30" s="151">
        <f>2500+500</f>
        <v>3000</v>
      </c>
      <c r="F30" s="152"/>
      <c r="G30" s="153"/>
      <c r="H30" s="147"/>
      <c r="I30" s="43"/>
    </row>
    <row r="31" spans="1:9" ht="14.25" thickTop="1" thickBot="1" x14ac:dyDescent="0.25">
      <c r="A31" s="43"/>
      <c r="B31" s="122" t="s">
        <v>162</v>
      </c>
      <c r="C31" s="123"/>
      <c r="D31" s="148"/>
      <c r="E31" s="149">
        <f>SUM(E32:E33)</f>
        <v>20000</v>
      </c>
      <c r="F31" s="150"/>
      <c r="G31" s="153"/>
      <c r="H31" s="147"/>
      <c r="I31" s="43"/>
    </row>
    <row r="32" spans="1:9" x14ac:dyDescent="0.2">
      <c r="A32" s="43"/>
      <c r="B32" s="126" t="s">
        <v>163</v>
      </c>
      <c r="C32" s="127"/>
      <c r="D32" s="8"/>
      <c r="E32" s="151">
        <f>10000</f>
        <v>10000</v>
      </c>
      <c r="F32" s="152"/>
      <c r="G32" s="153"/>
      <c r="H32" s="147" t="s">
        <v>158</v>
      </c>
      <c r="I32" s="43"/>
    </row>
    <row r="33" spans="1:9" ht="13.5" thickBot="1" x14ac:dyDescent="0.25">
      <c r="A33" s="43"/>
      <c r="B33" s="126" t="s">
        <v>164</v>
      </c>
      <c r="C33" s="127"/>
      <c r="D33" s="8"/>
      <c r="E33" s="151">
        <f>10000</f>
        <v>10000</v>
      </c>
      <c r="F33" s="152"/>
      <c r="G33" s="153"/>
      <c r="H33" s="147" t="s">
        <v>158</v>
      </c>
      <c r="I33" s="43"/>
    </row>
    <row r="34" spans="1:9" ht="14.25" thickTop="1" thickBot="1" x14ac:dyDescent="0.25">
      <c r="A34" s="43"/>
      <c r="B34" s="122" t="s">
        <v>165</v>
      </c>
      <c r="C34" s="123"/>
      <c r="D34" s="148"/>
      <c r="E34" s="149">
        <f>SUM(E35)</f>
        <v>90000</v>
      </c>
      <c r="F34" s="150"/>
      <c r="G34" s="43"/>
      <c r="H34" s="147"/>
      <c r="I34" s="43"/>
    </row>
    <row r="35" spans="1:9" ht="13.5" thickBot="1" x14ac:dyDescent="0.25">
      <c r="A35" s="43"/>
      <c r="B35" s="161" t="s">
        <v>166</v>
      </c>
      <c r="C35" s="127">
        <f>30000</f>
        <v>30000</v>
      </c>
      <c r="D35" s="8">
        <f>3</f>
        <v>3</v>
      </c>
      <c r="E35" s="162">
        <f>C35*D35</f>
        <v>90000</v>
      </c>
      <c r="F35" s="152"/>
      <c r="G35" s="153"/>
      <c r="H35" s="147" t="s">
        <v>167</v>
      </c>
      <c r="I35" s="43"/>
    </row>
    <row r="36" spans="1:9" ht="14.25" thickTop="1" thickBot="1" x14ac:dyDescent="0.25">
      <c r="A36" s="43"/>
      <c r="B36" s="136" t="s">
        <v>27</v>
      </c>
      <c r="C36" s="137"/>
      <c r="D36" s="100"/>
      <c r="E36" s="163">
        <f>+E11+E23+E28+E31+E34</f>
        <v>174200</v>
      </c>
      <c r="F36" s="98"/>
      <c r="G36" s="43"/>
      <c r="H36" s="147"/>
      <c r="I36" s="43"/>
    </row>
    <row r="37" spans="1:9" ht="13.5" thickTop="1" x14ac:dyDescent="0.2"/>
  </sheetData>
  <mergeCells count="7">
    <mergeCell ref="B9:B10"/>
    <mergeCell ref="E9:E10"/>
    <mergeCell ref="B2:F2"/>
    <mergeCell ref="B3:F3"/>
    <mergeCell ref="B4:F4"/>
    <mergeCell ref="B6:F6"/>
    <mergeCell ref="B7:F7"/>
  </mergeCells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showGridLines="0" workbookViewId="0"/>
  </sheetViews>
  <sheetFormatPr defaultRowHeight="12.75" x14ac:dyDescent="0.2"/>
  <cols>
    <col min="2" max="2" width="46.28515625" customWidth="1"/>
    <col min="3" max="7" width="12.7109375" customWidth="1"/>
    <col min="8" max="8" width="126" customWidth="1"/>
  </cols>
  <sheetData>
    <row r="2" spans="2:8" x14ac:dyDescent="0.2">
      <c r="B2" s="257" t="s">
        <v>90</v>
      </c>
      <c r="C2" s="257"/>
      <c r="D2" s="257"/>
      <c r="E2" s="257"/>
      <c r="F2" s="257"/>
      <c r="G2" s="164"/>
      <c r="H2" s="164"/>
    </row>
    <row r="3" spans="2:8" x14ac:dyDescent="0.2">
      <c r="B3" s="257" t="s">
        <v>91</v>
      </c>
      <c r="C3" s="257"/>
      <c r="D3" s="257"/>
      <c r="E3" s="257"/>
      <c r="F3" s="257"/>
      <c r="G3" s="164"/>
      <c r="H3" s="164"/>
    </row>
    <row r="4" spans="2:8" x14ac:dyDescent="0.2">
      <c r="B4" s="257" t="s">
        <v>2</v>
      </c>
      <c r="C4" s="257"/>
      <c r="D4" s="257"/>
      <c r="E4" s="257"/>
      <c r="F4" s="257"/>
      <c r="G4" s="164"/>
      <c r="H4" s="164"/>
    </row>
    <row r="5" spans="2:8" x14ac:dyDescent="0.2">
      <c r="B5" s="257"/>
      <c r="C5" s="257"/>
      <c r="D5" s="257"/>
      <c r="E5" s="257"/>
      <c r="F5" s="257"/>
      <c r="G5" s="164"/>
      <c r="H5" s="164"/>
    </row>
    <row r="6" spans="2:8" x14ac:dyDescent="0.2">
      <c r="B6" s="257" t="s">
        <v>168</v>
      </c>
      <c r="C6" s="257"/>
      <c r="D6" s="257"/>
      <c r="E6" s="257"/>
      <c r="F6" s="257"/>
      <c r="G6" s="43"/>
      <c r="H6" s="43"/>
    </row>
    <row r="7" spans="2:8" x14ac:dyDescent="0.2">
      <c r="B7" s="258" t="s">
        <v>4</v>
      </c>
      <c r="C7" s="258"/>
      <c r="D7" s="258"/>
      <c r="E7" s="258"/>
      <c r="F7" s="258"/>
      <c r="G7" s="164"/>
      <c r="H7" s="164"/>
    </row>
    <row r="8" spans="2:8" ht="13.5" thickBot="1" x14ac:dyDescent="0.25"/>
    <row r="9" spans="2:8" ht="13.5" thickTop="1" x14ac:dyDescent="0.2">
      <c r="B9" s="280" t="s">
        <v>169</v>
      </c>
      <c r="C9" s="165" t="s">
        <v>127</v>
      </c>
      <c r="D9" s="165" t="s">
        <v>170</v>
      </c>
      <c r="E9" s="282" t="s">
        <v>8</v>
      </c>
      <c r="F9" s="166" t="s">
        <v>97</v>
      </c>
      <c r="G9" s="167"/>
      <c r="H9" s="168"/>
    </row>
    <row r="10" spans="2:8" ht="13.5" thickBot="1" x14ac:dyDescent="0.25">
      <c r="B10" s="281"/>
      <c r="C10" s="169" t="s">
        <v>129</v>
      </c>
      <c r="D10" s="169" t="s">
        <v>130</v>
      </c>
      <c r="E10" s="283"/>
      <c r="F10" s="170" t="s">
        <v>102</v>
      </c>
      <c r="G10" s="167"/>
      <c r="H10" s="167"/>
    </row>
    <row r="11" spans="2:8" ht="14.25" thickTop="1" thickBot="1" x14ac:dyDescent="0.25">
      <c r="B11" s="171" t="s">
        <v>171</v>
      </c>
      <c r="C11" s="172"/>
      <c r="D11" s="173"/>
      <c r="E11" s="174">
        <f>+E12+E15</f>
        <v>149100</v>
      </c>
      <c r="F11" s="175"/>
      <c r="G11" s="167"/>
      <c r="H11" s="176" t="s">
        <v>172</v>
      </c>
    </row>
    <row r="12" spans="2:8" x14ac:dyDescent="0.2">
      <c r="B12" s="177" t="s">
        <v>173</v>
      </c>
      <c r="C12" s="178"/>
      <c r="D12" s="179"/>
      <c r="E12" s="180">
        <f>SUM(E13:E14)</f>
        <v>89700</v>
      </c>
      <c r="F12" s="181"/>
    </row>
    <row r="13" spans="2:8" x14ac:dyDescent="0.2">
      <c r="B13" s="182" t="s">
        <v>174</v>
      </c>
      <c r="C13" s="183">
        <f>2000</f>
        <v>2000</v>
      </c>
      <c r="D13" s="184">
        <f>0</f>
        <v>0</v>
      </c>
      <c r="E13" s="185">
        <f>+C13*D13</f>
        <v>0</v>
      </c>
      <c r="F13" s="186"/>
      <c r="G13" s="167"/>
      <c r="H13" s="140" t="s">
        <v>175</v>
      </c>
    </row>
    <row r="14" spans="2:8" x14ac:dyDescent="0.2">
      <c r="B14" s="187" t="s">
        <v>176</v>
      </c>
      <c r="C14" s="188">
        <f>1500-5</f>
        <v>1495</v>
      </c>
      <c r="D14" s="189">
        <f>12*5</f>
        <v>60</v>
      </c>
      <c r="E14" s="190">
        <f>+C14*D14</f>
        <v>89700</v>
      </c>
      <c r="F14" s="191"/>
      <c r="G14" s="167"/>
      <c r="H14" s="140" t="s">
        <v>177</v>
      </c>
    </row>
    <row r="15" spans="2:8" x14ac:dyDescent="0.2">
      <c r="B15" s="182" t="s">
        <v>178</v>
      </c>
      <c r="C15" s="183"/>
      <c r="D15" s="184"/>
      <c r="E15" s="192">
        <f>+E16+E19</f>
        <v>59400</v>
      </c>
      <c r="F15" s="186"/>
      <c r="G15" s="167"/>
      <c r="H15" s="193"/>
    </row>
    <row r="16" spans="2:8" x14ac:dyDescent="0.2">
      <c r="B16" s="187" t="s">
        <v>179</v>
      </c>
      <c r="C16" s="188"/>
      <c r="D16" s="189"/>
      <c r="E16" s="194">
        <f>SUM(E17:E18)</f>
        <v>42000</v>
      </c>
      <c r="F16" s="191"/>
    </row>
    <row r="17" spans="2:8" x14ac:dyDescent="0.2">
      <c r="B17" s="182" t="s">
        <v>174</v>
      </c>
      <c r="C17" s="188">
        <f>1000</f>
        <v>1000</v>
      </c>
      <c r="D17" s="189">
        <f>12</f>
        <v>12</v>
      </c>
      <c r="E17" s="195">
        <f>+C17*D17</f>
        <v>12000</v>
      </c>
      <c r="F17" s="191"/>
      <c r="G17" s="167"/>
      <c r="H17" s="140" t="s">
        <v>180</v>
      </c>
    </row>
    <row r="18" spans="2:8" x14ac:dyDescent="0.2">
      <c r="B18" s="187" t="s">
        <v>176</v>
      </c>
      <c r="C18" s="188">
        <f>500</f>
        <v>500</v>
      </c>
      <c r="D18" s="189">
        <f>12*5</f>
        <v>60</v>
      </c>
      <c r="E18" s="195">
        <f>+C18*D18</f>
        <v>30000</v>
      </c>
      <c r="F18" s="191"/>
      <c r="G18" s="167"/>
      <c r="H18" s="140" t="s">
        <v>177</v>
      </c>
    </row>
    <row r="19" spans="2:8" x14ac:dyDescent="0.2">
      <c r="B19" s="196" t="s">
        <v>181</v>
      </c>
      <c r="C19" s="188"/>
      <c r="D19" s="189"/>
      <c r="E19" s="194">
        <f>SUM(E20:E22)</f>
        <v>17400</v>
      </c>
      <c r="F19" s="191"/>
      <c r="G19" s="167"/>
      <c r="H19" s="197"/>
    </row>
    <row r="20" spans="2:8" x14ac:dyDescent="0.2">
      <c r="B20" s="196" t="s">
        <v>182</v>
      </c>
      <c r="C20" s="188">
        <f>150</f>
        <v>150</v>
      </c>
      <c r="D20" s="189">
        <f>3+1</f>
        <v>4</v>
      </c>
      <c r="E20" s="195">
        <f>+C20*D20</f>
        <v>600</v>
      </c>
      <c r="F20" s="191"/>
      <c r="G20" s="167"/>
      <c r="H20" s="197" t="s">
        <v>183</v>
      </c>
    </row>
    <row r="21" spans="2:8" x14ac:dyDescent="0.2">
      <c r="B21" s="196" t="s">
        <v>184</v>
      </c>
      <c r="C21" s="198">
        <f>40</f>
        <v>40</v>
      </c>
      <c r="D21" s="189">
        <f>12*5*D20</f>
        <v>240</v>
      </c>
      <c r="E21" s="199">
        <f>+C21*D21</f>
        <v>9600</v>
      </c>
      <c r="F21" s="199"/>
      <c r="G21" s="167"/>
      <c r="H21" s="197" t="s">
        <v>185</v>
      </c>
    </row>
    <row r="22" spans="2:8" ht="13.5" thickBot="1" x14ac:dyDescent="0.25">
      <c r="B22" s="200" t="s">
        <v>186</v>
      </c>
      <c r="C22" s="201">
        <f>30</f>
        <v>30</v>
      </c>
      <c r="D22" s="189">
        <f>12*5*D20</f>
        <v>240</v>
      </c>
      <c r="E22" s="202">
        <f>+C22*D22</f>
        <v>7200</v>
      </c>
      <c r="F22" s="202"/>
      <c r="G22" s="167"/>
      <c r="H22" s="197" t="s">
        <v>185</v>
      </c>
    </row>
    <row r="23" spans="2:8" ht="14.25" thickTop="1" thickBot="1" x14ac:dyDescent="0.25">
      <c r="B23" s="171" t="s">
        <v>187</v>
      </c>
      <c r="C23" s="203"/>
      <c r="D23" s="204"/>
      <c r="E23" s="174">
        <f>SUM(E24:E26)</f>
        <v>81300</v>
      </c>
      <c r="F23" s="205"/>
      <c r="G23" s="167"/>
      <c r="H23" s="197"/>
    </row>
    <row r="24" spans="2:8" x14ac:dyDescent="0.2">
      <c r="B24" s="206" t="s">
        <v>188</v>
      </c>
      <c r="C24" s="207">
        <f>3.5</f>
        <v>3.5</v>
      </c>
      <c r="D24" s="208">
        <f>(3)*10*52*5</f>
        <v>7800</v>
      </c>
      <c r="E24" s="209">
        <f>+C24*D24</f>
        <v>27300</v>
      </c>
      <c r="F24" s="209"/>
      <c r="G24" s="167"/>
      <c r="H24" s="197" t="s">
        <v>189</v>
      </c>
    </row>
    <row r="25" spans="2:8" x14ac:dyDescent="0.2">
      <c r="B25" s="196" t="s">
        <v>190</v>
      </c>
      <c r="C25" s="198">
        <f>150</f>
        <v>150</v>
      </c>
      <c r="D25" s="210">
        <f>(3)*12*5</f>
        <v>180</v>
      </c>
      <c r="E25" s="199">
        <f>+C25*D25</f>
        <v>27000</v>
      </c>
      <c r="F25" s="199"/>
      <c r="G25" s="167"/>
      <c r="H25" s="197" t="s">
        <v>191</v>
      </c>
    </row>
    <row r="26" spans="2:8" ht="13.5" thickBot="1" x14ac:dyDescent="0.25">
      <c r="B26" s="206" t="s">
        <v>192</v>
      </c>
      <c r="C26" s="207">
        <f>150</f>
        <v>150</v>
      </c>
      <c r="D26" s="208">
        <f>(3)*12*5</f>
        <v>180</v>
      </c>
      <c r="E26" s="209">
        <f>+C26*D26</f>
        <v>27000</v>
      </c>
      <c r="F26" s="209"/>
      <c r="G26" s="167"/>
      <c r="H26" s="197" t="s">
        <v>193</v>
      </c>
    </row>
    <row r="27" spans="2:8" ht="14.25" thickTop="1" thickBot="1" x14ac:dyDescent="0.25">
      <c r="B27" s="171" t="s">
        <v>194</v>
      </c>
      <c r="C27" s="203"/>
      <c r="D27" s="204"/>
      <c r="E27" s="174">
        <f>SUM(E28:E30)</f>
        <v>102000</v>
      </c>
      <c r="F27" s="205"/>
      <c r="G27" s="167"/>
      <c r="H27" s="197"/>
    </row>
    <row r="28" spans="2:8" x14ac:dyDescent="0.2">
      <c r="B28" s="206" t="s">
        <v>195</v>
      </c>
      <c r="C28" s="207">
        <f>1400</f>
        <v>1400</v>
      </c>
      <c r="D28" s="208">
        <f>1*12*5</f>
        <v>60</v>
      </c>
      <c r="E28" s="209">
        <f>+C28*D28</f>
        <v>84000</v>
      </c>
      <c r="F28" s="209"/>
      <c r="G28" s="167"/>
      <c r="H28" s="140" t="s">
        <v>177</v>
      </c>
    </row>
    <row r="29" spans="2:8" x14ac:dyDescent="0.2">
      <c r="B29" s="196" t="s">
        <v>196</v>
      </c>
      <c r="C29" s="198">
        <f>200</f>
        <v>200</v>
      </c>
      <c r="D29" s="210">
        <f>5*12</f>
        <v>60</v>
      </c>
      <c r="E29" s="211">
        <f>+C29*D29</f>
        <v>12000</v>
      </c>
      <c r="F29" s="199"/>
      <c r="G29" s="167"/>
      <c r="H29" s="140" t="s">
        <v>177</v>
      </c>
    </row>
    <row r="30" spans="2:8" ht="13.5" thickBot="1" x14ac:dyDescent="0.25">
      <c r="B30" s="206" t="s">
        <v>197</v>
      </c>
      <c r="C30" s="207">
        <f>100</f>
        <v>100</v>
      </c>
      <c r="D30" s="208">
        <f>1*12*5</f>
        <v>60</v>
      </c>
      <c r="E30" s="209">
        <f>+C30*D30</f>
        <v>6000</v>
      </c>
      <c r="F30" s="209"/>
      <c r="G30" s="167"/>
      <c r="H30" s="140" t="s">
        <v>177</v>
      </c>
    </row>
    <row r="31" spans="2:8" ht="14.25" thickTop="1" thickBot="1" x14ac:dyDescent="0.25">
      <c r="B31" s="171" t="s">
        <v>198</v>
      </c>
      <c r="C31" s="203"/>
      <c r="D31" s="204"/>
      <c r="E31" s="174">
        <f>+E32+E33</f>
        <v>24400</v>
      </c>
      <c r="F31" s="205"/>
      <c r="G31" s="167"/>
      <c r="H31" s="197"/>
    </row>
    <row r="32" spans="2:8" x14ac:dyDescent="0.2">
      <c r="B32" s="212" t="s">
        <v>199</v>
      </c>
      <c r="C32" s="213">
        <f>100</f>
        <v>100</v>
      </c>
      <c r="D32" s="214">
        <f>4</f>
        <v>4</v>
      </c>
      <c r="E32" s="215">
        <f>+C32*D32</f>
        <v>400</v>
      </c>
      <c r="F32" s="215"/>
      <c r="G32" s="167"/>
      <c r="H32" s="197" t="s">
        <v>200</v>
      </c>
    </row>
    <row r="33" spans="2:8" ht="13.5" thickBot="1" x14ac:dyDescent="0.25">
      <c r="B33" s="206" t="s">
        <v>201</v>
      </c>
      <c r="C33" s="207">
        <f>400</f>
        <v>400</v>
      </c>
      <c r="D33" s="208">
        <f>12*5</f>
        <v>60</v>
      </c>
      <c r="E33" s="209">
        <f>+C33*D33</f>
        <v>24000</v>
      </c>
      <c r="F33" s="209"/>
      <c r="G33" s="167"/>
      <c r="H33" s="140" t="s">
        <v>177</v>
      </c>
    </row>
    <row r="34" spans="2:8" ht="14.25" thickTop="1" thickBot="1" x14ac:dyDescent="0.25">
      <c r="B34" s="171" t="s">
        <v>202</v>
      </c>
      <c r="C34" s="203"/>
      <c r="D34" s="204"/>
      <c r="E34" s="174">
        <f>SUM(E35:E36)</f>
        <v>43200</v>
      </c>
      <c r="F34" s="205"/>
      <c r="G34" s="167"/>
      <c r="H34" s="197"/>
    </row>
    <row r="35" spans="2:8" x14ac:dyDescent="0.2">
      <c r="B35" s="206" t="s">
        <v>203</v>
      </c>
      <c r="C35" s="207"/>
      <c r="D35" s="208"/>
      <c r="E35" s="209">
        <f>+C35*D35</f>
        <v>0</v>
      </c>
      <c r="F35" s="209"/>
      <c r="G35" s="167"/>
      <c r="H35" s="197" t="s">
        <v>204</v>
      </c>
    </row>
    <row r="36" spans="2:8" ht="13.5" thickBot="1" x14ac:dyDescent="0.25">
      <c r="B36" s="216" t="s">
        <v>205</v>
      </c>
      <c r="C36" s="217">
        <f>60</f>
        <v>60</v>
      </c>
      <c r="D36" s="218">
        <f>3*4*12*5</f>
        <v>720</v>
      </c>
      <c r="E36" s="219">
        <f>+C36*D36</f>
        <v>43200</v>
      </c>
      <c r="F36" s="219"/>
      <c r="G36" s="167"/>
      <c r="H36" s="197" t="s">
        <v>206</v>
      </c>
    </row>
    <row r="37" spans="2:8" ht="14.25" thickTop="1" thickBot="1" x14ac:dyDescent="0.25">
      <c r="B37" s="220" t="s">
        <v>27</v>
      </c>
      <c r="C37" s="221"/>
      <c r="D37" s="222"/>
      <c r="E37" s="223">
        <f>+E11+E23+E27+E31+E34</f>
        <v>400000</v>
      </c>
      <c r="F37" s="224"/>
      <c r="G37" s="167"/>
      <c r="H37" s="197"/>
    </row>
    <row r="38" spans="2:8" ht="13.5" thickTop="1" x14ac:dyDescent="0.2">
      <c r="B38" s="225"/>
      <c r="C38" s="226"/>
      <c r="D38" s="227"/>
      <c r="E38" s="226"/>
      <c r="F38" s="226"/>
      <c r="G38" s="167"/>
      <c r="H38" s="167"/>
    </row>
  </sheetData>
  <mergeCells count="8">
    <mergeCell ref="B9:B10"/>
    <mergeCell ref="E9:E10"/>
    <mergeCell ref="B2:F2"/>
    <mergeCell ref="B3:F3"/>
    <mergeCell ref="B4:F4"/>
    <mergeCell ref="B5:F5"/>
    <mergeCell ref="B6:F6"/>
    <mergeCell ref="B7:F7"/>
  </mergeCells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2F6EAB51FE7484C805E93FCCC664F6B" ma:contentTypeVersion="0" ma:contentTypeDescription="A content type to manage public (operations) IDB documents" ma:contentTypeScope="" ma:versionID="77d26a7c3e20629a72c0ac64112cbca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ea6d61a7ad7d64d7d317954e079829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950fe0f-781d-4eb3-a432-36b824324f74}" ma:internalName="TaxCatchAll" ma:showField="CatchAllData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950fe0f-781d-4eb3-a432-36b824324f74}" ma:internalName="TaxCatchAllLabel" ma:readOnly="true" ma:showField="CatchAllDataLabel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38062763</IDBDocs_x0020_Number>
    <Document_x0020_Author xmlns="9c571b2f-e523-4ab2-ba2e-09e151a03ef4">Suaznabar, Claudia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6</Value>
      <Value>9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DR-L1068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Proposal&lt;/USER_STAGE&gt;&lt;APPROVAL_CODE&gt;QRR&lt;/APPROVAL_CODE&gt;&lt;APPROVAL_DESC&gt;Quality &amp; Risk Review&lt;/APPROVAL_DESC&gt;&lt;PD_OBJ_TYPE&gt;0&lt;/PD_OBJ_TYPE&gt;&lt;MAKERECORD&gt;N&lt;/MAKERECORD&gt;&lt;PD_FILEPT_NO&gt;PO-DR-L1068-Plan&lt;/PD_FILEPT_NO&gt;&lt;/Data&gt;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CO-CYT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190E7CAA-38BE-496B-9054-5026119A4593}"/>
</file>

<file path=customXml/itemProps2.xml><?xml version="1.0" encoding="utf-8"?>
<ds:datastoreItem xmlns:ds="http://schemas.openxmlformats.org/officeDocument/2006/customXml" ds:itemID="{4142D9D1-7FFC-4BB0-8659-258361D7BB1B}"/>
</file>

<file path=customXml/itemProps3.xml><?xml version="1.0" encoding="utf-8"?>
<ds:datastoreItem xmlns:ds="http://schemas.openxmlformats.org/officeDocument/2006/customXml" ds:itemID="{79C7A5D6-A65B-482A-ABA5-6525A4914FCA}"/>
</file>

<file path=customXml/itemProps4.xml><?xml version="1.0" encoding="utf-8"?>
<ds:datastoreItem xmlns:ds="http://schemas.openxmlformats.org/officeDocument/2006/customXml" ds:itemID="{7A79890E-9972-4CEB-8FC4-13EB617E2003}"/>
</file>

<file path=customXml/itemProps5.xml><?xml version="1.0" encoding="utf-8"?>
<ds:datastoreItem xmlns:ds="http://schemas.openxmlformats.org/officeDocument/2006/customXml" ds:itemID="{DD49440F-AA2C-4478-81FB-6B65DA2FF1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PRESUP.CONS.</vt:lpstr>
      <vt:lpstr>PLAN.EJEC.PROG.</vt:lpstr>
      <vt:lpstr>COST.ADMIN.SALARIOS</vt:lpstr>
      <vt:lpstr>COST.ADMIN.ACTIVOS</vt:lpstr>
      <vt:lpstr>COST.ADMIN.OPER.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DR-L1068  Enlace Elect_ Opc_1 - Presupuesto Detallado</dc:title>
  <dc:creator>Inter-American Development Bank</dc:creator>
  <cp:lastModifiedBy>Test</cp:lastModifiedBy>
  <dcterms:created xsi:type="dcterms:W3CDTF">2013-09-19T18:55:58Z</dcterms:created>
  <dcterms:modified xsi:type="dcterms:W3CDTF">2013-10-22T18:48:31Z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0x01010046CF21643EE8D14686A648AA6DAD08920062F6EAB51FE7484C805E93FCCC664F6B</vt:lpwstr>
  </property>
  <property fmtid="{D5CDD505-2E9C-101B-9397-08002B2CF9AE}" pid="5" name="TaxKeywordTaxHTField">
    <vt:lpwstr/>
  </property>
  <property fmtid="{D5CDD505-2E9C-101B-9397-08002B2CF9AE}" pid="6" name="Series Operations IDB">
    <vt:lpwstr>9;#Project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9;#Project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6;#Project Preparation, Planning and Design|29ca0c72-1fc4-435f-a09c-28585cb5eac9</vt:lpwstr>
  </property>
</Properties>
</file>