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customXml/itemProps4.xml" ContentType="application/vnd.openxmlformats-officedocument.customXml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5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18195" windowHeight="11565"/>
  </bookViews>
  <sheets>
    <sheet name="PLAN.EJEC.PROG." sheetId="1" r:id="rId1"/>
  </sheets>
  <externalReferences>
    <externalReference r:id="rId2"/>
  </externalReferences>
  <calcPr calcId="145621"/>
</workbook>
</file>

<file path=xl/calcChain.xml><?xml version="1.0" encoding="utf-8"?>
<calcChain xmlns="http://schemas.openxmlformats.org/spreadsheetml/2006/main">
  <c r="S82" i="1" l="1"/>
  <c r="T82" i="1" s="1"/>
  <c r="R82" i="1"/>
  <c r="Q82" i="1"/>
  <c r="P82" i="1"/>
  <c r="N82" i="1"/>
  <c r="M82" i="1"/>
  <c r="K82" i="1"/>
  <c r="J82" i="1"/>
  <c r="H82" i="1"/>
  <c r="G82" i="1"/>
  <c r="E82" i="1"/>
  <c r="D82" i="1"/>
  <c r="O81" i="1"/>
  <c r="Q81" i="1" s="1"/>
  <c r="M81" i="1"/>
  <c r="L81" i="1"/>
  <c r="J81" i="1"/>
  <c r="I81" i="1"/>
  <c r="R81" i="1" s="1"/>
  <c r="T81" i="1" s="1"/>
  <c r="G81" i="1"/>
  <c r="H81" i="1" s="1"/>
  <c r="F81" i="1"/>
  <c r="D81" i="1"/>
  <c r="S81" i="1" s="1"/>
  <c r="C81" i="1"/>
  <c r="E81" i="1" s="1"/>
  <c r="E79" i="1" s="1"/>
  <c r="S80" i="1"/>
  <c r="S79" i="1" s="1"/>
  <c r="P80" i="1"/>
  <c r="O80" i="1"/>
  <c r="Q80" i="1" s="1"/>
  <c r="Q79" i="1" s="1"/>
  <c r="M80" i="1"/>
  <c r="N80" i="1" s="1"/>
  <c r="L80" i="1"/>
  <c r="J80" i="1"/>
  <c r="J79" i="1" s="1"/>
  <c r="I80" i="1"/>
  <c r="I79" i="1" s="1"/>
  <c r="G80" i="1"/>
  <c r="F80" i="1"/>
  <c r="H80" i="1" s="1"/>
  <c r="H79" i="1" s="1"/>
  <c r="E80" i="1"/>
  <c r="D80" i="1"/>
  <c r="C80" i="1"/>
  <c r="P79" i="1"/>
  <c r="M79" i="1"/>
  <c r="L79" i="1"/>
  <c r="G79" i="1"/>
  <c r="D79" i="1"/>
  <c r="S78" i="1"/>
  <c r="S77" i="1" s="1"/>
  <c r="Q78" i="1"/>
  <c r="Q77" i="1" s="1"/>
  <c r="O78" i="1"/>
  <c r="N78" i="1"/>
  <c r="L78" i="1"/>
  <c r="K78" i="1"/>
  <c r="K77" i="1" s="1"/>
  <c r="I78" i="1"/>
  <c r="H78" i="1"/>
  <c r="F78" i="1"/>
  <c r="R78" i="1" s="1"/>
  <c r="T78" i="1" s="1"/>
  <c r="T77" i="1" s="1"/>
  <c r="E78" i="1"/>
  <c r="E77" i="1" s="1"/>
  <c r="C78" i="1"/>
  <c r="P77" i="1"/>
  <c r="O77" i="1"/>
  <c r="N77" i="1"/>
  <c r="M77" i="1"/>
  <c r="L77" i="1"/>
  <c r="J77" i="1"/>
  <c r="I77" i="1"/>
  <c r="H77" i="1"/>
  <c r="G77" i="1"/>
  <c r="F77" i="1"/>
  <c r="D77" i="1"/>
  <c r="C77" i="1"/>
  <c r="R76" i="1"/>
  <c r="P76" i="1"/>
  <c r="Q76" i="1" s="1"/>
  <c r="O76" i="1"/>
  <c r="N76" i="1"/>
  <c r="M76" i="1"/>
  <c r="L76" i="1"/>
  <c r="J76" i="1"/>
  <c r="I76" i="1"/>
  <c r="H76" i="1"/>
  <c r="G76" i="1"/>
  <c r="F76" i="1"/>
  <c r="D76" i="1"/>
  <c r="C76" i="1"/>
  <c r="P75" i="1"/>
  <c r="O75" i="1"/>
  <c r="Q75" i="1" s="1"/>
  <c r="M75" i="1"/>
  <c r="L75" i="1"/>
  <c r="N75" i="1" s="1"/>
  <c r="J75" i="1"/>
  <c r="K75" i="1" s="1"/>
  <c r="I75" i="1"/>
  <c r="H75" i="1"/>
  <c r="G75" i="1"/>
  <c r="F75" i="1"/>
  <c r="R75" i="1" s="1"/>
  <c r="D75" i="1"/>
  <c r="C75" i="1"/>
  <c r="E75" i="1" s="1"/>
  <c r="P74" i="1"/>
  <c r="Q74" i="1" s="1"/>
  <c r="O74" i="1"/>
  <c r="N74" i="1"/>
  <c r="M74" i="1"/>
  <c r="L74" i="1"/>
  <c r="J74" i="1"/>
  <c r="I74" i="1"/>
  <c r="G74" i="1"/>
  <c r="F74" i="1"/>
  <c r="R74" i="1" s="1"/>
  <c r="D74" i="1"/>
  <c r="C74" i="1"/>
  <c r="R73" i="1"/>
  <c r="P73" i="1"/>
  <c r="O73" i="1"/>
  <c r="Q73" i="1" s="1"/>
  <c r="M73" i="1"/>
  <c r="L73" i="1"/>
  <c r="N73" i="1" s="1"/>
  <c r="J73" i="1"/>
  <c r="K73" i="1" s="1"/>
  <c r="I73" i="1"/>
  <c r="G73" i="1"/>
  <c r="F73" i="1"/>
  <c r="H73" i="1" s="1"/>
  <c r="D73" i="1"/>
  <c r="C73" i="1"/>
  <c r="E73" i="1" s="1"/>
  <c r="P72" i="1"/>
  <c r="Q72" i="1" s="1"/>
  <c r="O72" i="1"/>
  <c r="N72" i="1"/>
  <c r="M72" i="1"/>
  <c r="M71" i="1" s="1"/>
  <c r="M70" i="1" s="1"/>
  <c r="L72" i="1"/>
  <c r="J72" i="1"/>
  <c r="J71" i="1" s="1"/>
  <c r="J70" i="1" s="1"/>
  <c r="I72" i="1"/>
  <c r="G72" i="1"/>
  <c r="F72" i="1"/>
  <c r="F71" i="1" s="1"/>
  <c r="F70" i="1" s="1"/>
  <c r="D72" i="1"/>
  <c r="C72" i="1"/>
  <c r="P71" i="1"/>
  <c r="O71" i="1"/>
  <c r="O70" i="1" s="1"/>
  <c r="L71" i="1"/>
  <c r="L70" i="1" s="1"/>
  <c r="G71" i="1"/>
  <c r="G70" i="1" s="1"/>
  <c r="D71" i="1"/>
  <c r="D70" i="1" s="1"/>
  <c r="C71" i="1"/>
  <c r="C70" i="1" s="1"/>
  <c r="P70" i="1"/>
  <c r="P69" i="1"/>
  <c r="Q69" i="1" s="1"/>
  <c r="M69" i="1"/>
  <c r="N69" i="1" s="1"/>
  <c r="J69" i="1"/>
  <c r="K69" i="1" s="1"/>
  <c r="G69" i="1"/>
  <c r="H69" i="1" s="1"/>
  <c r="F69" i="1"/>
  <c r="D69" i="1"/>
  <c r="C69" i="1"/>
  <c r="R69" i="1" s="1"/>
  <c r="P68" i="1"/>
  <c r="O68" i="1"/>
  <c r="Q68" i="1" s="1"/>
  <c r="Q67" i="1" s="1"/>
  <c r="Q66" i="1" s="1"/>
  <c r="M68" i="1"/>
  <c r="N68" i="1" s="1"/>
  <c r="N67" i="1" s="1"/>
  <c r="N66" i="1" s="1"/>
  <c r="L68" i="1"/>
  <c r="J68" i="1"/>
  <c r="J67" i="1" s="1"/>
  <c r="J66" i="1" s="1"/>
  <c r="I68" i="1"/>
  <c r="I67" i="1" s="1"/>
  <c r="I66" i="1" s="1"/>
  <c r="G68" i="1"/>
  <c r="F68" i="1"/>
  <c r="H68" i="1" s="1"/>
  <c r="H67" i="1" s="1"/>
  <c r="H66" i="1" s="1"/>
  <c r="E68" i="1"/>
  <c r="D68" i="1"/>
  <c r="C68" i="1"/>
  <c r="P67" i="1"/>
  <c r="P66" i="1" s="1"/>
  <c r="M67" i="1"/>
  <c r="M66" i="1" s="1"/>
  <c r="L67" i="1"/>
  <c r="L66" i="1" s="1"/>
  <c r="G67" i="1"/>
  <c r="E67" i="1"/>
  <c r="E66" i="1" s="1"/>
  <c r="D67" i="1"/>
  <c r="D66" i="1" s="1"/>
  <c r="C67" i="1"/>
  <c r="G66" i="1"/>
  <c r="C66" i="1"/>
  <c r="Q65" i="1"/>
  <c r="P65" i="1"/>
  <c r="O65" i="1"/>
  <c r="M65" i="1"/>
  <c r="L65" i="1"/>
  <c r="N65" i="1" s="1"/>
  <c r="J65" i="1"/>
  <c r="I65" i="1"/>
  <c r="K65" i="1" s="1"/>
  <c r="G65" i="1"/>
  <c r="F65" i="1"/>
  <c r="D65" i="1"/>
  <c r="C65" i="1"/>
  <c r="E65" i="1" s="1"/>
  <c r="Q64" i="1"/>
  <c r="P64" i="1"/>
  <c r="O64" i="1"/>
  <c r="M64" i="1"/>
  <c r="N64" i="1" s="1"/>
  <c r="L64" i="1"/>
  <c r="K64" i="1"/>
  <c r="J64" i="1"/>
  <c r="I64" i="1"/>
  <c r="G64" i="1"/>
  <c r="S64" i="1" s="1"/>
  <c r="F64" i="1"/>
  <c r="D64" i="1"/>
  <c r="C64" i="1"/>
  <c r="R64" i="1" s="1"/>
  <c r="T64" i="1" s="1"/>
  <c r="P63" i="1"/>
  <c r="O63" i="1"/>
  <c r="Q63" i="1" s="1"/>
  <c r="M63" i="1"/>
  <c r="L63" i="1"/>
  <c r="N63" i="1" s="1"/>
  <c r="J63" i="1"/>
  <c r="I63" i="1"/>
  <c r="K63" i="1" s="1"/>
  <c r="G63" i="1"/>
  <c r="F63" i="1"/>
  <c r="D63" i="1"/>
  <c r="C63" i="1"/>
  <c r="R63" i="1" s="1"/>
  <c r="P62" i="1"/>
  <c r="O62" i="1"/>
  <c r="Q62" i="1" s="1"/>
  <c r="M62" i="1"/>
  <c r="N62" i="1" s="1"/>
  <c r="L62" i="1"/>
  <c r="K62" i="1"/>
  <c r="K61" i="1" s="1"/>
  <c r="J62" i="1"/>
  <c r="J61" i="1" s="1"/>
  <c r="I62" i="1"/>
  <c r="G62" i="1"/>
  <c r="F62" i="1"/>
  <c r="E62" i="1"/>
  <c r="D62" i="1"/>
  <c r="C62" i="1"/>
  <c r="P61" i="1"/>
  <c r="O61" i="1"/>
  <c r="M61" i="1"/>
  <c r="L61" i="1"/>
  <c r="I61" i="1"/>
  <c r="D61" i="1"/>
  <c r="Q60" i="1"/>
  <c r="P60" i="1"/>
  <c r="O60" i="1"/>
  <c r="M60" i="1"/>
  <c r="N60" i="1" s="1"/>
  <c r="N59" i="1" s="1"/>
  <c r="L60" i="1"/>
  <c r="J60" i="1"/>
  <c r="J59" i="1" s="1"/>
  <c r="J58" i="1" s="1"/>
  <c r="I60" i="1"/>
  <c r="K60" i="1" s="1"/>
  <c r="K59" i="1" s="1"/>
  <c r="G60" i="1"/>
  <c r="F60" i="1"/>
  <c r="E60" i="1"/>
  <c r="D60" i="1"/>
  <c r="C60" i="1"/>
  <c r="R60" i="1" s="1"/>
  <c r="Q59" i="1"/>
  <c r="P59" i="1"/>
  <c r="P58" i="1" s="1"/>
  <c r="O59" i="1"/>
  <c r="L59" i="1"/>
  <c r="L58" i="1" s="1"/>
  <c r="I59" i="1"/>
  <c r="I58" i="1" s="1"/>
  <c r="E59" i="1"/>
  <c r="D59" i="1"/>
  <c r="D58" i="1" s="1"/>
  <c r="C59" i="1"/>
  <c r="O58" i="1"/>
  <c r="P57" i="1"/>
  <c r="O57" i="1"/>
  <c r="Q57" i="1" s="1"/>
  <c r="M57" i="1"/>
  <c r="L57" i="1"/>
  <c r="N57" i="1" s="1"/>
  <c r="J57" i="1"/>
  <c r="I57" i="1"/>
  <c r="K57" i="1" s="1"/>
  <c r="H57" i="1"/>
  <c r="G57" i="1"/>
  <c r="F57" i="1"/>
  <c r="D57" i="1"/>
  <c r="D53" i="1" s="1"/>
  <c r="C57" i="1"/>
  <c r="Q56" i="1"/>
  <c r="P56" i="1"/>
  <c r="O56" i="1"/>
  <c r="M56" i="1"/>
  <c r="N56" i="1" s="1"/>
  <c r="L56" i="1"/>
  <c r="K56" i="1"/>
  <c r="J56" i="1"/>
  <c r="I56" i="1"/>
  <c r="G56" i="1"/>
  <c r="F56" i="1"/>
  <c r="E56" i="1"/>
  <c r="D56" i="1"/>
  <c r="C56" i="1"/>
  <c r="P55" i="1"/>
  <c r="O55" i="1"/>
  <c r="Q55" i="1" s="1"/>
  <c r="M55" i="1"/>
  <c r="L55" i="1"/>
  <c r="N55" i="1" s="1"/>
  <c r="J55" i="1"/>
  <c r="I55" i="1"/>
  <c r="K55" i="1" s="1"/>
  <c r="H55" i="1"/>
  <c r="G55" i="1"/>
  <c r="F55" i="1"/>
  <c r="D55" i="1"/>
  <c r="C55" i="1"/>
  <c r="P54" i="1"/>
  <c r="O54" i="1"/>
  <c r="M54" i="1"/>
  <c r="L54" i="1"/>
  <c r="K54" i="1"/>
  <c r="J54" i="1"/>
  <c r="J53" i="1" s="1"/>
  <c r="I54" i="1"/>
  <c r="G54" i="1"/>
  <c r="F54" i="1"/>
  <c r="E54" i="1"/>
  <c r="D54" i="1"/>
  <c r="C54" i="1"/>
  <c r="P53" i="1"/>
  <c r="I53" i="1"/>
  <c r="G53" i="1"/>
  <c r="C53" i="1"/>
  <c r="S52" i="1"/>
  <c r="P52" i="1"/>
  <c r="O52" i="1"/>
  <c r="Q52" i="1" s="1"/>
  <c r="M52" i="1"/>
  <c r="L52" i="1"/>
  <c r="J52" i="1"/>
  <c r="I52" i="1"/>
  <c r="K52" i="1" s="1"/>
  <c r="G52" i="1"/>
  <c r="H52" i="1" s="1"/>
  <c r="F52" i="1"/>
  <c r="E52" i="1"/>
  <c r="D52" i="1"/>
  <c r="C52" i="1"/>
  <c r="Q51" i="1"/>
  <c r="P51" i="1"/>
  <c r="O51" i="1"/>
  <c r="M51" i="1"/>
  <c r="N51" i="1" s="1"/>
  <c r="L51" i="1"/>
  <c r="K51" i="1"/>
  <c r="J51" i="1"/>
  <c r="I51" i="1"/>
  <c r="G51" i="1"/>
  <c r="F51" i="1"/>
  <c r="H51" i="1" s="1"/>
  <c r="D51" i="1"/>
  <c r="C51" i="1"/>
  <c r="E51" i="1" s="1"/>
  <c r="S50" i="1"/>
  <c r="P50" i="1"/>
  <c r="O50" i="1"/>
  <c r="Q50" i="1" s="1"/>
  <c r="M50" i="1"/>
  <c r="L50" i="1"/>
  <c r="J50" i="1"/>
  <c r="I50" i="1"/>
  <c r="K50" i="1" s="1"/>
  <c r="G50" i="1"/>
  <c r="H50" i="1" s="1"/>
  <c r="F50" i="1"/>
  <c r="E50" i="1"/>
  <c r="D50" i="1"/>
  <c r="C50" i="1"/>
  <c r="Q49" i="1"/>
  <c r="P49" i="1"/>
  <c r="O49" i="1"/>
  <c r="M49" i="1"/>
  <c r="N49" i="1" s="1"/>
  <c r="L49" i="1"/>
  <c r="K49" i="1"/>
  <c r="J49" i="1"/>
  <c r="I49" i="1"/>
  <c r="G49" i="1"/>
  <c r="F49" i="1"/>
  <c r="H49" i="1" s="1"/>
  <c r="D49" i="1"/>
  <c r="C49" i="1"/>
  <c r="E49" i="1" s="1"/>
  <c r="S48" i="1"/>
  <c r="P48" i="1"/>
  <c r="O48" i="1"/>
  <c r="Q48" i="1" s="1"/>
  <c r="M48" i="1"/>
  <c r="L48" i="1"/>
  <c r="J48" i="1"/>
  <c r="I48" i="1"/>
  <c r="K48" i="1" s="1"/>
  <c r="G48" i="1"/>
  <c r="H48" i="1" s="1"/>
  <c r="F48" i="1"/>
  <c r="E48" i="1"/>
  <c r="D48" i="1"/>
  <c r="C48" i="1"/>
  <c r="Q47" i="1"/>
  <c r="Q46" i="1" s="1"/>
  <c r="P47" i="1"/>
  <c r="O47" i="1"/>
  <c r="M47" i="1"/>
  <c r="N47" i="1" s="1"/>
  <c r="L47" i="1"/>
  <c r="K47" i="1"/>
  <c r="K46" i="1" s="1"/>
  <c r="J47" i="1"/>
  <c r="J46" i="1" s="1"/>
  <c r="I47" i="1"/>
  <c r="I46" i="1" s="1"/>
  <c r="G47" i="1"/>
  <c r="F47" i="1"/>
  <c r="H47" i="1" s="1"/>
  <c r="H46" i="1" s="1"/>
  <c r="D47" i="1"/>
  <c r="C47" i="1"/>
  <c r="E47" i="1" s="1"/>
  <c r="E46" i="1" s="1"/>
  <c r="P46" i="1"/>
  <c r="O46" i="1"/>
  <c r="M46" i="1"/>
  <c r="L46" i="1"/>
  <c r="G46" i="1"/>
  <c r="D46" i="1"/>
  <c r="C46" i="1"/>
  <c r="S45" i="1"/>
  <c r="P45" i="1"/>
  <c r="O45" i="1"/>
  <c r="Q45" i="1" s="1"/>
  <c r="M45" i="1"/>
  <c r="N45" i="1" s="1"/>
  <c r="L45" i="1"/>
  <c r="J45" i="1"/>
  <c r="I45" i="1"/>
  <c r="G45" i="1"/>
  <c r="F45" i="1"/>
  <c r="H45" i="1" s="1"/>
  <c r="E45" i="1"/>
  <c r="D45" i="1"/>
  <c r="C45" i="1"/>
  <c r="Q44" i="1"/>
  <c r="P44" i="1"/>
  <c r="P39" i="1" s="1"/>
  <c r="O44" i="1"/>
  <c r="M44" i="1"/>
  <c r="S44" i="1" s="1"/>
  <c r="L44" i="1"/>
  <c r="K44" i="1"/>
  <c r="J44" i="1"/>
  <c r="I44" i="1"/>
  <c r="G44" i="1"/>
  <c r="H44" i="1" s="1"/>
  <c r="F44" i="1"/>
  <c r="D44" i="1"/>
  <c r="C44" i="1"/>
  <c r="E44" i="1" s="1"/>
  <c r="S43" i="1"/>
  <c r="P43" i="1"/>
  <c r="O43" i="1"/>
  <c r="Q43" i="1" s="1"/>
  <c r="M43" i="1"/>
  <c r="N43" i="1" s="1"/>
  <c r="L43" i="1"/>
  <c r="K43" i="1"/>
  <c r="I43" i="1"/>
  <c r="H43" i="1"/>
  <c r="F43" i="1"/>
  <c r="D43" i="1"/>
  <c r="C43" i="1"/>
  <c r="P42" i="1"/>
  <c r="O42" i="1"/>
  <c r="M42" i="1"/>
  <c r="N42" i="1" s="1"/>
  <c r="L42" i="1"/>
  <c r="K42" i="1"/>
  <c r="I42" i="1"/>
  <c r="H42" i="1"/>
  <c r="F42" i="1"/>
  <c r="E42" i="1"/>
  <c r="D42" i="1"/>
  <c r="C42" i="1"/>
  <c r="Q41" i="1"/>
  <c r="P41" i="1"/>
  <c r="O41" i="1"/>
  <c r="M41" i="1"/>
  <c r="N41" i="1" s="1"/>
  <c r="L41" i="1"/>
  <c r="K41" i="1"/>
  <c r="I41" i="1"/>
  <c r="H41" i="1"/>
  <c r="F41" i="1"/>
  <c r="E41" i="1"/>
  <c r="D41" i="1"/>
  <c r="C41" i="1"/>
  <c r="R41" i="1" s="1"/>
  <c r="Q40" i="1"/>
  <c r="P40" i="1"/>
  <c r="O40" i="1"/>
  <c r="M40" i="1"/>
  <c r="N40" i="1" s="1"/>
  <c r="L40" i="1"/>
  <c r="K40" i="1"/>
  <c r="I40" i="1"/>
  <c r="H40" i="1"/>
  <c r="F40" i="1"/>
  <c r="D40" i="1"/>
  <c r="D39" i="1" s="1"/>
  <c r="C40" i="1"/>
  <c r="E40" i="1" s="1"/>
  <c r="J39" i="1"/>
  <c r="G39" i="1"/>
  <c r="F39" i="1"/>
  <c r="Q38" i="1"/>
  <c r="P38" i="1"/>
  <c r="O38" i="1"/>
  <c r="M38" i="1"/>
  <c r="L38" i="1"/>
  <c r="N38" i="1" s="1"/>
  <c r="J38" i="1"/>
  <c r="I38" i="1"/>
  <c r="K38" i="1" s="1"/>
  <c r="G38" i="1"/>
  <c r="F38" i="1"/>
  <c r="D38" i="1"/>
  <c r="C38" i="1"/>
  <c r="P37" i="1"/>
  <c r="O37" i="1"/>
  <c r="Q37" i="1" s="1"/>
  <c r="M37" i="1"/>
  <c r="N37" i="1" s="1"/>
  <c r="L37" i="1"/>
  <c r="K37" i="1"/>
  <c r="J37" i="1"/>
  <c r="I37" i="1"/>
  <c r="G37" i="1"/>
  <c r="S37" i="1" s="1"/>
  <c r="F37" i="1"/>
  <c r="E37" i="1"/>
  <c r="D37" i="1"/>
  <c r="C37" i="1"/>
  <c r="Q36" i="1"/>
  <c r="P36" i="1"/>
  <c r="O36" i="1"/>
  <c r="M36" i="1"/>
  <c r="L36" i="1"/>
  <c r="N36" i="1" s="1"/>
  <c r="J36" i="1"/>
  <c r="I36" i="1"/>
  <c r="K36" i="1" s="1"/>
  <c r="G36" i="1"/>
  <c r="F36" i="1"/>
  <c r="D36" i="1"/>
  <c r="C36" i="1"/>
  <c r="P35" i="1"/>
  <c r="O35" i="1"/>
  <c r="Q35" i="1" s="1"/>
  <c r="M35" i="1"/>
  <c r="N35" i="1" s="1"/>
  <c r="L35" i="1"/>
  <c r="K35" i="1"/>
  <c r="J35" i="1"/>
  <c r="I35" i="1"/>
  <c r="G35" i="1"/>
  <c r="S35" i="1" s="1"/>
  <c r="F35" i="1"/>
  <c r="E35" i="1"/>
  <c r="D35" i="1"/>
  <c r="C35" i="1"/>
  <c r="Q34" i="1"/>
  <c r="P34" i="1"/>
  <c r="O34" i="1"/>
  <c r="M34" i="1"/>
  <c r="L34" i="1"/>
  <c r="N34" i="1" s="1"/>
  <c r="J34" i="1"/>
  <c r="I34" i="1"/>
  <c r="K34" i="1" s="1"/>
  <c r="G34" i="1"/>
  <c r="F34" i="1"/>
  <c r="D34" i="1"/>
  <c r="C34" i="1"/>
  <c r="P33" i="1"/>
  <c r="O33" i="1"/>
  <c r="Q33" i="1" s="1"/>
  <c r="M33" i="1"/>
  <c r="N33" i="1" s="1"/>
  <c r="L33" i="1"/>
  <c r="K33" i="1"/>
  <c r="J33" i="1"/>
  <c r="I33" i="1"/>
  <c r="G33" i="1"/>
  <c r="S33" i="1" s="1"/>
  <c r="F33" i="1"/>
  <c r="E33" i="1"/>
  <c r="D33" i="1"/>
  <c r="C33" i="1"/>
  <c r="P32" i="1"/>
  <c r="O32" i="1"/>
  <c r="Q32" i="1" s="1"/>
  <c r="M32" i="1"/>
  <c r="L32" i="1"/>
  <c r="N32" i="1" s="1"/>
  <c r="J32" i="1"/>
  <c r="I32" i="1"/>
  <c r="K32" i="1" s="1"/>
  <c r="G32" i="1"/>
  <c r="F32" i="1"/>
  <c r="E32" i="1"/>
  <c r="D32" i="1"/>
  <c r="C32" i="1"/>
  <c r="P31" i="1"/>
  <c r="O31" i="1"/>
  <c r="O30" i="1" s="1"/>
  <c r="M31" i="1"/>
  <c r="N31" i="1" s="1"/>
  <c r="L31" i="1"/>
  <c r="J31" i="1"/>
  <c r="I31" i="1"/>
  <c r="G31" i="1"/>
  <c r="F31" i="1"/>
  <c r="E31" i="1"/>
  <c r="D31" i="1"/>
  <c r="C31" i="1"/>
  <c r="P30" i="1"/>
  <c r="M30" i="1"/>
  <c r="L30" i="1"/>
  <c r="I30" i="1"/>
  <c r="D30" i="1"/>
  <c r="C30" i="1"/>
  <c r="P27" i="1"/>
  <c r="O27" i="1"/>
  <c r="O25" i="1" s="1"/>
  <c r="M27" i="1"/>
  <c r="N27" i="1" s="1"/>
  <c r="L27" i="1"/>
  <c r="K27" i="1"/>
  <c r="J27" i="1"/>
  <c r="I27" i="1"/>
  <c r="G27" i="1"/>
  <c r="F27" i="1"/>
  <c r="H27" i="1" s="1"/>
  <c r="D27" i="1"/>
  <c r="S27" i="1" s="1"/>
  <c r="C27" i="1"/>
  <c r="P26" i="1"/>
  <c r="Q26" i="1" s="1"/>
  <c r="O26" i="1"/>
  <c r="M26" i="1"/>
  <c r="M25" i="1" s="1"/>
  <c r="L26" i="1"/>
  <c r="N26" i="1" s="1"/>
  <c r="N25" i="1" s="1"/>
  <c r="J26" i="1"/>
  <c r="I26" i="1"/>
  <c r="K26" i="1" s="1"/>
  <c r="H26" i="1"/>
  <c r="H25" i="1" s="1"/>
  <c r="G26" i="1"/>
  <c r="F26" i="1"/>
  <c r="D26" i="1"/>
  <c r="C26" i="1"/>
  <c r="L25" i="1"/>
  <c r="J25" i="1"/>
  <c r="J22" i="1" s="1"/>
  <c r="J21" i="1" s="1"/>
  <c r="G25" i="1"/>
  <c r="F25" i="1"/>
  <c r="C25" i="1"/>
  <c r="R24" i="1"/>
  <c r="R23" i="1" s="1"/>
  <c r="Q24" i="1"/>
  <c r="N24" i="1"/>
  <c r="N23" i="1" s="1"/>
  <c r="K24" i="1"/>
  <c r="H24" i="1"/>
  <c r="H23" i="1" s="1"/>
  <c r="G24" i="1"/>
  <c r="F24" i="1"/>
  <c r="F23" i="1" s="1"/>
  <c r="D24" i="1"/>
  <c r="Q23" i="1"/>
  <c r="P23" i="1"/>
  <c r="O23" i="1"/>
  <c r="O22" i="1" s="1"/>
  <c r="O21" i="1" s="1"/>
  <c r="M23" i="1"/>
  <c r="M22" i="1" s="1"/>
  <c r="M21" i="1" s="1"/>
  <c r="L23" i="1"/>
  <c r="K23" i="1"/>
  <c r="J23" i="1"/>
  <c r="I23" i="1"/>
  <c r="G23" i="1"/>
  <c r="C23" i="1"/>
  <c r="G22" i="1"/>
  <c r="C22" i="1"/>
  <c r="C21" i="1" s="1"/>
  <c r="G21" i="1"/>
  <c r="S19" i="1"/>
  <c r="S18" i="1" s="1"/>
  <c r="Q19" i="1"/>
  <c r="Q18" i="1" s="1"/>
  <c r="L19" i="1"/>
  <c r="I19" i="1"/>
  <c r="K19" i="1" s="1"/>
  <c r="F19" i="1"/>
  <c r="C19" i="1"/>
  <c r="P18" i="1"/>
  <c r="O18" i="1"/>
  <c r="M18" i="1"/>
  <c r="K18" i="1"/>
  <c r="J18" i="1"/>
  <c r="I18" i="1"/>
  <c r="G18" i="1"/>
  <c r="D18" i="1"/>
  <c r="C18" i="1"/>
  <c r="P17" i="1"/>
  <c r="O17" i="1"/>
  <c r="Q17" i="1" s="1"/>
  <c r="Q16" i="1" s="1"/>
  <c r="Q15" i="1" s="1"/>
  <c r="Q14" i="1" s="1"/>
  <c r="M17" i="1"/>
  <c r="N17" i="1" s="1"/>
  <c r="N16" i="1" s="1"/>
  <c r="N15" i="1" s="1"/>
  <c r="N14" i="1" s="1"/>
  <c r="L17" i="1"/>
  <c r="K17" i="1"/>
  <c r="K16" i="1" s="1"/>
  <c r="K15" i="1" s="1"/>
  <c r="K14" i="1" s="1"/>
  <c r="K13" i="1" s="1"/>
  <c r="J17" i="1"/>
  <c r="J16" i="1" s="1"/>
  <c r="J15" i="1" s="1"/>
  <c r="J14" i="1" s="1"/>
  <c r="J13" i="1" s="1"/>
  <c r="I17" i="1"/>
  <c r="G17" i="1"/>
  <c r="S17" i="1" s="1"/>
  <c r="S16" i="1" s="1"/>
  <c r="S15" i="1" s="1"/>
  <c r="F17" i="1"/>
  <c r="H17" i="1" s="1"/>
  <c r="H16" i="1" s="1"/>
  <c r="H15" i="1" s="1"/>
  <c r="H14" i="1" s="1"/>
  <c r="E17" i="1"/>
  <c r="D17" i="1"/>
  <c r="C17" i="1"/>
  <c r="P16" i="1"/>
  <c r="P15" i="1" s="1"/>
  <c r="P14" i="1" s="1"/>
  <c r="P13" i="1" s="1"/>
  <c r="M16" i="1"/>
  <c r="M15" i="1" s="1"/>
  <c r="M14" i="1" s="1"/>
  <c r="M13" i="1" s="1"/>
  <c r="L16" i="1"/>
  <c r="L15" i="1" s="1"/>
  <c r="L14" i="1" s="1"/>
  <c r="I16" i="1"/>
  <c r="G16" i="1"/>
  <c r="G15" i="1" s="1"/>
  <c r="G14" i="1" s="1"/>
  <c r="E16" i="1"/>
  <c r="E15" i="1" s="1"/>
  <c r="E14" i="1" s="1"/>
  <c r="D16" i="1"/>
  <c r="D15" i="1" s="1"/>
  <c r="D14" i="1" s="1"/>
  <c r="D13" i="1" s="1"/>
  <c r="C16" i="1"/>
  <c r="I15" i="1"/>
  <c r="I14" i="1" s="1"/>
  <c r="I13" i="1" s="1"/>
  <c r="C15" i="1"/>
  <c r="C14" i="1"/>
  <c r="I22" i="1" l="1"/>
  <c r="I21" i="1" s="1"/>
  <c r="E13" i="1"/>
  <c r="Q13" i="1"/>
  <c r="G13" i="1"/>
  <c r="S14" i="1"/>
  <c r="S13" i="1" s="1"/>
  <c r="E30" i="1"/>
  <c r="L13" i="1"/>
  <c r="R19" i="1"/>
  <c r="E19" i="1"/>
  <c r="E18" i="1" s="1"/>
  <c r="Q25" i="1"/>
  <c r="Q22" i="1" s="1"/>
  <c r="Q21" i="1" s="1"/>
  <c r="T74" i="1"/>
  <c r="H19" i="1"/>
  <c r="H18" i="1" s="1"/>
  <c r="H13" i="1" s="1"/>
  <c r="F18" i="1"/>
  <c r="D23" i="1"/>
  <c r="D22" i="1" s="1"/>
  <c r="D21" i="1" s="1"/>
  <c r="D20" i="1" s="1"/>
  <c r="D12" i="1" s="1"/>
  <c r="D83" i="1" s="1"/>
  <c r="S24" i="1"/>
  <c r="S23" i="1" s="1"/>
  <c r="E24" i="1"/>
  <c r="E23" i="1" s="1"/>
  <c r="T24" i="1"/>
  <c r="T23" i="1" s="1"/>
  <c r="R26" i="1"/>
  <c r="P29" i="1"/>
  <c r="P28" i="1" s="1"/>
  <c r="J30" i="1"/>
  <c r="J29" i="1" s="1"/>
  <c r="J28" i="1" s="1"/>
  <c r="K31" i="1"/>
  <c r="K30" i="1" s="1"/>
  <c r="H36" i="1"/>
  <c r="S36" i="1"/>
  <c r="R38" i="1"/>
  <c r="T38" i="1" s="1"/>
  <c r="E38" i="1"/>
  <c r="E39" i="1"/>
  <c r="Q42" i="1"/>
  <c r="O39" i="1"/>
  <c r="O29" i="1" s="1"/>
  <c r="O28" i="1" s="1"/>
  <c r="O20" i="1" s="1"/>
  <c r="Q54" i="1"/>
  <c r="Q53" i="1" s="1"/>
  <c r="O53" i="1"/>
  <c r="O16" i="1"/>
  <c r="O15" i="1" s="1"/>
  <c r="O14" i="1" s="1"/>
  <c r="O13" i="1" s="1"/>
  <c r="R17" i="1"/>
  <c r="P22" i="1"/>
  <c r="P21" i="1" s="1"/>
  <c r="P20" i="1" s="1"/>
  <c r="F22" i="1"/>
  <c r="F21" i="1" s="1"/>
  <c r="N22" i="1"/>
  <c r="N21" i="1" s="1"/>
  <c r="P25" i="1"/>
  <c r="E26" i="1"/>
  <c r="E25" i="1" s="1"/>
  <c r="S26" i="1"/>
  <c r="S25" i="1" s="1"/>
  <c r="K25" i="1"/>
  <c r="K22" i="1" s="1"/>
  <c r="K21" i="1" s="1"/>
  <c r="Q27" i="1"/>
  <c r="Q31" i="1"/>
  <c r="Q30" i="1" s="1"/>
  <c r="Q29" i="1" s="1"/>
  <c r="H34" i="1"/>
  <c r="S34" i="1"/>
  <c r="R36" i="1"/>
  <c r="E36" i="1"/>
  <c r="C13" i="1"/>
  <c r="P12" i="1"/>
  <c r="P83" i="1" s="1"/>
  <c r="N19" i="1"/>
  <c r="N18" i="1" s="1"/>
  <c r="N13" i="1" s="1"/>
  <c r="L18" i="1"/>
  <c r="L22" i="1"/>
  <c r="L21" i="1" s="1"/>
  <c r="D25" i="1"/>
  <c r="J20" i="1"/>
  <c r="J12" i="1" s="1"/>
  <c r="J83" i="1" s="1"/>
  <c r="R27" i="1"/>
  <c r="T27" i="1" s="1"/>
  <c r="R31" i="1"/>
  <c r="S31" i="1"/>
  <c r="G30" i="1"/>
  <c r="G29" i="1" s="1"/>
  <c r="R32" i="1"/>
  <c r="H32" i="1"/>
  <c r="S32" i="1"/>
  <c r="R33" i="1"/>
  <c r="T33" i="1" s="1"/>
  <c r="R34" i="1"/>
  <c r="E34" i="1"/>
  <c r="Q39" i="1"/>
  <c r="R43" i="1"/>
  <c r="T43" i="1" s="1"/>
  <c r="E43" i="1"/>
  <c r="C39" i="1"/>
  <c r="C29" i="1" s="1"/>
  <c r="C28" i="1" s="1"/>
  <c r="C20" i="1" s="1"/>
  <c r="K45" i="1"/>
  <c r="K39" i="1" s="1"/>
  <c r="I39" i="1"/>
  <c r="I29" i="1" s="1"/>
  <c r="I28" i="1" s="1"/>
  <c r="Q61" i="1"/>
  <c r="T75" i="1"/>
  <c r="H22" i="1"/>
  <c r="H21" i="1" s="1"/>
  <c r="H38" i="1"/>
  <c r="S38" i="1"/>
  <c r="R35" i="1"/>
  <c r="T35" i="1" s="1"/>
  <c r="R37" i="1"/>
  <c r="T37" i="1" s="1"/>
  <c r="S41" i="1"/>
  <c r="T41" i="1" s="1"/>
  <c r="S47" i="1"/>
  <c r="S46" i="1" s="1"/>
  <c r="S49" i="1"/>
  <c r="S51" i="1"/>
  <c r="S56" i="1"/>
  <c r="C58" i="1"/>
  <c r="R59" i="1"/>
  <c r="S60" i="1"/>
  <c r="S59" i="1" s="1"/>
  <c r="G59" i="1"/>
  <c r="C61" i="1"/>
  <c r="E63" i="1"/>
  <c r="E64" i="1"/>
  <c r="K68" i="1"/>
  <c r="K67" i="1" s="1"/>
  <c r="K66" i="1" s="1"/>
  <c r="H72" i="1"/>
  <c r="R72" i="1"/>
  <c r="F16" i="1"/>
  <c r="F15" i="1" s="1"/>
  <c r="F14" i="1" s="1"/>
  <c r="I25" i="1"/>
  <c r="E27" i="1"/>
  <c r="L29" i="1"/>
  <c r="L28" i="1" s="1"/>
  <c r="N30" i="1"/>
  <c r="R42" i="1"/>
  <c r="T42" i="1" s="1"/>
  <c r="S42" i="1"/>
  <c r="R45" i="1"/>
  <c r="T45" i="1" s="1"/>
  <c r="R48" i="1"/>
  <c r="T48" i="1" s="1"/>
  <c r="N48" i="1"/>
  <c r="N46" i="1" s="1"/>
  <c r="R50" i="1"/>
  <c r="T50" i="1" s="1"/>
  <c r="N50" i="1"/>
  <c r="R52" i="1"/>
  <c r="T52" i="1" s="1"/>
  <c r="N52" i="1"/>
  <c r="N54" i="1"/>
  <c r="N53" i="1" s="1"/>
  <c r="M53" i="1"/>
  <c r="S54" i="1"/>
  <c r="K58" i="1"/>
  <c r="R62" i="1"/>
  <c r="G61" i="1"/>
  <c r="S62" i="1"/>
  <c r="S68" i="1"/>
  <c r="S67" i="1" s="1"/>
  <c r="S66" i="1" s="1"/>
  <c r="N71" i="1"/>
  <c r="N70" i="1" s="1"/>
  <c r="H74" i="1"/>
  <c r="K80" i="1"/>
  <c r="K81" i="1"/>
  <c r="H56" i="1"/>
  <c r="R56" i="1"/>
  <c r="T56" i="1" s="1"/>
  <c r="S57" i="1"/>
  <c r="E57" i="1"/>
  <c r="T63" i="1"/>
  <c r="H63" i="1"/>
  <c r="S63" i="1"/>
  <c r="D29" i="1"/>
  <c r="D28" i="1" s="1"/>
  <c r="H31" i="1"/>
  <c r="F30" i="1"/>
  <c r="H33" i="1"/>
  <c r="H35" i="1"/>
  <c r="H37" i="1"/>
  <c r="M39" i="1"/>
  <c r="M29" i="1" s="1"/>
  <c r="M28" i="1" s="1"/>
  <c r="M20" i="1" s="1"/>
  <c r="M12" i="1" s="1"/>
  <c r="M83" i="1" s="1"/>
  <c r="R40" i="1"/>
  <c r="H39" i="1"/>
  <c r="N39" i="1"/>
  <c r="S40" i="1"/>
  <c r="R44" i="1"/>
  <c r="T44" i="1" s="1"/>
  <c r="N44" i="1"/>
  <c r="R47" i="1"/>
  <c r="R49" i="1"/>
  <c r="T49" i="1" s="1"/>
  <c r="R51" i="1"/>
  <c r="T51" i="1" s="1"/>
  <c r="L53" i="1"/>
  <c r="H54" i="1"/>
  <c r="H53" i="1" s="1"/>
  <c r="F53" i="1"/>
  <c r="R54" i="1"/>
  <c r="K53" i="1"/>
  <c r="S55" i="1"/>
  <c r="E55" i="1"/>
  <c r="E53" i="1" s="1"/>
  <c r="Q58" i="1"/>
  <c r="R65" i="1"/>
  <c r="T65" i="1" s="1"/>
  <c r="H65" i="1"/>
  <c r="S65" i="1"/>
  <c r="S69" i="1"/>
  <c r="T69" i="1" s="1"/>
  <c r="R77" i="1"/>
  <c r="L39" i="1"/>
  <c r="F46" i="1"/>
  <c r="R55" i="1"/>
  <c r="R57" i="1"/>
  <c r="T57" i="1" s="1"/>
  <c r="M59" i="1"/>
  <c r="M58" i="1" s="1"/>
  <c r="H60" i="1"/>
  <c r="H59" i="1" s="1"/>
  <c r="N61" i="1"/>
  <c r="N58" i="1" s="1"/>
  <c r="O67" i="1"/>
  <c r="O66" i="1" s="1"/>
  <c r="R68" i="1"/>
  <c r="E69" i="1"/>
  <c r="Q71" i="1"/>
  <c r="Q70" i="1" s="1"/>
  <c r="S73" i="1"/>
  <c r="T73" i="1" s="1"/>
  <c r="S75" i="1"/>
  <c r="C79" i="1"/>
  <c r="O79" i="1"/>
  <c r="R80" i="1"/>
  <c r="H62" i="1"/>
  <c r="H64" i="1"/>
  <c r="E72" i="1"/>
  <c r="S72" i="1"/>
  <c r="S71" i="1" s="1"/>
  <c r="S70" i="1" s="1"/>
  <c r="K72" i="1"/>
  <c r="E74" i="1"/>
  <c r="S74" i="1"/>
  <c r="K74" i="1"/>
  <c r="E76" i="1"/>
  <c r="S76" i="1"/>
  <c r="T76" i="1" s="1"/>
  <c r="K76" i="1"/>
  <c r="N81" i="1"/>
  <c r="N79" i="1" s="1"/>
  <c r="F59" i="1"/>
  <c r="F61" i="1"/>
  <c r="F67" i="1"/>
  <c r="F66" i="1" s="1"/>
  <c r="I71" i="1"/>
  <c r="I70" i="1" s="1"/>
  <c r="F79" i="1"/>
  <c r="T47" i="1" l="1"/>
  <c r="T46" i="1" s="1"/>
  <c r="R46" i="1"/>
  <c r="H30" i="1"/>
  <c r="H29" i="1" s="1"/>
  <c r="G58" i="1"/>
  <c r="G28" i="1" s="1"/>
  <c r="G20" i="1" s="1"/>
  <c r="G12" i="1" s="1"/>
  <c r="G83" i="1" s="1"/>
  <c r="C12" i="1"/>
  <c r="C83" i="1" s="1"/>
  <c r="K20" i="1"/>
  <c r="K12" i="1" s="1"/>
  <c r="H58" i="1"/>
  <c r="T54" i="1"/>
  <c r="R53" i="1"/>
  <c r="R39" i="1"/>
  <c r="T40" i="1"/>
  <c r="T39" i="1" s="1"/>
  <c r="H71" i="1"/>
  <c r="H70" i="1" s="1"/>
  <c r="R58" i="1"/>
  <c r="T31" i="1"/>
  <c r="R30" i="1"/>
  <c r="L20" i="1"/>
  <c r="Q28" i="1"/>
  <c r="Q20" i="1" s="1"/>
  <c r="Q12" i="1" s="1"/>
  <c r="Q83" i="1" s="1"/>
  <c r="E22" i="1"/>
  <c r="E21" i="1" s="1"/>
  <c r="R14" i="1"/>
  <c r="F58" i="1"/>
  <c r="K71" i="1"/>
  <c r="K70" i="1" s="1"/>
  <c r="H61" i="1"/>
  <c r="T68" i="1"/>
  <c r="T67" i="1" s="1"/>
  <c r="T66" i="1" s="1"/>
  <c r="R67" i="1"/>
  <c r="R66" i="1" s="1"/>
  <c r="S39" i="1"/>
  <c r="F29" i="1"/>
  <c r="K79" i="1"/>
  <c r="S61" i="1"/>
  <c r="S53" i="1"/>
  <c r="N29" i="1"/>
  <c r="N28" i="1" s="1"/>
  <c r="N20" i="1" s="1"/>
  <c r="N12" i="1" s="1"/>
  <c r="N83" i="1" s="1"/>
  <c r="F13" i="1"/>
  <c r="T60" i="1"/>
  <c r="T59" i="1" s="1"/>
  <c r="T58" i="1" s="1"/>
  <c r="T34" i="1"/>
  <c r="T32" i="1"/>
  <c r="T36" i="1"/>
  <c r="T17" i="1"/>
  <c r="T16" i="1" s="1"/>
  <c r="T15" i="1" s="1"/>
  <c r="R16" i="1"/>
  <c r="R15" i="1" s="1"/>
  <c r="K29" i="1"/>
  <c r="K28" i="1" s="1"/>
  <c r="S22" i="1"/>
  <c r="S21" i="1" s="1"/>
  <c r="T80" i="1"/>
  <c r="T79" i="1" s="1"/>
  <c r="R79" i="1"/>
  <c r="O12" i="1"/>
  <c r="O83" i="1" s="1"/>
  <c r="R25" i="1"/>
  <c r="R22" i="1" s="1"/>
  <c r="R21" i="1" s="1"/>
  <c r="T26" i="1"/>
  <c r="T25" i="1" s="1"/>
  <c r="T19" i="1"/>
  <c r="T18" i="1" s="1"/>
  <c r="R18" i="1"/>
  <c r="E29" i="1"/>
  <c r="E28" i="1" s="1"/>
  <c r="I20" i="1"/>
  <c r="I12" i="1" s="1"/>
  <c r="I83" i="1" s="1"/>
  <c r="E71" i="1"/>
  <c r="E70" i="1" s="1"/>
  <c r="T55" i="1"/>
  <c r="T62" i="1"/>
  <c r="T61" i="1" s="1"/>
  <c r="R61" i="1"/>
  <c r="T72" i="1"/>
  <c r="T71" i="1" s="1"/>
  <c r="T70" i="1" s="1"/>
  <c r="R71" i="1"/>
  <c r="R70" i="1" s="1"/>
  <c r="E61" i="1"/>
  <c r="E58" i="1" s="1"/>
  <c r="S58" i="1"/>
  <c r="S30" i="1"/>
  <c r="T22" i="1"/>
  <c r="T21" i="1" s="1"/>
  <c r="L12" i="1"/>
  <c r="L83" i="1" s="1"/>
  <c r="K83" i="1" l="1"/>
  <c r="S29" i="1"/>
  <c r="S28" i="1" s="1"/>
  <c r="S20" i="1"/>
  <c r="S12" i="1" s="1"/>
  <c r="S83" i="1" s="1"/>
  <c r="F12" i="1"/>
  <c r="F83" i="1" s="1"/>
  <c r="T14" i="1"/>
  <c r="T13" i="1" s="1"/>
  <c r="R13" i="1"/>
  <c r="R29" i="1"/>
  <c r="R28" i="1" s="1"/>
  <c r="R20" i="1" s="1"/>
  <c r="T20" i="1"/>
  <c r="F28" i="1"/>
  <c r="F20" i="1" s="1"/>
  <c r="E20" i="1"/>
  <c r="E12" i="1" s="1"/>
  <c r="E83" i="1" s="1"/>
  <c r="T30" i="1"/>
  <c r="T29" i="1" s="1"/>
  <c r="T28" i="1" s="1"/>
  <c r="T53" i="1"/>
  <c r="H28" i="1"/>
  <c r="H20" i="1" s="1"/>
  <c r="H12" i="1" s="1"/>
  <c r="H83" i="1" s="1"/>
  <c r="R12" i="1" l="1"/>
  <c r="R83" i="1" s="1"/>
  <c r="T12" i="1"/>
  <c r="T83" i="1" s="1"/>
  <c r="G87" i="1" l="1"/>
  <c r="E87" i="1"/>
  <c r="C87" i="1"/>
  <c r="F87" i="1"/>
  <c r="D87" i="1"/>
  <c r="H87" i="1" l="1"/>
</calcChain>
</file>

<file path=xl/sharedStrings.xml><?xml version="1.0" encoding="utf-8"?>
<sst xmlns="http://schemas.openxmlformats.org/spreadsheetml/2006/main" count="109" uniqueCount="93">
  <si>
    <t>REPUBLICA DOMINICANA</t>
  </si>
  <si>
    <t>PROGRAMA DE DESARROLLO PRODUCTIVO Y COMPETITIVIDAD DE LA PROVINCIA DE SAN JUAN</t>
  </si>
  <si>
    <t>(DR-L1068)</t>
  </si>
  <si>
    <t>PLAN DE EJECUCION DEL PROGRAMA (PEP)</t>
  </si>
  <si>
    <t>(en Dólares)</t>
  </si>
  <si>
    <t>Descripción/Fuente</t>
  </si>
  <si>
    <t>Año 1</t>
  </si>
  <si>
    <t>Año 2</t>
  </si>
  <si>
    <t>Año 3</t>
  </si>
  <si>
    <t>Año 4</t>
  </si>
  <si>
    <t>Año 5</t>
  </si>
  <si>
    <t>Total</t>
  </si>
  <si>
    <t>BID</t>
  </si>
  <si>
    <t>Aporte Local</t>
  </si>
  <si>
    <t>I.  COSTOS DIRECTOS</t>
  </si>
  <si>
    <t xml:space="preserve">     A.  Componente 1:  Acceso a crédito</t>
  </si>
  <si>
    <t>Fondo de crédito</t>
  </si>
  <si>
    <r>
      <t xml:space="preserve">               </t>
    </r>
    <r>
      <rPr>
        <u/>
        <sz val="8"/>
        <rFont val="Calibri"/>
        <family val="2"/>
      </rPr>
      <t>Producto 1.1:  Subasta de préstamos de segundo piso por parte del Banco Central de la República Dominicana</t>
    </r>
  </si>
  <si>
    <r>
      <t xml:space="preserve">                              </t>
    </r>
    <r>
      <rPr>
        <u/>
        <sz val="8"/>
        <rFont val="Calibri"/>
        <family val="2"/>
      </rPr>
      <t>Subproducto 1.1.1:  Asignación de recursos a bancos comerciales elegibles</t>
    </r>
  </si>
  <si>
    <t xml:space="preserve">                                   Actividad 1.1.1.1:  Desembolso de recursos crediticios y ejecución de proyectos por beneficiarios</t>
  </si>
  <si>
    <t xml:space="preserve">          Asistencia Técnica para acceso al crédito</t>
  </si>
  <si>
    <r>
      <t xml:space="preserve">               </t>
    </r>
    <r>
      <rPr>
        <u/>
        <sz val="8"/>
        <rFont val="Calibri"/>
        <family val="2"/>
      </rPr>
      <t>Producto 1.2:  Apoyos para el acceso al crédito</t>
    </r>
  </si>
  <si>
    <t xml:space="preserve">     B.  Componente 2:  Inversiones habilitantes para la mejora productiva</t>
  </si>
  <si>
    <r>
      <t xml:space="preserve">           -  </t>
    </r>
    <r>
      <rPr>
        <b/>
        <u/>
        <sz val="8"/>
        <rFont val="Calibri"/>
        <family val="2"/>
      </rPr>
      <t>Mejora y adecuación de infraestructura existente de caminos vecinales y productivos</t>
    </r>
  </si>
  <si>
    <r>
      <t xml:space="preserve">                    </t>
    </r>
    <r>
      <rPr>
        <u/>
        <sz val="8"/>
        <rFont val="Calibri"/>
        <family val="2"/>
      </rPr>
      <t>Producto 2.1.1:  Reconstrucción y mantenimiento de caminos vecinales y productivos</t>
    </r>
  </si>
  <si>
    <r>
      <t xml:space="preserve">                              </t>
    </r>
    <r>
      <rPr>
        <u/>
        <sz val="8"/>
        <rFont val="Calibri"/>
        <family val="2"/>
      </rPr>
      <t>Subproducto 2.1.1.1:  Diseño de las obras y desarrollo de los pliegos de contratación</t>
    </r>
  </si>
  <si>
    <t xml:space="preserve">                                   Actividad 2.1.1.1.1:  Consultoría técnica especializada</t>
  </si>
  <si>
    <r>
      <t xml:space="preserve">                              </t>
    </r>
    <r>
      <rPr>
        <u/>
        <sz val="8"/>
        <rFont val="Calibri"/>
        <family val="2"/>
      </rPr>
      <t>Subproducto 2.1.1.2:  Construcción de obras y ejecución de acciones de mantenimiento</t>
    </r>
  </si>
  <si>
    <t xml:space="preserve">                                   Actividad 2.1.1.2.1:  Construcción de obras</t>
  </si>
  <si>
    <t xml:space="preserve">                                   Actividad 2.1.1.2.2:  Mantenimiento de las obras</t>
  </si>
  <si>
    <r>
      <t xml:space="preserve">           -  </t>
    </r>
    <r>
      <rPr>
        <b/>
        <u/>
        <sz val="8"/>
        <rFont val="Calibri"/>
        <family val="2"/>
      </rPr>
      <t>Modernización de la gestión del riego</t>
    </r>
  </si>
  <si>
    <r>
      <t xml:space="preserve">                    </t>
    </r>
    <r>
      <rPr>
        <u/>
        <sz val="8"/>
        <rFont val="Calibri"/>
        <family val="2"/>
      </rPr>
      <t>Producto 2.2.1:  Fortalecimiento de los Actores de Riego</t>
    </r>
  </si>
  <si>
    <r>
      <t xml:space="preserve">                              </t>
    </r>
    <r>
      <rPr>
        <u/>
        <sz val="8"/>
        <rFont val="Calibri"/>
        <family val="2"/>
      </rPr>
      <t>Subproducto 2.2.1.1:  Fortalecimiento de las Juntas de Riego</t>
    </r>
  </si>
  <si>
    <t xml:space="preserve">                                   Actividad 2.2.1.1.1:  Apoyo a la administración</t>
  </si>
  <si>
    <t xml:space="preserve">                                   Actividad 2.2.1.1.2:  Apoyo a la capacidad gerencial</t>
  </si>
  <si>
    <t xml:space="preserve">                                   Actividad 2.2.1.1.3:  Políticas y marco legal</t>
  </si>
  <si>
    <t xml:space="preserve">                                   Actividad 2.2.1.1.4:  Estructuración tarifaria</t>
  </si>
  <si>
    <t xml:space="preserve">                                   Actividad 2.2.1.1.5:  Estudios y servicios técnicos</t>
  </si>
  <si>
    <t xml:space="preserve">                                   Actividad 2.2.1.1.6:  Desarrollo de indicadores de desempeño</t>
  </si>
  <si>
    <t xml:space="preserve">                                   Actividad 2.2.1.1.7:  Padrón de predios y productores</t>
  </si>
  <si>
    <t xml:space="preserve">                                   Actividad 2.2.1.1.8:  Capacitación</t>
  </si>
  <si>
    <r>
      <t xml:space="preserve">                              </t>
    </r>
    <r>
      <rPr>
        <u/>
        <sz val="8"/>
        <rFont val="Calibri"/>
        <family val="2"/>
      </rPr>
      <t>Subproducto 2.2.1.2:  Fortalecimiento de las Juntas de Riego y otros actores</t>
    </r>
  </si>
  <si>
    <t xml:space="preserve">                                   Actividad 2.2.1.2.1:  Mejoras en organización y métodos para el manejo de sistemas</t>
  </si>
  <si>
    <t xml:space="preserve">                                   Actividad 2.2.1.2.2:  Desarrollo de planes de riego</t>
  </si>
  <si>
    <t xml:space="preserve">                                   Actividad 2.2.1.2.3:  Planes de distribución de aguas</t>
  </si>
  <si>
    <t xml:space="preserve">                                   Actividad 2.2.1.2.4:  Planes de mantenimiento</t>
  </si>
  <si>
    <t xml:space="preserve">                                   Actividad 2.2.1.2.5:  Programa de medición de caudales</t>
  </si>
  <si>
    <t xml:space="preserve">                                   Actividad 2.2.1.2.6:  Actividades varias de asistencia técnica</t>
  </si>
  <si>
    <r>
      <t xml:space="preserve">                              </t>
    </r>
    <r>
      <rPr>
        <u/>
        <sz val="8"/>
        <rFont val="Calibri"/>
        <family val="2"/>
      </rPr>
      <t>Subproducto 2.2.1.3:  Relaciones interinstitucionales</t>
    </r>
  </si>
  <si>
    <t xml:space="preserve">                                   Actividad 2.2.1.3.1:  Talleres nacionales</t>
  </si>
  <si>
    <t xml:space="preserve">                                   Actividad 2.2.1.3.2:  Talleres internacionales</t>
  </si>
  <si>
    <t xml:space="preserve">                                   Actividad 2.2.1.3.3:  Estudios de caso</t>
  </si>
  <si>
    <t xml:space="preserve">                                   Actividad 2.2.1.3.4:  Conferencias</t>
  </si>
  <si>
    <t xml:space="preserve">                                   Actividad 2.2.1.3.5:  Mesas de concertación</t>
  </si>
  <si>
    <t xml:space="preserve">                                   Actividad 2.2.1.3.6:  Visitas de campo</t>
  </si>
  <si>
    <r>
      <t xml:space="preserve">                              </t>
    </r>
    <r>
      <rPr>
        <u/>
        <sz val="8"/>
        <rFont val="Calibri"/>
        <family val="2"/>
      </rPr>
      <t>Subproducto 2.2.1.4:  Estudios cortos ocasionales relacionados al medio ambiente</t>
    </r>
  </si>
  <si>
    <t xml:space="preserve">                                   Actividad 2.2.1.4.1:  Estudios de evaluación ambiental y social</t>
  </si>
  <si>
    <t xml:space="preserve">                                   Actividad 2.2.1.4.2:  Monitoreo de aguas residuales</t>
  </si>
  <si>
    <t xml:space="preserve">                                   Actividad 2.2.1.4.3:  Caudales ecológicos y fuentes de agua</t>
  </si>
  <si>
    <t xml:space="preserve">                                   Actividad 2.2.1.4.4:  Monitoreo de recursos de cuencas</t>
  </si>
  <si>
    <r>
      <t xml:space="preserve">                    </t>
    </r>
    <r>
      <rPr>
        <u/>
        <sz val="8"/>
        <rFont val="Calibri"/>
        <family val="2"/>
      </rPr>
      <t>Producto: 2.2.2:  Mejoramiento de la infraestructura</t>
    </r>
  </si>
  <si>
    <r>
      <t xml:space="preserve">                              </t>
    </r>
    <r>
      <rPr>
        <u/>
        <sz val="8"/>
        <rFont val="Calibri"/>
        <family val="2"/>
      </rPr>
      <t>Subproducto 2.2.2.1:  Estudios de preinversión</t>
    </r>
  </si>
  <si>
    <t xml:space="preserve">                                   Actividad 2.2.2.1.1:  Diseño de los sistemas de riego</t>
  </si>
  <si>
    <r>
      <t xml:space="preserve">                              </t>
    </r>
    <r>
      <rPr>
        <u/>
        <sz val="8"/>
        <rFont val="Calibri"/>
        <family val="2"/>
      </rPr>
      <t>Subproducto 2.2.2.2:  Obras de infraestructura</t>
    </r>
  </si>
  <si>
    <t xml:space="preserve">                                   Actividad 2.2.2.2.1:  Obras en red primaria y secundaria</t>
  </si>
  <si>
    <t xml:space="preserve">                                   Actividad 2.2.2.2.2:  Tramos de canales</t>
  </si>
  <si>
    <t xml:space="preserve">                                   Actividad 2.2.2.2.3:  Estructuras y equipos de medición de caudales</t>
  </si>
  <si>
    <t xml:space="preserve">                                   Actividad 2.2.2.2.4:  Otras obras incluyendo gastos de preinversión</t>
  </si>
  <si>
    <r>
      <t xml:space="preserve">                    </t>
    </r>
    <r>
      <rPr>
        <u/>
        <sz val="8"/>
        <rFont val="Calibri"/>
        <family val="2"/>
      </rPr>
      <t>Producto: 2.2.3:  Estudios para modernización del riego</t>
    </r>
  </si>
  <si>
    <r>
      <t xml:space="preserve">                              </t>
    </r>
    <r>
      <rPr>
        <u/>
        <sz val="8"/>
        <rFont val="Calibri"/>
        <family val="2"/>
      </rPr>
      <t>Subproducto 2.2.3.1:  Estudios de pre-factibilidad y factibilidad</t>
    </r>
  </si>
  <si>
    <t xml:space="preserve">                                   Actividad 2.2.3.1.1:  Estudios y evaluaciones</t>
  </si>
  <si>
    <r>
      <t xml:space="preserve">          -  </t>
    </r>
    <r>
      <rPr>
        <b/>
        <u/>
        <sz val="8"/>
        <rFont val="Calibri"/>
        <family val="2"/>
      </rPr>
      <t>Otras Inversiones habilitantes</t>
    </r>
  </si>
  <si>
    <t>II.  ADMINISTRACION DEL PROGRAMA</t>
  </si>
  <si>
    <t xml:space="preserve">     A.  Personal - Salarios</t>
  </si>
  <si>
    <t xml:space="preserve">          1.  Dirección y coordinación</t>
  </si>
  <si>
    <t xml:space="preserve">          2.  Administración y finanzas</t>
  </si>
  <si>
    <t xml:space="preserve">          3.  Supervisión de campo</t>
  </si>
  <si>
    <t xml:space="preserve">     B.  Equipos de oficina, mobiliario, vehículos, adaptación de espacio físico y otros</t>
  </si>
  <si>
    <t xml:space="preserve">     C.  Gastos de operación</t>
  </si>
  <si>
    <t>III.  AUDITORIAS EXTERNAS</t>
  </si>
  <si>
    <t xml:space="preserve">     A.  Auditorías financieras externas independientes</t>
  </si>
  <si>
    <t>IV.  MONITOREO Y EVALUACION</t>
  </si>
  <si>
    <t xml:space="preserve">     A.  Evaluación de medio término</t>
  </si>
  <si>
    <t xml:space="preserve">     B.  Evaluación final</t>
  </si>
  <si>
    <t>V.  IMPREVISTOS</t>
  </si>
  <si>
    <t>T O T A L</t>
  </si>
  <si>
    <t>CRONOGRAMA DE DESEMBOLSOS DEL BANCO</t>
  </si>
  <si>
    <t>AÑO 1</t>
  </si>
  <si>
    <t>AÑO 2</t>
  </si>
  <si>
    <t>AÑO 3</t>
  </si>
  <si>
    <t>AÑO 4</t>
  </si>
  <si>
    <t>AÑO 5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</si>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</sst>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6" x14ac:knownFonts="1">
    <font>
      <sz val="10"/>
      <name val="Arial"/>
    </font>
    <font>
      <b/>
      <sz val="8"/>
      <name val="Calibri"/>
      <family val="2"/>
    </font>
    <font>
      <sz val="8"/>
      <name val="Calibri"/>
      <family val="2"/>
    </font>
    <font>
      <u/>
      <sz val="8"/>
      <name val="Calibri"/>
      <family val="2"/>
    </font>
    <font>
      <b/>
      <sz val="10"/>
      <name val="Arial"/>
      <family val="2"/>
    </font>
    <font>
      <b/>
      <u/>
      <sz val="8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</fills>
  <borders count="47">
    <border>
      <left/>
      <right/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ck">
        <color indexed="64"/>
      </right>
      <top style="medium">
        <color indexed="64"/>
      </top>
      <bottom/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">
        <color indexed="64"/>
      </top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</borders>
  <cellStyleXfs count="1">
    <xf numFmtId="0" fontId="0" fillId="0" borderId="0"/>
  </cellStyleXfs>
  <cellXfs count="111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37" fontId="0" fillId="0" borderId="0" xfId="0" applyNumberFormat="1"/>
    <xf numFmtId="0" fontId="1" fillId="3" borderId="13" xfId="0" applyFont="1" applyFill="1" applyBorder="1"/>
    <xf numFmtId="37" fontId="1" fillId="3" borderId="2" xfId="0" applyNumberFormat="1" applyFont="1" applyFill="1" applyBorder="1"/>
    <xf numFmtId="37" fontId="1" fillId="3" borderId="3" xfId="0" applyNumberFormat="1" applyFont="1" applyFill="1" applyBorder="1"/>
    <xf numFmtId="37" fontId="1" fillId="3" borderId="4" xfId="0" applyNumberFormat="1" applyFont="1" applyFill="1" applyBorder="1"/>
    <xf numFmtId="0" fontId="1" fillId="4" borderId="13" xfId="0" applyFont="1" applyFill="1" applyBorder="1"/>
    <xf numFmtId="37" fontId="1" fillId="4" borderId="14" xfId="0" applyNumberFormat="1" applyFont="1" applyFill="1" applyBorder="1"/>
    <xf numFmtId="0" fontId="1" fillId="0" borderId="15" xfId="0" applyFont="1" applyBorder="1" applyAlignment="1">
      <alignment horizontal="left" wrapText="1" indent="2"/>
    </xf>
    <xf numFmtId="37" fontId="1" fillId="0" borderId="16" xfId="0" applyNumberFormat="1" applyFont="1" applyBorder="1"/>
    <xf numFmtId="37" fontId="1" fillId="0" borderId="17" xfId="0" applyNumberFormat="1" applyFont="1" applyBorder="1"/>
    <xf numFmtId="37" fontId="1" fillId="0" borderId="18" xfId="0" applyNumberFormat="1" applyFont="1" applyBorder="1"/>
    <xf numFmtId="0" fontId="2" fillId="0" borderId="19" xfId="0" applyFont="1" applyBorder="1" applyAlignment="1">
      <alignment wrapText="1"/>
    </xf>
    <xf numFmtId="37" fontId="3" fillId="0" borderId="20" xfId="0" applyNumberFormat="1" applyFont="1" applyBorder="1"/>
    <xf numFmtId="37" fontId="3" fillId="0" borderId="21" xfId="0" applyNumberFormat="1" applyFont="1" applyBorder="1"/>
    <xf numFmtId="37" fontId="3" fillId="0" borderId="22" xfId="0" applyNumberFormat="1" applyFont="1" applyBorder="1"/>
    <xf numFmtId="37" fontId="3" fillId="0" borderId="23" xfId="0" applyNumberFormat="1" applyFont="1" applyFill="1" applyBorder="1"/>
    <xf numFmtId="37" fontId="3" fillId="0" borderId="24" xfId="0" applyNumberFormat="1" applyFont="1" applyFill="1" applyBorder="1"/>
    <xf numFmtId="37" fontId="3" fillId="0" borderId="25" xfId="0" applyNumberFormat="1" applyFont="1" applyFill="1" applyBorder="1"/>
    <xf numFmtId="37" fontId="3" fillId="0" borderId="23" xfId="0" applyNumberFormat="1" applyFont="1" applyBorder="1"/>
    <xf numFmtId="37" fontId="3" fillId="0" borderId="24" xfId="0" applyNumberFormat="1" applyFont="1" applyBorder="1"/>
    <xf numFmtId="37" fontId="3" fillId="0" borderId="25" xfId="0" applyNumberFormat="1" applyFont="1" applyBorder="1"/>
    <xf numFmtId="37" fontId="2" fillId="0" borderId="20" xfId="0" applyNumberFormat="1" applyFont="1" applyFill="1" applyBorder="1"/>
    <xf numFmtId="37" fontId="2" fillId="0" borderId="21" xfId="0" applyNumberFormat="1" applyFont="1" applyFill="1" applyBorder="1"/>
    <xf numFmtId="37" fontId="2" fillId="0" borderId="22" xfId="0" applyNumberFormat="1" applyFont="1" applyFill="1" applyBorder="1"/>
    <xf numFmtId="37" fontId="2" fillId="0" borderId="20" xfId="0" applyNumberFormat="1" applyFont="1" applyBorder="1"/>
    <xf numFmtId="37" fontId="2" fillId="0" borderId="21" xfId="0" applyNumberFormat="1" applyFont="1" applyBorder="1"/>
    <xf numFmtId="37" fontId="2" fillId="0" borderId="22" xfId="0" applyNumberFormat="1" applyFont="1" applyBorder="1"/>
    <xf numFmtId="0" fontId="4" fillId="0" borderId="0" xfId="0" applyFont="1"/>
    <xf numFmtId="0" fontId="1" fillId="0" borderId="26" xfId="0" applyFont="1" applyBorder="1" applyAlignment="1">
      <alignment wrapText="1"/>
    </xf>
    <xf numFmtId="37" fontId="1" fillId="0" borderId="27" xfId="0" applyNumberFormat="1" applyFont="1" applyFill="1" applyBorder="1"/>
    <xf numFmtId="37" fontId="2" fillId="0" borderId="27" xfId="0" applyNumberFormat="1" applyFont="1" applyFill="1" applyBorder="1"/>
    <xf numFmtId="37" fontId="2" fillId="0" borderId="28" xfId="0" applyNumberFormat="1" applyFont="1" applyFill="1" applyBorder="1"/>
    <xf numFmtId="37" fontId="2" fillId="0" borderId="27" xfId="0" applyNumberFormat="1" applyFont="1" applyBorder="1"/>
    <xf numFmtId="37" fontId="2" fillId="0" borderId="28" xfId="0" applyNumberFormat="1" applyFont="1" applyBorder="1"/>
    <xf numFmtId="37" fontId="1" fillId="4" borderId="29" xfId="0" applyNumberFormat="1" applyFont="1" applyFill="1" applyBorder="1"/>
    <xf numFmtId="37" fontId="1" fillId="4" borderId="30" xfId="0" applyNumberFormat="1" applyFont="1" applyFill="1" applyBorder="1"/>
    <xf numFmtId="0" fontId="1" fillId="0" borderId="5" xfId="0" applyFont="1" applyBorder="1" applyAlignment="1">
      <alignment wrapText="1"/>
    </xf>
    <xf numFmtId="37" fontId="5" fillId="0" borderId="23" xfId="0" applyNumberFormat="1" applyFont="1" applyBorder="1"/>
    <xf numFmtId="37" fontId="5" fillId="0" borderId="24" xfId="0" applyNumberFormat="1" applyFont="1" applyBorder="1"/>
    <xf numFmtId="37" fontId="5" fillId="0" borderId="25" xfId="0" applyNumberFormat="1" applyFont="1" applyBorder="1"/>
    <xf numFmtId="37" fontId="2" fillId="0" borderId="23" xfId="0" applyNumberFormat="1" applyFont="1" applyBorder="1"/>
    <xf numFmtId="37" fontId="2" fillId="0" borderId="24" xfId="0" applyNumberFormat="1" applyFont="1" applyBorder="1"/>
    <xf numFmtId="37" fontId="2" fillId="0" borderId="25" xfId="0" applyNumberFormat="1" applyFont="1" applyBorder="1"/>
    <xf numFmtId="0" fontId="1" fillId="0" borderId="19" xfId="0" applyFont="1" applyBorder="1" applyAlignment="1">
      <alignment wrapText="1"/>
    </xf>
    <xf numFmtId="37" fontId="5" fillId="0" borderId="20" xfId="0" applyNumberFormat="1" applyFont="1" applyBorder="1"/>
    <xf numFmtId="37" fontId="5" fillId="0" borderId="21" xfId="0" applyNumberFormat="1" applyFont="1" applyBorder="1"/>
    <xf numFmtId="37" fontId="5" fillId="0" borderId="22" xfId="0" applyNumberFormat="1" applyFont="1" applyBorder="1"/>
    <xf numFmtId="37" fontId="3" fillId="0" borderId="31" xfId="0" applyNumberFormat="1" applyFont="1" applyBorder="1"/>
    <xf numFmtId="37" fontId="3" fillId="0" borderId="32" xfId="0" applyNumberFormat="1" applyFont="1" applyBorder="1"/>
    <xf numFmtId="37" fontId="3" fillId="0" borderId="33" xfId="0" applyNumberFormat="1" applyFont="1" applyBorder="1"/>
    <xf numFmtId="0" fontId="2" fillId="0" borderId="5" xfId="0" applyFont="1" applyBorder="1" applyAlignment="1">
      <alignment wrapText="1"/>
    </xf>
    <xf numFmtId="0" fontId="1" fillId="0" borderId="34" xfId="0" applyFont="1" applyBorder="1" applyAlignment="1">
      <alignment wrapText="1"/>
    </xf>
    <xf numFmtId="37" fontId="5" fillId="0" borderId="35" xfId="0" applyNumberFormat="1" applyFont="1" applyBorder="1"/>
    <xf numFmtId="37" fontId="5" fillId="0" borderId="36" xfId="0" applyNumberFormat="1" applyFont="1" applyBorder="1"/>
    <xf numFmtId="37" fontId="5" fillId="0" borderId="37" xfId="0" applyNumberFormat="1" applyFont="1" applyBorder="1"/>
    <xf numFmtId="37" fontId="1" fillId="0" borderId="35" xfId="0" applyNumberFormat="1" applyFont="1" applyBorder="1"/>
    <xf numFmtId="37" fontId="1" fillId="0" borderId="36" xfId="0" applyNumberFormat="1" applyFont="1" applyBorder="1"/>
    <xf numFmtId="37" fontId="1" fillId="0" borderId="37" xfId="0" applyNumberFormat="1" applyFont="1" applyBorder="1"/>
    <xf numFmtId="0" fontId="1" fillId="5" borderId="38" xfId="0" applyFont="1" applyFill="1" applyBorder="1"/>
    <xf numFmtId="0" fontId="2" fillId="0" borderId="5" xfId="0" applyFont="1" applyFill="1" applyBorder="1" applyAlignment="1">
      <alignment vertical="top" wrapText="1"/>
    </xf>
    <xf numFmtId="0" fontId="2" fillId="0" borderId="19" xfId="0" applyFont="1" applyFill="1" applyBorder="1" applyAlignment="1">
      <alignment vertical="top" wrapText="1"/>
    </xf>
    <xf numFmtId="0" fontId="1" fillId="4" borderId="39" xfId="0" applyFont="1" applyFill="1" applyBorder="1" applyAlignment="1">
      <alignment vertical="top" wrapText="1"/>
    </xf>
    <xf numFmtId="37" fontId="1" fillId="4" borderId="39" xfId="0" applyNumberFormat="1" applyFont="1" applyFill="1" applyBorder="1"/>
    <xf numFmtId="37" fontId="1" fillId="4" borderId="40" xfId="0" applyNumberFormat="1" applyFont="1" applyFill="1" applyBorder="1"/>
    <xf numFmtId="37" fontId="1" fillId="4" borderId="41" xfId="0" applyNumberFormat="1" applyFont="1" applyFill="1" applyBorder="1"/>
    <xf numFmtId="0" fontId="1" fillId="4" borderId="15" xfId="0" applyFont="1" applyFill="1" applyBorder="1" applyAlignment="1">
      <alignment vertical="top" wrapText="1"/>
    </xf>
    <xf numFmtId="37" fontId="1" fillId="4" borderId="16" xfId="0" applyNumberFormat="1" applyFont="1" applyFill="1" applyBorder="1"/>
    <xf numFmtId="37" fontId="1" fillId="4" borderId="17" xfId="0" applyNumberFormat="1" applyFont="1" applyFill="1" applyBorder="1"/>
    <xf numFmtId="37" fontId="1" fillId="4" borderId="42" xfId="0" applyNumberFormat="1" applyFont="1" applyFill="1" applyBorder="1"/>
    <xf numFmtId="37" fontId="1" fillId="4" borderId="43" xfId="0" applyNumberFormat="1" applyFont="1" applyFill="1" applyBorder="1"/>
    <xf numFmtId="37" fontId="1" fillId="4" borderId="44" xfId="0" applyNumberFormat="1" applyFont="1" applyFill="1" applyBorder="1"/>
    <xf numFmtId="0" fontId="1" fillId="4" borderId="38" xfId="0" applyFont="1" applyFill="1" applyBorder="1"/>
    <xf numFmtId="37" fontId="1" fillId="4" borderId="2" xfId="0" applyNumberFormat="1" applyFont="1" applyFill="1" applyBorder="1"/>
    <xf numFmtId="37" fontId="1" fillId="4" borderId="3" xfId="0" applyNumberFormat="1" applyFont="1" applyFill="1" applyBorder="1"/>
    <xf numFmtId="37" fontId="1" fillId="4" borderId="25" xfId="0" applyNumberFormat="1" applyFont="1" applyFill="1" applyBorder="1"/>
    <xf numFmtId="37" fontId="1" fillId="4" borderId="23" xfId="0" applyNumberFormat="1" applyFont="1" applyFill="1" applyBorder="1"/>
    <xf numFmtId="37" fontId="1" fillId="4" borderId="24" xfId="0" applyNumberFormat="1" applyFont="1" applyFill="1" applyBorder="1"/>
    <xf numFmtId="0" fontId="1" fillId="4" borderId="1" xfId="0" applyFont="1" applyFill="1" applyBorder="1"/>
    <xf numFmtId="37" fontId="1" fillId="4" borderId="6" xfId="0" applyNumberFormat="1" applyFont="1" applyFill="1" applyBorder="1"/>
    <xf numFmtId="37" fontId="1" fillId="4" borderId="7" xfId="0" applyNumberFormat="1" applyFont="1" applyFill="1" applyBorder="1"/>
    <xf numFmtId="37" fontId="1" fillId="4" borderId="8" xfId="0" applyNumberFormat="1" applyFont="1" applyFill="1" applyBorder="1"/>
    <xf numFmtId="0" fontId="1" fillId="4" borderId="45" xfId="0" applyFont="1" applyFill="1" applyBorder="1"/>
    <xf numFmtId="37" fontId="1" fillId="5" borderId="2" xfId="0" applyNumberFormat="1" applyFont="1" applyFill="1" applyBorder="1"/>
    <xf numFmtId="37" fontId="1" fillId="5" borderId="3" xfId="0" applyNumberFormat="1" applyFont="1" applyFill="1" applyBorder="1"/>
    <xf numFmtId="0" fontId="1" fillId="6" borderId="9" xfId="0" applyFont="1" applyFill="1" applyBorder="1" applyAlignment="1">
      <alignment horizontal="center"/>
    </xf>
    <xf numFmtId="37" fontId="1" fillId="6" borderId="10" xfId="0" applyNumberFormat="1" applyFont="1" applyFill="1" applyBorder="1"/>
    <xf numFmtId="37" fontId="1" fillId="6" borderId="11" xfId="0" applyNumberFormat="1" applyFont="1" applyFill="1" applyBorder="1"/>
    <xf numFmtId="37" fontId="1" fillId="6" borderId="12" xfId="0" applyNumberFormat="1" applyFont="1" applyFill="1" applyBorder="1"/>
    <xf numFmtId="0" fontId="1" fillId="0" borderId="29" xfId="0" applyFont="1" applyBorder="1" applyAlignment="1">
      <alignment horizontal="center"/>
    </xf>
    <xf numFmtId="0" fontId="1" fillId="0" borderId="30" xfId="0" applyFont="1" applyBorder="1" applyAlignment="1">
      <alignment horizontal="center"/>
    </xf>
    <xf numFmtId="164" fontId="1" fillId="0" borderId="44" xfId="0" applyNumberFormat="1" applyFont="1" applyBorder="1" applyAlignment="1">
      <alignment horizontal="center"/>
    </xf>
    <xf numFmtId="164" fontId="1" fillId="0" borderId="46" xfId="0" applyNumberFormat="1" applyFont="1" applyBorder="1" applyAlignment="1">
      <alignment horizontal="center"/>
    </xf>
    <xf numFmtId="0" fontId="1" fillId="2" borderId="8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11" Type="http://schemas.openxmlformats.org/officeDocument/2006/relationships/customXml" Target="../customXml/item5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ATA.IDB\5-REP%20DOMINICANA\POD\post-QRR\Post-IFD\consulta%20RND\Presupuesto%20detallado_revisad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ESUP.CONS."/>
      <sheetName val="PLAN.EJEC.PROG."/>
      <sheetName val="COST.ADMIN.SALARIOS"/>
      <sheetName val="COST.ADMIN.ACTIVOS"/>
      <sheetName val="COST.ADMIN.OPER."/>
    </sheetNames>
    <sheetDataSet>
      <sheetData sheetId="0"/>
      <sheetData sheetId="1"/>
      <sheetData sheetId="2">
        <row r="12">
          <cell r="D12">
            <v>67200</v>
          </cell>
        </row>
        <row r="13">
          <cell r="D13">
            <v>54000</v>
          </cell>
        </row>
        <row r="14">
          <cell r="D14">
            <v>42000</v>
          </cell>
        </row>
        <row r="15">
          <cell r="D15">
            <v>42000</v>
          </cell>
        </row>
        <row r="16">
          <cell r="D16">
            <v>78000</v>
          </cell>
        </row>
        <row r="17">
          <cell r="D17">
            <v>42000</v>
          </cell>
        </row>
        <row r="19">
          <cell r="D19">
            <v>60000</v>
          </cell>
        </row>
        <row r="20">
          <cell r="D20">
            <v>37200</v>
          </cell>
        </row>
        <row r="21">
          <cell r="D21">
            <v>30000</v>
          </cell>
        </row>
        <row r="22">
          <cell r="D22">
            <v>24000</v>
          </cell>
        </row>
        <row r="23">
          <cell r="D23">
            <v>14400</v>
          </cell>
        </row>
        <row r="24">
          <cell r="D24">
            <v>13200</v>
          </cell>
        </row>
        <row r="25">
          <cell r="D25">
            <v>24000</v>
          </cell>
        </row>
        <row r="26">
          <cell r="D26">
            <v>9600</v>
          </cell>
        </row>
        <row r="27">
          <cell r="D27">
            <v>16800</v>
          </cell>
        </row>
        <row r="29">
          <cell r="D29">
            <v>14400</v>
          </cell>
        </row>
      </sheetData>
      <sheetData sheetId="3">
        <row r="36">
          <cell r="E36">
            <v>174200</v>
          </cell>
        </row>
      </sheetData>
      <sheetData sheetId="4">
        <row r="37">
          <cell r="E37">
            <v>400000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V90"/>
  <sheetViews>
    <sheetView showGridLines="0" tabSelected="1" workbookViewId="0">
      <selection activeCell="A83" sqref="A83"/>
    </sheetView>
  </sheetViews>
  <sheetFormatPr defaultRowHeight="12.75" x14ac:dyDescent="0.2"/>
  <cols>
    <col min="1" max="1" width="9.7109375" bestFit="1" customWidth="1"/>
    <col min="2" max="2" width="93" customWidth="1"/>
    <col min="3" max="20" width="12.7109375" customWidth="1"/>
    <col min="22" max="22" width="10.7109375" bestFit="1" customWidth="1"/>
  </cols>
  <sheetData>
    <row r="2" spans="2:22" x14ac:dyDescent="0.2">
      <c r="B2" s="106" t="s">
        <v>0</v>
      </c>
      <c r="C2" s="106"/>
      <c r="D2" s="106"/>
      <c r="E2" s="106"/>
      <c r="F2" s="106"/>
      <c r="G2" s="106"/>
      <c r="H2" s="106"/>
      <c r="I2" s="106"/>
      <c r="J2" s="106"/>
      <c r="K2" s="106"/>
      <c r="L2" s="106"/>
      <c r="M2" s="106"/>
      <c r="N2" s="106"/>
      <c r="O2" s="106"/>
      <c r="P2" s="106"/>
      <c r="Q2" s="106"/>
      <c r="R2" s="106"/>
      <c r="S2" s="106"/>
      <c r="T2" s="106"/>
    </row>
    <row r="3" spans="2:22" x14ac:dyDescent="0.2">
      <c r="B3" s="106" t="s">
        <v>1</v>
      </c>
      <c r="C3" s="106"/>
      <c r="D3" s="106"/>
      <c r="E3" s="106"/>
      <c r="F3" s="106"/>
      <c r="G3" s="106"/>
      <c r="H3" s="106"/>
      <c r="I3" s="106"/>
      <c r="J3" s="106"/>
      <c r="K3" s="106"/>
      <c r="L3" s="106"/>
      <c r="M3" s="106"/>
      <c r="N3" s="106"/>
      <c r="O3" s="106"/>
      <c r="P3" s="106"/>
      <c r="Q3" s="106"/>
      <c r="R3" s="106"/>
      <c r="S3" s="106"/>
      <c r="T3" s="106"/>
    </row>
    <row r="4" spans="2:22" x14ac:dyDescent="0.2">
      <c r="B4" s="106" t="s">
        <v>2</v>
      </c>
      <c r="C4" s="106"/>
      <c r="D4" s="106"/>
      <c r="E4" s="106"/>
      <c r="F4" s="106"/>
      <c r="G4" s="106"/>
      <c r="H4" s="106"/>
      <c r="I4" s="106"/>
      <c r="J4" s="106"/>
      <c r="K4" s="106"/>
      <c r="L4" s="106"/>
      <c r="M4" s="106"/>
      <c r="N4" s="106"/>
      <c r="O4" s="106"/>
      <c r="P4" s="106"/>
      <c r="Q4" s="106"/>
      <c r="R4" s="106"/>
      <c r="S4" s="106"/>
      <c r="T4" s="106"/>
    </row>
    <row r="5" spans="2:22" x14ac:dyDescent="0.2">
      <c r="B5" s="1"/>
      <c r="C5" s="1"/>
    </row>
    <row r="6" spans="2:22" x14ac:dyDescent="0.2">
      <c r="B6" s="106" t="s">
        <v>3</v>
      </c>
      <c r="C6" s="106"/>
      <c r="D6" s="106"/>
      <c r="E6" s="106"/>
      <c r="F6" s="106"/>
      <c r="G6" s="106"/>
      <c r="H6" s="106"/>
      <c r="I6" s="106"/>
      <c r="J6" s="106"/>
      <c r="K6" s="106"/>
      <c r="L6" s="106"/>
      <c r="M6" s="106"/>
      <c r="N6" s="106"/>
      <c r="O6" s="106"/>
      <c r="P6" s="106"/>
      <c r="Q6" s="106"/>
      <c r="R6" s="106"/>
      <c r="S6" s="106"/>
      <c r="T6" s="106"/>
    </row>
    <row r="7" spans="2:22" x14ac:dyDescent="0.2">
      <c r="B7" s="107" t="s">
        <v>4</v>
      </c>
      <c r="C7" s="107"/>
      <c r="D7" s="107"/>
      <c r="E7" s="107"/>
      <c r="F7" s="107"/>
      <c r="G7" s="107"/>
      <c r="H7" s="107"/>
      <c r="I7" s="107"/>
      <c r="J7" s="107"/>
      <c r="K7" s="107"/>
      <c r="L7" s="107"/>
      <c r="M7" s="107"/>
      <c r="N7" s="107"/>
      <c r="O7" s="107"/>
      <c r="P7" s="107"/>
      <c r="Q7" s="107"/>
      <c r="R7" s="107"/>
      <c r="S7" s="107"/>
      <c r="T7" s="107"/>
    </row>
    <row r="8" spans="2:22" ht="13.5" thickBot="1" x14ac:dyDescent="0.25">
      <c r="B8" s="2"/>
      <c r="C8" s="2"/>
      <c r="D8" s="2"/>
      <c r="E8" s="2"/>
    </row>
    <row r="9" spans="2:22" ht="14.25" thickTop="1" thickBot="1" x14ac:dyDescent="0.25">
      <c r="B9" s="108" t="s">
        <v>5</v>
      </c>
      <c r="C9" s="103" t="s">
        <v>6</v>
      </c>
      <c r="D9" s="104"/>
      <c r="E9" s="105"/>
      <c r="F9" s="103" t="s">
        <v>7</v>
      </c>
      <c r="G9" s="104"/>
      <c r="H9" s="105"/>
      <c r="I9" s="103" t="s">
        <v>8</v>
      </c>
      <c r="J9" s="104"/>
      <c r="K9" s="105"/>
      <c r="L9" s="103" t="s">
        <v>9</v>
      </c>
      <c r="M9" s="104"/>
      <c r="N9" s="105"/>
      <c r="O9" s="103" t="s">
        <v>10</v>
      </c>
      <c r="P9" s="104"/>
      <c r="Q9" s="105"/>
      <c r="R9" s="103" t="s">
        <v>11</v>
      </c>
      <c r="S9" s="104"/>
      <c r="T9" s="105"/>
    </row>
    <row r="10" spans="2:22" ht="13.5" thickTop="1" x14ac:dyDescent="0.2">
      <c r="B10" s="109"/>
      <c r="C10" s="97" t="s">
        <v>12</v>
      </c>
      <c r="D10" s="99" t="s">
        <v>13</v>
      </c>
      <c r="E10" s="95" t="s">
        <v>11</v>
      </c>
      <c r="F10" s="97" t="s">
        <v>12</v>
      </c>
      <c r="G10" s="99" t="s">
        <v>13</v>
      </c>
      <c r="H10" s="95" t="s">
        <v>11</v>
      </c>
      <c r="I10" s="97" t="s">
        <v>12</v>
      </c>
      <c r="J10" s="99" t="s">
        <v>13</v>
      </c>
      <c r="K10" s="95" t="s">
        <v>11</v>
      </c>
      <c r="L10" s="97" t="s">
        <v>12</v>
      </c>
      <c r="M10" s="99" t="s">
        <v>13</v>
      </c>
      <c r="N10" s="95" t="s">
        <v>11</v>
      </c>
      <c r="O10" s="97" t="s">
        <v>12</v>
      </c>
      <c r="P10" s="99" t="s">
        <v>13</v>
      </c>
      <c r="Q10" s="95" t="s">
        <v>11</v>
      </c>
      <c r="R10" s="97" t="s">
        <v>12</v>
      </c>
      <c r="S10" s="99" t="s">
        <v>13</v>
      </c>
      <c r="T10" s="95" t="s">
        <v>11</v>
      </c>
    </row>
    <row r="11" spans="2:22" ht="13.5" thickBot="1" x14ac:dyDescent="0.25">
      <c r="B11" s="110"/>
      <c r="C11" s="98"/>
      <c r="D11" s="100"/>
      <c r="E11" s="96"/>
      <c r="F11" s="98"/>
      <c r="G11" s="100"/>
      <c r="H11" s="96"/>
      <c r="I11" s="98"/>
      <c r="J11" s="100"/>
      <c r="K11" s="96"/>
      <c r="L11" s="98"/>
      <c r="M11" s="100"/>
      <c r="N11" s="96"/>
      <c r="O11" s="98"/>
      <c r="P11" s="100"/>
      <c r="Q11" s="96"/>
      <c r="R11" s="98"/>
      <c r="S11" s="100"/>
      <c r="T11" s="96"/>
      <c r="V11" s="3"/>
    </row>
    <row r="12" spans="2:22" ht="14.25" thickTop="1" thickBot="1" x14ac:dyDescent="0.25">
      <c r="B12" s="4" t="s">
        <v>14</v>
      </c>
      <c r="C12" s="5">
        <f t="shared" ref="C12:T12" si="0">+C13+C20</f>
        <v>3887000</v>
      </c>
      <c r="D12" s="6">
        <f t="shared" si="0"/>
        <v>200000</v>
      </c>
      <c r="E12" s="7">
        <f t="shared" si="0"/>
        <v>4087000</v>
      </c>
      <c r="F12" s="5">
        <f t="shared" si="0"/>
        <v>8432000</v>
      </c>
      <c r="G12" s="6">
        <f t="shared" si="0"/>
        <v>875000</v>
      </c>
      <c r="H12" s="7">
        <f t="shared" si="0"/>
        <v>9307000</v>
      </c>
      <c r="I12" s="5">
        <f t="shared" si="0"/>
        <v>10400000</v>
      </c>
      <c r="J12" s="6">
        <f t="shared" si="0"/>
        <v>875000</v>
      </c>
      <c r="K12" s="7">
        <f t="shared" si="0"/>
        <v>11275000</v>
      </c>
      <c r="L12" s="5">
        <f t="shared" si="0"/>
        <v>5996000</v>
      </c>
      <c r="M12" s="6">
        <f t="shared" si="0"/>
        <v>475000</v>
      </c>
      <c r="N12" s="7">
        <f t="shared" si="0"/>
        <v>6471000</v>
      </c>
      <c r="O12" s="5">
        <f t="shared" si="0"/>
        <v>3285000</v>
      </c>
      <c r="P12" s="6">
        <f t="shared" si="0"/>
        <v>475000</v>
      </c>
      <c r="Q12" s="7">
        <f t="shared" si="0"/>
        <v>3760000</v>
      </c>
      <c r="R12" s="5">
        <f t="shared" si="0"/>
        <v>32000000</v>
      </c>
      <c r="S12" s="6">
        <f t="shared" si="0"/>
        <v>2900000</v>
      </c>
      <c r="T12" s="7">
        <f t="shared" si="0"/>
        <v>34900000</v>
      </c>
    </row>
    <row r="13" spans="2:22" ht="14.25" thickTop="1" thickBot="1" x14ac:dyDescent="0.25">
      <c r="B13" s="8" t="s">
        <v>15</v>
      </c>
      <c r="C13" s="9">
        <f>+C14+C18</f>
        <v>3150000</v>
      </c>
      <c r="D13" s="9">
        <f t="shared" ref="D13:T13" si="1">+D14+D18</f>
        <v>200000</v>
      </c>
      <c r="E13" s="9">
        <f t="shared" si="1"/>
        <v>3350000</v>
      </c>
      <c r="F13" s="9">
        <f t="shared" si="1"/>
        <v>6150000</v>
      </c>
      <c r="G13" s="9">
        <f t="shared" si="1"/>
        <v>400000</v>
      </c>
      <c r="H13" s="9">
        <f t="shared" si="1"/>
        <v>6550000</v>
      </c>
      <c r="I13" s="9">
        <f t="shared" si="1"/>
        <v>6450000</v>
      </c>
      <c r="J13" s="9">
        <f t="shared" si="1"/>
        <v>400000</v>
      </c>
      <c r="K13" s="9">
        <f t="shared" si="1"/>
        <v>6850000</v>
      </c>
      <c r="L13" s="9">
        <f t="shared" si="1"/>
        <v>2250000</v>
      </c>
      <c r="M13" s="9">
        <f t="shared" si="1"/>
        <v>0</v>
      </c>
      <c r="N13" s="9">
        <f t="shared" si="1"/>
        <v>2250000</v>
      </c>
      <c r="O13" s="9">
        <f t="shared" si="1"/>
        <v>0</v>
      </c>
      <c r="P13" s="9">
        <f t="shared" si="1"/>
        <v>0</v>
      </c>
      <c r="Q13" s="9">
        <f t="shared" si="1"/>
        <v>0</v>
      </c>
      <c r="R13" s="9">
        <f t="shared" si="1"/>
        <v>18000000</v>
      </c>
      <c r="S13" s="9">
        <f t="shared" si="1"/>
        <v>1000000</v>
      </c>
      <c r="T13" s="9">
        <f t="shared" si="1"/>
        <v>19000000</v>
      </c>
    </row>
    <row r="14" spans="2:22" x14ac:dyDescent="0.2">
      <c r="B14" s="10" t="s">
        <v>16</v>
      </c>
      <c r="C14" s="11">
        <f t="shared" ref="C14:R16" si="2">+C15</f>
        <v>2700000</v>
      </c>
      <c r="D14" s="12">
        <f t="shared" si="2"/>
        <v>200000</v>
      </c>
      <c r="E14" s="13">
        <f t="shared" si="2"/>
        <v>2900000</v>
      </c>
      <c r="F14" s="11">
        <f t="shared" si="2"/>
        <v>5250000</v>
      </c>
      <c r="G14" s="12">
        <f t="shared" si="2"/>
        <v>400000</v>
      </c>
      <c r="H14" s="13">
        <f t="shared" si="2"/>
        <v>5650000</v>
      </c>
      <c r="I14" s="11">
        <f t="shared" si="2"/>
        <v>5250000</v>
      </c>
      <c r="J14" s="12">
        <f t="shared" si="2"/>
        <v>400000</v>
      </c>
      <c r="K14" s="13">
        <f t="shared" si="2"/>
        <v>5650000</v>
      </c>
      <c r="L14" s="11">
        <f t="shared" si="2"/>
        <v>1800000</v>
      </c>
      <c r="M14" s="12">
        <f t="shared" si="2"/>
        <v>0</v>
      </c>
      <c r="N14" s="13">
        <f t="shared" si="2"/>
        <v>1800000</v>
      </c>
      <c r="O14" s="11">
        <f t="shared" si="2"/>
        <v>0</v>
      </c>
      <c r="P14" s="12">
        <f t="shared" si="2"/>
        <v>0</v>
      </c>
      <c r="Q14" s="13">
        <f t="shared" si="2"/>
        <v>0</v>
      </c>
      <c r="R14" s="11">
        <f>+C14+F14+I14+L14+O14</f>
        <v>15000000</v>
      </c>
      <c r="S14" s="12">
        <f>+D14+G14+J14+M14+P14</f>
        <v>1000000</v>
      </c>
      <c r="T14" s="13">
        <f>+R14+S14</f>
        <v>16000000</v>
      </c>
    </row>
    <row r="15" spans="2:22" ht="12.75" customHeight="1" x14ac:dyDescent="0.2">
      <c r="B15" s="14" t="s">
        <v>17</v>
      </c>
      <c r="C15" s="15">
        <f t="shared" si="2"/>
        <v>2700000</v>
      </c>
      <c r="D15" s="16">
        <f t="shared" si="2"/>
        <v>200000</v>
      </c>
      <c r="E15" s="17">
        <f t="shared" si="2"/>
        <v>2900000</v>
      </c>
      <c r="F15" s="15">
        <f t="shared" si="2"/>
        <v>5250000</v>
      </c>
      <c r="G15" s="16">
        <f t="shared" si="2"/>
        <v>400000</v>
      </c>
      <c r="H15" s="17">
        <f t="shared" si="2"/>
        <v>5650000</v>
      </c>
      <c r="I15" s="15">
        <f t="shared" si="2"/>
        <v>5250000</v>
      </c>
      <c r="J15" s="16">
        <f t="shared" si="2"/>
        <v>400000</v>
      </c>
      <c r="K15" s="17">
        <f t="shared" si="2"/>
        <v>5650000</v>
      </c>
      <c r="L15" s="15">
        <f t="shared" si="2"/>
        <v>1800000</v>
      </c>
      <c r="M15" s="16">
        <f t="shared" si="2"/>
        <v>0</v>
      </c>
      <c r="N15" s="17">
        <f t="shared" si="2"/>
        <v>1800000</v>
      </c>
      <c r="O15" s="15">
        <f t="shared" si="2"/>
        <v>0</v>
      </c>
      <c r="P15" s="16">
        <f t="shared" si="2"/>
        <v>0</v>
      </c>
      <c r="Q15" s="17">
        <f t="shared" si="2"/>
        <v>0</v>
      </c>
      <c r="R15" s="15">
        <f t="shared" si="2"/>
        <v>15000000</v>
      </c>
      <c r="S15" s="16">
        <f t="shared" ref="M15:T16" si="3">+S16</f>
        <v>1000000</v>
      </c>
      <c r="T15" s="17">
        <f t="shared" si="3"/>
        <v>16000000</v>
      </c>
    </row>
    <row r="16" spans="2:22" x14ac:dyDescent="0.2">
      <c r="B16" s="14" t="s">
        <v>18</v>
      </c>
      <c r="C16" s="18">
        <f t="shared" si="2"/>
        <v>2700000</v>
      </c>
      <c r="D16" s="19">
        <f t="shared" si="2"/>
        <v>200000</v>
      </c>
      <c r="E16" s="20">
        <f t="shared" si="2"/>
        <v>2900000</v>
      </c>
      <c r="F16" s="21">
        <f t="shared" si="2"/>
        <v>5250000</v>
      </c>
      <c r="G16" s="22">
        <f t="shared" si="2"/>
        <v>400000</v>
      </c>
      <c r="H16" s="23">
        <f t="shared" si="2"/>
        <v>5650000</v>
      </c>
      <c r="I16" s="21">
        <f t="shared" si="2"/>
        <v>5250000</v>
      </c>
      <c r="J16" s="22">
        <f t="shared" si="2"/>
        <v>400000</v>
      </c>
      <c r="K16" s="23">
        <f t="shared" si="2"/>
        <v>5650000</v>
      </c>
      <c r="L16" s="21">
        <f t="shared" si="2"/>
        <v>1800000</v>
      </c>
      <c r="M16" s="22">
        <f t="shared" si="3"/>
        <v>0</v>
      </c>
      <c r="N16" s="23">
        <f t="shared" si="3"/>
        <v>1800000</v>
      </c>
      <c r="O16" s="21">
        <f t="shared" si="3"/>
        <v>0</v>
      </c>
      <c r="P16" s="22">
        <f t="shared" si="3"/>
        <v>0</v>
      </c>
      <c r="Q16" s="23">
        <f t="shared" si="3"/>
        <v>0</v>
      </c>
      <c r="R16" s="21">
        <f t="shared" si="3"/>
        <v>15000000</v>
      </c>
      <c r="S16" s="22">
        <f t="shared" si="3"/>
        <v>1000000</v>
      </c>
      <c r="T16" s="23">
        <f t="shared" si="3"/>
        <v>16000000</v>
      </c>
    </row>
    <row r="17" spans="1:20" x14ac:dyDescent="0.2">
      <c r="B17" s="14" t="s">
        <v>19</v>
      </c>
      <c r="C17" s="24">
        <f>0.18*15000000</f>
        <v>2700000</v>
      </c>
      <c r="D17" s="25">
        <f>0.2*1000000</f>
        <v>200000</v>
      </c>
      <c r="E17" s="26">
        <f>+C17+D17</f>
        <v>2900000</v>
      </c>
      <c r="F17" s="27">
        <f>0.35*15000000</f>
        <v>5250000</v>
      </c>
      <c r="G17" s="28">
        <f>0.4*1000000</f>
        <v>400000</v>
      </c>
      <c r="H17" s="29">
        <f>+F17+G17</f>
        <v>5650000</v>
      </c>
      <c r="I17" s="27">
        <f>0.35*15000000</f>
        <v>5250000</v>
      </c>
      <c r="J17" s="28">
        <f>0.4*1000000</f>
        <v>400000</v>
      </c>
      <c r="K17" s="29">
        <f>+I17+J17</f>
        <v>5650000</v>
      </c>
      <c r="L17" s="27">
        <f>0.12*15000000</f>
        <v>1800000</v>
      </c>
      <c r="M17" s="28">
        <f>0</f>
        <v>0</v>
      </c>
      <c r="N17" s="29">
        <f>+L17+M17</f>
        <v>1800000</v>
      </c>
      <c r="O17" s="27">
        <f>0</f>
        <v>0</v>
      </c>
      <c r="P17" s="28">
        <f>0</f>
        <v>0</v>
      </c>
      <c r="Q17" s="29">
        <f>+O17+P17</f>
        <v>0</v>
      </c>
      <c r="R17" s="27">
        <f>+C17+F17+I17+L17+O17</f>
        <v>15000000</v>
      </c>
      <c r="S17" s="28">
        <f>+D17+G17+J17+M17+P17</f>
        <v>1000000</v>
      </c>
      <c r="T17" s="29">
        <f>+R17+S17</f>
        <v>16000000</v>
      </c>
    </row>
    <row r="18" spans="1:20" s="30" customFormat="1" x14ac:dyDescent="0.2">
      <c r="B18" s="31" t="s">
        <v>20</v>
      </c>
      <c r="C18" s="32">
        <f>C19</f>
        <v>450000</v>
      </c>
      <c r="D18" s="32">
        <f t="shared" ref="D18:E18" si="4">D19</f>
        <v>0</v>
      </c>
      <c r="E18" s="32">
        <f t="shared" si="4"/>
        <v>450000</v>
      </c>
      <c r="F18" s="32">
        <f>F19</f>
        <v>900000</v>
      </c>
      <c r="G18" s="32">
        <f t="shared" ref="G18:H18" si="5">G19</f>
        <v>0</v>
      </c>
      <c r="H18" s="32">
        <f t="shared" si="5"/>
        <v>900000</v>
      </c>
      <c r="I18" s="32">
        <f>I19</f>
        <v>1200000</v>
      </c>
      <c r="J18" s="32">
        <f t="shared" ref="J18:K18" si="6">J19</f>
        <v>0</v>
      </c>
      <c r="K18" s="32">
        <f t="shared" si="6"/>
        <v>1200000</v>
      </c>
      <c r="L18" s="32">
        <f>L19</f>
        <v>450000</v>
      </c>
      <c r="M18" s="32">
        <f t="shared" ref="M18:N18" si="7">M19</f>
        <v>0</v>
      </c>
      <c r="N18" s="32">
        <f t="shared" si="7"/>
        <v>450000</v>
      </c>
      <c r="O18" s="32">
        <f>O19</f>
        <v>0</v>
      </c>
      <c r="P18" s="32">
        <f t="shared" ref="P18:Q18" si="8">P19</f>
        <v>0</v>
      </c>
      <c r="Q18" s="32">
        <f t="shared" si="8"/>
        <v>0</v>
      </c>
      <c r="R18" s="32">
        <f>R19</f>
        <v>3000000</v>
      </c>
      <c r="S18" s="32">
        <f t="shared" ref="S18:T18" si="9">S19</f>
        <v>0</v>
      </c>
      <c r="T18" s="32">
        <f t="shared" si="9"/>
        <v>3000000</v>
      </c>
    </row>
    <row r="19" spans="1:20" ht="13.5" thickBot="1" x14ac:dyDescent="0.25">
      <c r="B19" s="14" t="s">
        <v>21</v>
      </c>
      <c r="C19" s="33">
        <f>0.15*3000000</f>
        <v>450000</v>
      </c>
      <c r="D19" s="34">
        <v>0</v>
      </c>
      <c r="E19" s="26">
        <f t="shared" ref="E19" si="10">+C19+D19</f>
        <v>450000</v>
      </c>
      <c r="F19" s="35">
        <f>0.3*3000000</f>
        <v>900000</v>
      </c>
      <c r="G19" s="36">
        <v>0</v>
      </c>
      <c r="H19" s="29">
        <f>+F19+G19</f>
        <v>900000</v>
      </c>
      <c r="I19" s="35">
        <f>0.4*3000000</f>
        <v>1200000</v>
      </c>
      <c r="J19" s="36">
        <v>0</v>
      </c>
      <c r="K19" s="29">
        <f>+I19+J19</f>
        <v>1200000</v>
      </c>
      <c r="L19" s="35">
        <f>0.15*3000000</f>
        <v>450000</v>
      </c>
      <c r="M19" s="36">
        <v>0</v>
      </c>
      <c r="N19" s="29">
        <f>+L19+M19</f>
        <v>450000</v>
      </c>
      <c r="O19" s="35">
        <v>0</v>
      </c>
      <c r="P19" s="36">
        <v>0</v>
      </c>
      <c r="Q19" s="29">
        <f>+O19+P19</f>
        <v>0</v>
      </c>
      <c r="R19" s="27">
        <f>+C19+F19+I19+L19+O19</f>
        <v>3000000</v>
      </c>
      <c r="S19" s="28">
        <f>+D19+G19+J19+M19+P19</f>
        <v>0</v>
      </c>
      <c r="T19" s="29">
        <f>+R19+S19</f>
        <v>3000000</v>
      </c>
    </row>
    <row r="20" spans="1:20" ht="14.25" thickTop="1" thickBot="1" x14ac:dyDescent="0.25">
      <c r="B20" s="8" t="s">
        <v>22</v>
      </c>
      <c r="C20" s="9">
        <f t="shared" ref="C20:T20" si="11">+C21+C28+C69</f>
        <v>737000</v>
      </c>
      <c r="D20" s="37">
        <f t="shared" si="11"/>
        <v>0</v>
      </c>
      <c r="E20" s="38">
        <f t="shared" si="11"/>
        <v>737000</v>
      </c>
      <c r="F20" s="9">
        <f t="shared" si="11"/>
        <v>2282000</v>
      </c>
      <c r="G20" s="37">
        <f t="shared" si="11"/>
        <v>475000</v>
      </c>
      <c r="H20" s="38">
        <f t="shared" si="11"/>
        <v>2757000</v>
      </c>
      <c r="I20" s="9">
        <f t="shared" si="11"/>
        <v>3950000</v>
      </c>
      <c r="J20" s="37">
        <f t="shared" si="11"/>
        <v>475000</v>
      </c>
      <c r="K20" s="38">
        <f t="shared" si="11"/>
        <v>4425000</v>
      </c>
      <c r="L20" s="9">
        <f t="shared" si="11"/>
        <v>3746000</v>
      </c>
      <c r="M20" s="37">
        <f t="shared" si="11"/>
        <v>475000</v>
      </c>
      <c r="N20" s="38">
        <f t="shared" si="11"/>
        <v>4221000</v>
      </c>
      <c r="O20" s="9">
        <f t="shared" si="11"/>
        <v>3285000</v>
      </c>
      <c r="P20" s="37">
        <f t="shared" si="11"/>
        <v>475000</v>
      </c>
      <c r="Q20" s="38">
        <f t="shared" si="11"/>
        <v>3760000</v>
      </c>
      <c r="R20" s="9">
        <f t="shared" si="11"/>
        <v>14000000</v>
      </c>
      <c r="S20" s="37">
        <f t="shared" si="11"/>
        <v>1900000</v>
      </c>
      <c r="T20" s="38">
        <f t="shared" si="11"/>
        <v>15900000</v>
      </c>
    </row>
    <row r="21" spans="1:20" x14ac:dyDescent="0.2">
      <c r="A21" s="3"/>
      <c r="B21" s="39" t="s">
        <v>23</v>
      </c>
      <c r="C21" s="40">
        <f t="shared" ref="C21:T21" si="12">+C22</f>
        <v>100000</v>
      </c>
      <c r="D21" s="41">
        <f t="shared" si="12"/>
        <v>0</v>
      </c>
      <c r="E21" s="42">
        <f t="shared" si="12"/>
        <v>100000</v>
      </c>
      <c r="F21" s="40">
        <f t="shared" si="12"/>
        <v>1050000</v>
      </c>
      <c r="G21" s="41">
        <f t="shared" si="12"/>
        <v>350000</v>
      </c>
      <c r="H21" s="42">
        <f t="shared" si="12"/>
        <v>1400000</v>
      </c>
      <c r="I21" s="40">
        <f t="shared" si="12"/>
        <v>950000</v>
      </c>
      <c r="J21" s="41">
        <f t="shared" si="12"/>
        <v>350000</v>
      </c>
      <c r="K21" s="42">
        <f t="shared" si="12"/>
        <v>1300000</v>
      </c>
      <c r="L21" s="40">
        <f t="shared" si="12"/>
        <v>950000</v>
      </c>
      <c r="M21" s="41">
        <f t="shared" si="12"/>
        <v>350000</v>
      </c>
      <c r="N21" s="42">
        <f t="shared" si="12"/>
        <v>1300000</v>
      </c>
      <c r="O21" s="40">
        <f t="shared" si="12"/>
        <v>950000</v>
      </c>
      <c r="P21" s="41">
        <f t="shared" si="12"/>
        <v>350000</v>
      </c>
      <c r="Q21" s="42">
        <f t="shared" si="12"/>
        <v>1300000</v>
      </c>
      <c r="R21" s="40">
        <f t="shared" si="12"/>
        <v>4000000</v>
      </c>
      <c r="S21" s="41">
        <f t="shared" si="12"/>
        <v>1400000</v>
      </c>
      <c r="T21" s="42">
        <f t="shared" si="12"/>
        <v>5400000</v>
      </c>
    </row>
    <row r="22" spans="1:20" x14ac:dyDescent="0.2">
      <c r="B22" s="14" t="s">
        <v>24</v>
      </c>
      <c r="C22" s="27">
        <f t="shared" ref="C22:T22" si="13">+C23+C25</f>
        <v>100000</v>
      </c>
      <c r="D22" s="28">
        <f t="shared" si="13"/>
        <v>0</v>
      </c>
      <c r="E22" s="29">
        <f t="shared" si="13"/>
        <v>100000</v>
      </c>
      <c r="F22" s="27">
        <f t="shared" si="13"/>
        <v>1050000</v>
      </c>
      <c r="G22" s="28">
        <f t="shared" si="13"/>
        <v>350000</v>
      </c>
      <c r="H22" s="29">
        <f t="shared" si="13"/>
        <v>1400000</v>
      </c>
      <c r="I22" s="27">
        <f t="shared" si="13"/>
        <v>950000</v>
      </c>
      <c r="J22" s="28">
        <f t="shared" si="13"/>
        <v>350000</v>
      </c>
      <c r="K22" s="29">
        <f t="shared" si="13"/>
        <v>1300000</v>
      </c>
      <c r="L22" s="27">
        <f t="shared" si="13"/>
        <v>950000</v>
      </c>
      <c r="M22" s="28">
        <f t="shared" si="13"/>
        <v>350000</v>
      </c>
      <c r="N22" s="29">
        <f t="shared" si="13"/>
        <v>1300000</v>
      </c>
      <c r="O22" s="27">
        <f t="shared" si="13"/>
        <v>950000</v>
      </c>
      <c r="P22" s="28">
        <f t="shared" si="13"/>
        <v>350000</v>
      </c>
      <c r="Q22" s="29">
        <f t="shared" si="13"/>
        <v>1300000</v>
      </c>
      <c r="R22" s="27">
        <f t="shared" si="13"/>
        <v>4000000</v>
      </c>
      <c r="S22" s="28">
        <f t="shared" si="13"/>
        <v>1400000</v>
      </c>
      <c r="T22" s="29">
        <f t="shared" si="13"/>
        <v>5400000</v>
      </c>
    </row>
    <row r="23" spans="1:20" x14ac:dyDescent="0.2">
      <c r="B23" s="14" t="s">
        <v>25</v>
      </c>
      <c r="C23" s="27">
        <f t="shared" ref="C23:T23" si="14">SUM(C24)</f>
        <v>100000</v>
      </c>
      <c r="D23" s="28">
        <f t="shared" si="14"/>
        <v>0</v>
      </c>
      <c r="E23" s="29">
        <f t="shared" si="14"/>
        <v>100000</v>
      </c>
      <c r="F23" s="27">
        <f t="shared" si="14"/>
        <v>100000</v>
      </c>
      <c r="G23" s="28">
        <f t="shared" si="14"/>
        <v>0</v>
      </c>
      <c r="H23" s="29">
        <f t="shared" si="14"/>
        <v>100000</v>
      </c>
      <c r="I23" s="27">
        <f t="shared" si="14"/>
        <v>0</v>
      </c>
      <c r="J23" s="28">
        <f t="shared" si="14"/>
        <v>0</v>
      </c>
      <c r="K23" s="29">
        <f t="shared" si="14"/>
        <v>0</v>
      </c>
      <c r="L23" s="27">
        <f t="shared" si="14"/>
        <v>0</v>
      </c>
      <c r="M23" s="28">
        <f t="shared" si="14"/>
        <v>0</v>
      </c>
      <c r="N23" s="29">
        <f t="shared" si="14"/>
        <v>0</v>
      </c>
      <c r="O23" s="27">
        <f t="shared" si="14"/>
        <v>0</v>
      </c>
      <c r="P23" s="28">
        <f t="shared" si="14"/>
        <v>0</v>
      </c>
      <c r="Q23" s="29">
        <f t="shared" si="14"/>
        <v>0</v>
      </c>
      <c r="R23" s="27">
        <f t="shared" si="14"/>
        <v>200000</v>
      </c>
      <c r="S23" s="28">
        <f t="shared" si="14"/>
        <v>0</v>
      </c>
      <c r="T23" s="29">
        <f t="shared" si="14"/>
        <v>200000</v>
      </c>
    </row>
    <row r="24" spans="1:20" x14ac:dyDescent="0.2">
      <c r="B24" s="14" t="s">
        <v>26</v>
      </c>
      <c r="C24" s="27">
        <v>100000</v>
      </c>
      <c r="D24" s="28">
        <f>0</f>
        <v>0</v>
      </c>
      <c r="E24" s="29">
        <f>+C24+D24</f>
        <v>100000</v>
      </c>
      <c r="F24" s="27">
        <f>100000</f>
        <v>100000</v>
      </c>
      <c r="G24" s="28">
        <f>0</f>
        <v>0</v>
      </c>
      <c r="H24" s="29">
        <f>+F24+G24</f>
        <v>100000</v>
      </c>
      <c r="I24" s="27"/>
      <c r="J24" s="28"/>
      <c r="K24" s="29">
        <f>+I24+J24</f>
        <v>0</v>
      </c>
      <c r="L24" s="27"/>
      <c r="M24" s="28"/>
      <c r="N24" s="29">
        <f>+L24+M24</f>
        <v>0</v>
      </c>
      <c r="O24" s="27"/>
      <c r="P24" s="28"/>
      <c r="Q24" s="29">
        <f>+O24+P24</f>
        <v>0</v>
      </c>
      <c r="R24" s="27">
        <f>+C24+F24+I24+L24+O24</f>
        <v>200000</v>
      </c>
      <c r="S24" s="28">
        <f>+D24+G24+J24+M24+P24</f>
        <v>0</v>
      </c>
      <c r="T24" s="29">
        <f>+R24+S24</f>
        <v>200000</v>
      </c>
    </row>
    <row r="25" spans="1:20" x14ac:dyDescent="0.2">
      <c r="B25" s="14" t="s">
        <v>27</v>
      </c>
      <c r="C25" s="43">
        <f t="shared" ref="C25:T25" si="15">SUM(C26:C27)</f>
        <v>0</v>
      </c>
      <c r="D25" s="44">
        <f t="shared" si="15"/>
        <v>0</v>
      </c>
      <c r="E25" s="45">
        <f t="shared" si="15"/>
        <v>0</v>
      </c>
      <c r="F25" s="43">
        <f t="shared" si="15"/>
        <v>950000</v>
      </c>
      <c r="G25" s="44">
        <f t="shared" si="15"/>
        <v>350000</v>
      </c>
      <c r="H25" s="45">
        <f t="shared" si="15"/>
        <v>1300000</v>
      </c>
      <c r="I25" s="43">
        <f t="shared" si="15"/>
        <v>950000</v>
      </c>
      <c r="J25" s="44">
        <f t="shared" si="15"/>
        <v>350000</v>
      </c>
      <c r="K25" s="45">
        <f t="shared" si="15"/>
        <v>1300000</v>
      </c>
      <c r="L25" s="43">
        <f t="shared" si="15"/>
        <v>950000</v>
      </c>
      <c r="M25" s="44">
        <f t="shared" si="15"/>
        <v>350000</v>
      </c>
      <c r="N25" s="45">
        <f t="shared" si="15"/>
        <v>1300000</v>
      </c>
      <c r="O25" s="43">
        <f t="shared" si="15"/>
        <v>950000</v>
      </c>
      <c r="P25" s="44">
        <f t="shared" si="15"/>
        <v>350000</v>
      </c>
      <c r="Q25" s="45">
        <f t="shared" si="15"/>
        <v>1300000</v>
      </c>
      <c r="R25" s="43">
        <f t="shared" si="15"/>
        <v>3800000</v>
      </c>
      <c r="S25" s="44">
        <f t="shared" si="15"/>
        <v>1400000</v>
      </c>
      <c r="T25" s="45">
        <f t="shared" si="15"/>
        <v>5200000</v>
      </c>
    </row>
    <row r="26" spans="1:20" x14ac:dyDescent="0.2">
      <c r="B26" s="14" t="s">
        <v>28</v>
      </c>
      <c r="C26" s="27">
        <f>0</f>
        <v>0</v>
      </c>
      <c r="D26" s="28">
        <f>0</f>
        <v>0</v>
      </c>
      <c r="E26" s="29">
        <f>+C26+D26</f>
        <v>0</v>
      </c>
      <c r="F26" s="27">
        <f>950000</f>
        <v>950000</v>
      </c>
      <c r="G26" s="28">
        <f>0</f>
        <v>0</v>
      </c>
      <c r="H26" s="29">
        <f>+F26+G26</f>
        <v>950000</v>
      </c>
      <c r="I26" s="27">
        <f>950000</f>
        <v>950000</v>
      </c>
      <c r="J26" s="28">
        <f>0</f>
        <v>0</v>
      </c>
      <c r="K26" s="29">
        <f>+I26+J26</f>
        <v>950000</v>
      </c>
      <c r="L26" s="27">
        <f>950000</f>
        <v>950000</v>
      </c>
      <c r="M26" s="28">
        <f>0</f>
        <v>0</v>
      </c>
      <c r="N26" s="29">
        <f>+L26+M26</f>
        <v>950000</v>
      </c>
      <c r="O26" s="27">
        <f>950000</f>
        <v>950000</v>
      </c>
      <c r="P26" s="28">
        <f>0</f>
        <v>0</v>
      </c>
      <c r="Q26" s="29">
        <f>+O26+P26</f>
        <v>950000</v>
      </c>
      <c r="R26" s="27">
        <f>+C26+F26+I26+L26+O26</f>
        <v>3800000</v>
      </c>
      <c r="S26" s="28">
        <f>+D26+G26+J26+M26+P26</f>
        <v>0</v>
      </c>
      <c r="T26" s="29">
        <f>+R26+S26</f>
        <v>3800000</v>
      </c>
    </row>
    <row r="27" spans="1:20" x14ac:dyDescent="0.2">
      <c r="B27" s="14" t="s">
        <v>29</v>
      </c>
      <c r="C27" s="43">
        <f>0</f>
        <v>0</v>
      </c>
      <c r="D27" s="44">
        <f>0</f>
        <v>0</v>
      </c>
      <c r="E27" s="29">
        <f>+C27+D27</f>
        <v>0</v>
      </c>
      <c r="F27" s="43">
        <f>0</f>
        <v>0</v>
      </c>
      <c r="G27" s="44">
        <f>350000</f>
        <v>350000</v>
      </c>
      <c r="H27" s="29">
        <f>+F27+G27</f>
        <v>350000</v>
      </c>
      <c r="I27" s="43">
        <f>0</f>
        <v>0</v>
      </c>
      <c r="J27" s="44">
        <f>350000</f>
        <v>350000</v>
      </c>
      <c r="K27" s="29">
        <f>+I27+J27</f>
        <v>350000</v>
      </c>
      <c r="L27" s="43">
        <f>0</f>
        <v>0</v>
      </c>
      <c r="M27" s="44">
        <f>350000</f>
        <v>350000</v>
      </c>
      <c r="N27" s="29">
        <f>+L27+M27</f>
        <v>350000</v>
      </c>
      <c r="O27" s="43">
        <f>0</f>
        <v>0</v>
      </c>
      <c r="P27" s="44">
        <f>350000</f>
        <v>350000</v>
      </c>
      <c r="Q27" s="29">
        <f>+O27+P27</f>
        <v>350000</v>
      </c>
      <c r="R27" s="27">
        <f>+C27+F27+I27+L27+O27</f>
        <v>0</v>
      </c>
      <c r="S27" s="28">
        <f>+D27+G27+J27+M27+P27</f>
        <v>1400000</v>
      </c>
      <c r="T27" s="29">
        <f>+R27+S27</f>
        <v>1400000</v>
      </c>
    </row>
    <row r="28" spans="1:20" x14ac:dyDescent="0.2">
      <c r="B28" s="46" t="s">
        <v>30</v>
      </c>
      <c r="C28" s="47">
        <f>+C29+C58+C66</f>
        <v>637000</v>
      </c>
      <c r="D28" s="48">
        <f t="shared" ref="D28:T28" si="16">+D29+D58+D66</f>
        <v>0</v>
      </c>
      <c r="E28" s="49">
        <f t="shared" si="16"/>
        <v>637000</v>
      </c>
      <c r="F28" s="47">
        <f t="shared" si="16"/>
        <v>1232000</v>
      </c>
      <c r="G28" s="48">
        <f t="shared" si="16"/>
        <v>125000</v>
      </c>
      <c r="H28" s="49">
        <f t="shared" si="16"/>
        <v>1357000</v>
      </c>
      <c r="I28" s="47">
        <f t="shared" si="16"/>
        <v>1200000</v>
      </c>
      <c r="J28" s="48">
        <f t="shared" si="16"/>
        <v>125000</v>
      </c>
      <c r="K28" s="49">
        <f t="shared" si="16"/>
        <v>1325000</v>
      </c>
      <c r="L28" s="47">
        <f t="shared" si="16"/>
        <v>896000</v>
      </c>
      <c r="M28" s="48">
        <f t="shared" si="16"/>
        <v>125000</v>
      </c>
      <c r="N28" s="49">
        <f t="shared" si="16"/>
        <v>1021000</v>
      </c>
      <c r="O28" s="47">
        <f t="shared" si="16"/>
        <v>535000</v>
      </c>
      <c r="P28" s="48">
        <f t="shared" si="16"/>
        <v>125000</v>
      </c>
      <c r="Q28" s="49">
        <f t="shared" si="16"/>
        <v>660000</v>
      </c>
      <c r="R28" s="47">
        <f t="shared" si="16"/>
        <v>4500000</v>
      </c>
      <c r="S28" s="48">
        <f t="shared" si="16"/>
        <v>500000</v>
      </c>
      <c r="T28" s="49">
        <f t="shared" si="16"/>
        <v>5000000</v>
      </c>
    </row>
    <row r="29" spans="1:20" x14ac:dyDescent="0.2">
      <c r="A29" s="3"/>
      <c r="B29" s="14" t="s">
        <v>31</v>
      </c>
      <c r="C29" s="27">
        <f>+C30+C39+C46+C53</f>
        <v>357000</v>
      </c>
      <c r="D29" s="28">
        <f t="shared" ref="D29:T29" si="17">+D30+D39+D46+D53</f>
        <v>0</v>
      </c>
      <c r="E29" s="29">
        <f t="shared" si="17"/>
        <v>357000</v>
      </c>
      <c r="F29" s="27">
        <f t="shared" si="17"/>
        <v>772000</v>
      </c>
      <c r="G29" s="28">
        <f t="shared" si="17"/>
        <v>0</v>
      </c>
      <c r="H29" s="29">
        <f t="shared" si="17"/>
        <v>772000</v>
      </c>
      <c r="I29" s="27">
        <f t="shared" si="17"/>
        <v>340000</v>
      </c>
      <c r="J29" s="28">
        <f t="shared" si="17"/>
        <v>0</v>
      </c>
      <c r="K29" s="29">
        <f t="shared" si="17"/>
        <v>340000</v>
      </c>
      <c r="L29" s="27">
        <f t="shared" si="17"/>
        <v>96000</v>
      </c>
      <c r="M29" s="28">
        <f t="shared" si="17"/>
        <v>0</v>
      </c>
      <c r="N29" s="29">
        <f t="shared" si="17"/>
        <v>96000</v>
      </c>
      <c r="O29" s="27">
        <f t="shared" si="17"/>
        <v>65000</v>
      </c>
      <c r="P29" s="28">
        <f t="shared" si="17"/>
        <v>0</v>
      </c>
      <c r="Q29" s="29">
        <f t="shared" si="17"/>
        <v>65000</v>
      </c>
      <c r="R29" s="27">
        <f t="shared" si="17"/>
        <v>1630000</v>
      </c>
      <c r="S29" s="28">
        <f t="shared" si="17"/>
        <v>0</v>
      </c>
      <c r="T29" s="29">
        <f t="shared" si="17"/>
        <v>1630000</v>
      </c>
    </row>
    <row r="30" spans="1:20" x14ac:dyDescent="0.2">
      <c r="B30" s="14" t="s">
        <v>32</v>
      </c>
      <c r="C30" s="15">
        <f>SUM(C31:C38)</f>
        <v>337000</v>
      </c>
      <c r="D30" s="16">
        <f t="shared" ref="D30:T30" si="18">SUM(D31:D38)</f>
        <v>0</v>
      </c>
      <c r="E30" s="17">
        <f t="shared" si="18"/>
        <v>337000</v>
      </c>
      <c r="F30" s="15">
        <f t="shared" si="18"/>
        <v>398000</v>
      </c>
      <c r="G30" s="16">
        <f t="shared" si="18"/>
        <v>0</v>
      </c>
      <c r="H30" s="17">
        <f t="shared" si="18"/>
        <v>398000</v>
      </c>
      <c r="I30" s="15">
        <f t="shared" si="18"/>
        <v>163000</v>
      </c>
      <c r="J30" s="16">
        <f t="shared" si="18"/>
        <v>0</v>
      </c>
      <c r="K30" s="17">
        <f t="shared" si="18"/>
        <v>163000</v>
      </c>
      <c r="L30" s="15">
        <f t="shared" si="18"/>
        <v>27000</v>
      </c>
      <c r="M30" s="16">
        <f t="shared" si="18"/>
        <v>0</v>
      </c>
      <c r="N30" s="17">
        <f t="shared" si="18"/>
        <v>27000</v>
      </c>
      <c r="O30" s="15">
        <f t="shared" si="18"/>
        <v>17000</v>
      </c>
      <c r="P30" s="16">
        <f t="shared" si="18"/>
        <v>0</v>
      </c>
      <c r="Q30" s="17">
        <f t="shared" si="18"/>
        <v>17000</v>
      </c>
      <c r="R30" s="50">
        <f t="shared" si="18"/>
        <v>942000</v>
      </c>
      <c r="S30" s="51">
        <f t="shared" si="18"/>
        <v>0</v>
      </c>
      <c r="T30" s="52">
        <f t="shared" si="18"/>
        <v>942000</v>
      </c>
    </row>
    <row r="31" spans="1:20" x14ac:dyDescent="0.2">
      <c r="B31" s="14" t="s">
        <v>33</v>
      </c>
      <c r="C31" s="27">
        <f>70000</f>
        <v>70000</v>
      </c>
      <c r="D31" s="28">
        <f>0</f>
        <v>0</v>
      </c>
      <c r="E31" s="29">
        <f t="shared" ref="E31:E38" si="19">+C31+D31</f>
        <v>70000</v>
      </c>
      <c r="F31" s="27">
        <f>0</f>
        <v>0</v>
      </c>
      <c r="G31" s="28">
        <f>0</f>
        <v>0</v>
      </c>
      <c r="H31" s="29">
        <f t="shared" ref="H31:H38" si="20">+F31+G31</f>
        <v>0</v>
      </c>
      <c r="I31" s="27">
        <f>0</f>
        <v>0</v>
      </c>
      <c r="J31" s="28">
        <f>0</f>
        <v>0</v>
      </c>
      <c r="K31" s="29">
        <f t="shared" ref="K31:K38" si="21">+I31+J31</f>
        <v>0</v>
      </c>
      <c r="L31" s="27">
        <f>0</f>
        <v>0</v>
      </c>
      <c r="M31" s="28">
        <f>0</f>
        <v>0</v>
      </c>
      <c r="N31" s="29">
        <f t="shared" ref="N31:N38" si="22">+L31+M31</f>
        <v>0</v>
      </c>
      <c r="O31" s="27">
        <f>0</f>
        <v>0</v>
      </c>
      <c r="P31" s="28">
        <f>0</f>
        <v>0</v>
      </c>
      <c r="Q31" s="29">
        <f t="shared" ref="Q31:Q38" si="23">+O31+P31</f>
        <v>0</v>
      </c>
      <c r="R31" s="27">
        <f t="shared" ref="R31:S38" si="24">+C31+F31+I31+L31+O31</f>
        <v>70000</v>
      </c>
      <c r="S31" s="28">
        <f t="shared" si="24"/>
        <v>0</v>
      </c>
      <c r="T31" s="29">
        <f t="shared" ref="T31:T38" si="25">+R31+S31</f>
        <v>70000</v>
      </c>
    </row>
    <row r="32" spans="1:20" x14ac:dyDescent="0.2">
      <c r="B32" s="14" t="s">
        <v>34</v>
      </c>
      <c r="C32" s="27">
        <f>70000</f>
        <v>70000</v>
      </c>
      <c r="D32" s="28">
        <f>0</f>
        <v>0</v>
      </c>
      <c r="E32" s="29">
        <f t="shared" si="19"/>
        <v>70000</v>
      </c>
      <c r="F32" s="27">
        <f>0</f>
        <v>0</v>
      </c>
      <c r="G32" s="28">
        <f>0</f>
        <v>0</v>
      </c>
      <c r="H32" s="29">
        <f t="shared" si="20"/>
        <v>0</v>
      </c>
      <c r="I32" s="27">
        <f>0</f>
        <v>0</v>
      </c>
      <c r="J32" s="28">
        <f>0</f>
        <v>0</v>
      </c>
      <c r="K32" s="29">
        <f t="shared" si="21"/>
        <v>0</v>
      </c>
      <c r="L32" s="27">
        <f>0</f>
        <v>0</v>
      </c>
      <c r="M32" s="28">
        <f>0</f>
        <v>0</v>
      </c>
      <c r="N32" s="29">
        <f t="shared" si="22"/>
        <v>0</v>
      </c>
      <c r="O32" s="27">
        <f>0</f>
        <v>0</v>
      </c>
      <c r="P32" s="28">
        <f>0</f>
        <v>0</v>
      </c>
      <c r="Q32" s="29">
        <f t="shared" si="23"/>
        <v>0</v>
      </c>
      <c r="R32" s="27">
        <f t="shared" si="24"/>
        <v>70000</v>
      </c>
      <c r="S32" s="28">
        <f t="shared" si="24"/>
        <v>0</v>
      </c>
      <c r="T32" s="29">
        <f t="shared" si="25"/>
        <v>70000</v>
      </c>
    </row>
    <row r="33" spans="2:20" x14ac:dyDescent="0.2">
      <c r="B33" s="14" t="s">
        <v>35</v>
      </c>
      <c r="C33" s="27">
        <f>61000</f>
        <v>61000</v>
      </c>
      <c r="D33" s="28">
        <f>0</f>
        <v>0</v>
      </c>
      <c r="E33" s="29">
        <f t="shared" si="19"/>
        <v>61000</v>
      </c>
      <c r="F33" s="27">
        <f>0</f>
        <v>0</v>
      </c>
      <c r="G33" s="28">
        <f>0</f>
        <v>0</v>
      </c>
      <c r="H33" s="29">
        <f t="shared" si="20"/>
        <v>0</v>
      </c>
      <c r="I33" s="27">
        <f>0</f>
        <v>0</v>
      </c>
      <c r="J33" s="28">
        <f>0</f>
        <v>0</v>
      </c>
      <c r="K33" s="29">
        <f t="shared" si="21"/>
        <v>0</v>
      </c>
      <c r="L33" s="27">
        <f>0</f>
        <v>0</v>
      </c>
      <c r="M33" s="28">
        <f>0</f>
        <v>0</v>
      </c>
      <c r="N33" s="29">
        <f t="shared" si="22"/>
        <v>0</v>
      </c>
      <c r="O33" s="27">
        <f>0</f>
        <v>0</v>
      </c>
      <c r="P33" s="28">
        <f>0</f>
        <v>0</v>
      </c>
      <c r="Q33" s="29">
        <f t="shared" si="23"/>
        <v>0</v>
      </c>
      <c r="R33" s="27">
        <f t="shared" si="24"/>
        <v>61000</v>
      </c>
      <c r="S33" s="28">
        <f t="shared" si="24"/>
        <v>0</v>
      </c>
      <c r="T33" s="29">
        <f t="shared" si="25"/>
        <v>61000</v>
      </c>
    </row>
    <row r="34" spans="2:20" x14ac:dyDescent="0.2">
      <c r="B34" s="14" t="s">
        <v>36</v>
      </c>
      <c r="C34" s="27">
        <f>0</f>
        <v>0</v>
      </c>
      <c r="D34" s="28">
        <f>0</f>
        <v>0</v>
      </c>
      <c r="E34" s="29">
        <f t="shared" si="19"/>
        <v>0</v>
      </c>
      <c r="F34" s="27">
        <f>70000</f>
        <v>70000</v>
      </c>
      <c r="G34" s="28">
        <f>0</f>
        <v>0</v>
      </c>
      <c r="H34" s="29">
        <f t="shared" si="20"/>
        <v>70000</v>
      </c>
      <c r="I34" s="27">
        <f>0</f>
        <v>0</v>
      </c>
      <c r="J34" s="28">
        <f>0</f>
        <v>0</v>
      </c>
      <c r="K34" s="29">
        <f t="shared" si="21"/>
        <v>0</v>
      </c>
      <c r="L34" s="27">
        <f>0</f>
        <v>0</v>
      </c>
      <c r="M34" s="28">
        <f>0</f>
        <v>0</v>
      </c>
      <c r="N34" s="29">
        <f t="shared" si="22"/>
        <v>0</v>
      </c>
      <c r="O34" s="27">
        <f>0</f>
        <v>0</v>
      </c>
      <c r="P34" s="28">
        <f>0</f>
        <v>0</v>
      </c>
      <c r="Q34" s="29">
        <f t="shared" si="23"/>
        <v>0</v>
      </c>
      <c r="R34" s="27">
        <f t="shared" si="24"/>
        <v>70000</v>
      </c>
      <c r="S34" s="28">
        <f t="shared" si="24"/>
        <v>0</v>
      </c>
      <c r="T34" s="29">
        <f t="shared" si="25"/>
        <v>70000</v>
      </c>
    </row>
    <row r="35" spans="2:20" x14ac:dyDescent="0.2">
      <c r="B35" s="14" t="s">
        <v>37</v>
      </c>
      <c r="C35" s="27">
        <f>12000</f>
        <v>12000</v>
      </c>
      <c r="D35" s="28">
        <f>0</f>
        <v>0</v>
      </c>
      <c r="E35" s="29">
        <f t="shared" si="19"/>
        <v>12000</v>
      </c>
      <c r="F35" s="27">
        <f>12000</f>
        <v>12000</v>
      </c>
      <c r="G35" s="28">
        <f>0</f>
        <v>0</v>
      </c>
      <c r="H35" s="29">
        <f t="shared" si="20"/>
        <v>12000</v>
      </c>
      <c r="I35" s="27">
        <f>2*12000</f>
        <v>24000</v>
      </c>
      <c r="J35" s="28">
        <f>0</f>
        <v>0</v>
      </c>
      <c r="K35" s="29">
        <f t="shared" si="21"/>
        <v>24000</v>
      </c>
      <c r="L35" s="27">
        <f>12000</f>
        <v>12000</v>
      </c>
      <c r="M35" s="28">
        <f>0</f>
        <v>0</v>
      </c>
      <c r="N35" s="29">
        <f t="shared" si="22"/>
        <v>12000</v>
      </c>
      <c r="O35" s="27">
        <f>12000</f>
        <v>12000</v>
      </c>
      <c r="P35" s="28">
        <f>0</f>
        <v>0</v>
      </c>
      <c r="Q35" s="29">
        <f t="shared" si="23"/>
        <v>12000</v>
      </c>
      <c r="R35" s="27">
        <f t="shared" si="24"/>
        <v>72000</v>
      </c>
      <c r="S35" s="28">
        <f t="shared" si="24"/>
        <v>0</v>
      </c>
      <c r="T35" s="29">
        <f t="shared" si="25"/>
        <v>72000</v>
      </c>
    </row>
    <row r="36" spans="2:20" x14ac:dyDescent="0.2">
      <c r="B36" s="14" t="s">
        <v>38</v>
      </c>
      <c r="C36" s="27">
        <f>0</f>
        <v>0</v>
      </c>
      <c r="D36" s="28">
        <f>0</f>
        <v>0</v>
      </c>
      <c r="E36" s="29">
        <f t="shared" si="19"/>
        <v>0</v>
      </c>
      <c r="F36" s="27">
        <f>53000</f>
        <v>53000</v>
      </c>
      <c r="G36" s="28">
        <f>0</f>
        <v>0</v>
      </c>
      <c r="H36" s="29">
        <f t="shared" si="20"/>
        <v>53000</v>
      </c>
      <c r="I36" s="27">
        <f>0</f>
        <v>0</v>
      </c>
      <c r="J36" s="28">
        <f>0</f>
        <v>0</v>
      </c>
      <c r="K36" s="29">
        <f t="shared" si="21"/>
        <v>0</v>
      </c>
      <c r="L36" s="27">
        <f>0</f>
        <v>0</v>
      </c>
      <c r="M36" s="28">
        <f>0</f>
        <v>0</v>
      </c>
      <c r="N36" s="29">
        <f t="shared" si="22"/>
        <v>0</v>
      </c>
      <c r="O36" s="27">
        <f>0</f>
        <v>0</v>
      </c>
      <c r="P36" s="28">
        <f>0</f>
        <v>0</v>
      </c>
      <c r="Q36" s="29">
        <f t="shared" si="23"/>
        <v>0</v>
      </c>
      <c r="R36" s="27">
        <f t="shared" si="24"/>
        <v>53000</v>
      </c>
      <c r="S36" s="28">
        <f t="shared" si="24"/>
        <v>0</v>
      </c>
      <c r="T36" s="29">
        <f t="shared" si="25"/>
        <v>53000</v>
      </c>
    </row>
    <row r="37" spans="2:20" x14ac:dyDescent="0.2">
      <c r="B37" s="14" t="s">
        <v>39</v>
      </c>
      <c r="C37" s="27">
        <f>496000/4</f>
        <v>124000</v>
      </c>
      <c r="D37" s="28">
        <f>0</f>
        <v>0</v>
      </c>
      <c r="E37" s="29">
        <f t="shared" si="19"/>
        <v>124000</v>
      </c>
      <c r="F37" s="27">
        <f>496000/4*2</f>
        <v>248000</v>
      </c>
      <c r="G37" s="28">
        <f>0</f>
        <v>0</v>
      </c>
      <c r="H37" s="29">
        <f t="shared" si="20"/>
        <v>248000</v>
      </c>
      <c r="I37" s="27">
        <f>496000/4</f>
        <v>124000</v>
      </c>
      <c r="J37" s="28">
        <f>0</f>
        <v>0</v>
      </c>
      <c r="K37" s="29">
        <f t="shared" si="21"/>
        <v>124000</v>
      </c>
      <c r="L37" s="27">
        <f>0</f>
        <v>0</v>
      </c>
      <c r="M37" s="28">
        <f>0</f>
        <v>0</v>
      </c>
      <c r="N37" s="29">
        <f t="shared" si="22"/>
        <v>0</v>
      </c>
      <c r="O37" s="27">
        <f>0</f>
        <v>0</v>
      </c>
      <c r="P37" s="28">
        <f>0</f>
        <v>0</v>
      </c>
      <c r="Q37" s="29">
        <f t="shared" si="23"/>
        <v>0</v>
      </c>
      <c r="R37" s="27">
        <f t="shared" si="24"/>
        <v>496000</v>
      </c>
      <c r="S37" s="28">
        <f t="shared" si="24"/>
        <v>0</v>
      </c>
      <c r="T37" s="29">
        <f t="shared" si="25"/>
        <v>496000</v>
      </c>
    </row>
    <row r="38" spans="2:20" x14ac:dyDescent="0.2">
      <c r="B38" s="14" t="s">
        <v>40</v>
      </c>
      <c r="C38" s="27">
        <f>0</f>
        <v>0</v>
      </c>
      <c r="D38" s="28">
        <f>0</f>
        <v>0</v>
      </c>
      <c r="E38" s="29">
        <f t="shared" si="19"/>
        <v>0</v>
      </c>
      <c r="F38" s="27">
        <f>50000/10*3</f>
        <v>15000</v>
      </c>
      <c r="G38" s="28">
        <f>0</f>
        <v>0</v>
      </c>
      <c r="H38" s="29">
        <f t="shared" si="20"/>
        <v>15000</v>
      </c>
      <c r="I38" s="27">
        <f>50000/10*3</f>
        <v>15000</v>
      </c>
      <c r="J38" s="28">
        <f>0</f>
        <v>0</v>
      </c>
      <c r="K38" s="29">
        <f t="shared" si="21"/>
        <v>15000</v>
      </c>
      <c r="L38" s="27">
        <f>50000/10*3</f>
        <v>15000</v>
      </c>
      <c r="M38" s="28">
        <f>0</f>
        <v>0</v>
      </c>
      <c r="N38" s="29">
        <f t="shared" si="22"/>
        <v>15000</v>
      </c>
      <c r="O38" s="27">
        <f>50000/10*1</f>
        <v>5000</v>
      </c>
      <c r="P38" s="28">
        <f>0</f>
        <v>0</v>
      </c>
      <c r="Q38" s="29">
        <f t="shared" si="23"/>
        <v>5000</v>
      </c>
      <c r="R38" s="35">
        <f t="shared" si="24"/>
        <v>50000</v>
      </c>
      <c r="S38" s="36">
        <f t="shared" si="24"/>
        <v>0</v>
      </c>
      <c r="T38" s="45">
        <f t="shared" si="25"/>
        <v>50000</v>
      </c>
    </row>
    <row r="39" spans="2:20" x14ac:dyDescent="0.2">
      <c r="B39" s="14" t="s">
        <v>41</v>
      </c>
      <c r="C39" s="15">
        <f>SUM(C40:C45)</f>
        <v>0</v>
      </c>
      <c r="D39" s="16">
        <f t="shared" ref="D39:T39" si="26">SUM(D40:D45)</f>
        <v>0</v>
      </c>
      <c r="E39" s="17">
        <f t="shared" si="26"/>
        <v>0</v>
      </c>
      <c r="F39" s="15">
        <f t="shared" si="26"/>
        <v>336000</v>
      </c>
      <c r="G39" s="16">
        <f t="shared" si="26"/>
        <v>0</v>
      </c>
      <c r="H39" s="17">
        <f t="shared" si="26"/>
        <v>336000</v>
      </c>
      <c r="I39" s="15">
        <f t="shared" si="26"/>
        <v>124000</v>
      </c>
      <c r="J39" s="16">
        <f t="shared" si="26"/>
        <v>0</v>
      </c>
      <c r="K39" s="17">
        <f t="shared" si="26"/>
        <v>124000</v>
      </c>
      <c r="L39" s="15">
        <f t="shared" si="26"/>
        <v>16000</v>
      </c>
      <c r="M39" s="16">
        <f t="shared" si="26"/>
        <v>0</v>
      </c>
      <c r="N39" s="17">
        <f t="shared" si="26"/>
        <v>16000</v>
      </c>
      <c r="O39" s="15">
        <f t="shared" si="26"/>
        <v>12000</v>
      </c>
      <c r="P39" s="16">
        <f t="shared" si="26"/>
        <v>0</v>
      </c>
      <c r="Q39" s="17">
        <f t="shared" si="26"/>
        <v>12000</v>
      </c>
      <c r="R39" s="50">
        <f t="shared" si="26"/>
        <v>488000</v>
      </c>
      <c r="S39" s="51">
        <f t="shared" si="26"/>
        <v>0</v>
      </c>
      <c r="T39" s="52">
        <f t="shared" si="26"/>
        <v>488000</v>
      </c>
    </row>
    <row r="40" spans="2:20" x14ac:dyDescent="0.2">
      <c r="B40" s="14" t="s">
        <v>42</v>
      </c>
      <c r="C40" s="27">
        <f>0</f>
        <v>0</v>
      </c>
      <c r="D40" s="28">
        <f>0</f>
        <v>0</v>
      </c>
      <c r="E40" s="29">
        <f t="shared" ref="E40:E49" si="27">+C40+D40</f>
        <v>0</v>
      </c>
      <c r="F40" s="27">
        <f>55000</f>
        <v>55000</v>
      </c>
      <c r="G40" s="28">
        <v>0</v>
      </c>
      <c r="H40" s="29">
        <f t="shared" ref="H40:H45" si="28">+F40+G40</f>
        <v>55000</v>
      </c>
      <c r="I40" s="27">
        <f>27000</f>
        <v>27000</v>
      </c>
      <c r="J40" s="28">
        <v>0</v>
      </c>
      <c r="K40" s="29">
        <f t="shared" ref="K40:K45" si="29">+I40+J40</f>
        <v>27000</v>
      </c>
      <c r="L40" s="27">
        <f>0</f>
        <v>0</v>
      </c>
      <c r="M40" s="28">
        <f>0</f>
        <v>0</v>
      </c>
      <c r="N40" s="29">
        <f t="shared" ref="N40:N45" si="30">+L40+M40</f>
        <v>0</v>
      </c>
      <c r="O40" s="27">
        <f>0</f>
        <v>0</v>
      </c>
      <c r="P40" s="28">
        <f>0</f>
        <v>0</v>
      </c>
      <c r="Q40" s="29">
        <f t="shared" ref="Q40:Q45" si="31">+O40+P40</f>
        <v>0</v>
      </c>
      <c r="R40" s="27">
        <f t="shared" ref="R40:S45" si="32">+C40+F40+I40+L40+O40</f>
        <v>82000</v>
      </c>
      <c r="S40" s="28">
        <f t="shared" si="32"/>
        <v>0</v>
      </c>
      <c r="T40" s="29">
        <f t="shared" ref="T40:T45" si="33">+R40+S40</f>
        <v>82000</v>
      </c>
    </row>
    <row r="41" spans="2:20" x14ac:dyDescent="0.2">
      <c r="B41" s="14" t="s">
        <v>43</v>
      </c>
      <c r="C41" s="27">
        <f>0</f>
        <v>0</v>
      </c>
      <c r="D41" s="28">
        <f>0</f>
        <v>0</v>
      </c>
      <c r="E41" s="29">
        <f t="shared" si="27"/>
        <v>0</v>
      </c>
      <c r="F41" s="27">
        <f>55000</f>
        <v>55000</v>
      </c>
      <c r="G41" s="28">
        <v>0</v>
      </c>
      <c r="H41" s="29">
        <f t="shared" si="28"/>
        <v>55000</v>
      </c>
      <c r="I41" s="27">
        <f>27000</f>
        <v>27000</v>
      </c>
      <c r="J41" s="28">
        <v>0</v>
      </c>
      <c r="K41" s="29">
        <f t="shared" si="29"/>
        <v>27000</v>
      </c>
      <c r="L41" s="27">
        <f>0</f>
        <v>0</v>
      </c>
      <c r="M41" s="28">
        <f>0</f>
        <v>0</v>
      </c>
      <c r="N41" s="29">
        <f t="shared" si="30"/>
        <v>0</v>
      </c>
      <c r="O41" s="27">
        <f>0</f>
        <v>0</v>
      </c>
      <c r="P41" s="28">
        <f>0</f>
        <v>0</v>
      </c>
      <c r="Q41" s="29">
        <f t="shared" si="31"/>
        <v>0</v>
      </c>
      <c r="R41" s="27">
        <f t="shared" si="32"/>
        <v>82000</v>
      </c>
      <c r="S41" s="28">
        <f t="shared" si="32"/>
        <v>0</v>
      </c>
      <c r="T41" s="29">
        <f t="shared" si="33"/>
        <v>82000</v>
      </c>
    </row>
    <row r="42" spans="2:20" x14ac:dyDescent="0.2">
      <c r="B42" s="14" t="s">
        <v>44</v>
      </c>
      <c r="C42" s="27">
        <f>0</f>
        <v>0</v>
      </c>
      <c r="D42" s="28">
        <f>0</f>
        <v>0</v>
      </c>
      <c r="E42" s="29">
        <f t="shared" si="27"/>
        <v>0</v>
      </c>
      <c r="F42" s="27">
        <f>55000</f>
        <v>55000</v>
      </c>
      <c r="G42" s="28">
        <v>0</v>
      </c>
      <c r="H42" s="29">
        <f t="shared" si="28"/>
        <v>55000</v>
      </c>
      <c r="I42" s="27">
        <f>27000</f>
        <v>27000</v>
      </c>
      <c r="J42" s="28">
        <v>0</v>
      </c>
      <c r="K42" s="29">
        <f t="shared" si="29"/>
        <v>27000</v>
      </c>
      <c r="L42" s="27">
        <f>0</f>
        <v>0</v>
      </c>
      <c r="M42" s="28">
        <f>0</f>
        <v>0</v>
      </c>
      <c r="N42" s="29">
        <f t="shared" si="30"/>
        <v>0</v>
      </c>
      <c r="O42" s="27">
        <f>0</f>
        <v>0</v>
      </c>
      <c r="P42" s="28">
        <f>0</f>
        <v>0</v>
      </c>
      <c r="Q42" s="29">
        <f t="shared" si="31"/>
        <v>0</v>
      </c>
      <c r="R42" s="27">
        <f t="shared" si="32"/>
        <v>82000</v>
      </c>
      <c r="S42" s="28">
        <f t="shared" si="32"/>
        <v>0</v>
      </c>
      <c r="T42" s="29">
        <f t="shared" si="33"/>
        <v>82000</v>
      </c>
    </row>
    <row r="43" spans="2:20" x14ac:dyDescent="0.2">
      <c r="B43" s="14" t="s">
        <v>45</v>
      </c>
      <c r="C43" s="27">
        <f>0</f>
        <v>0</v>
      </c>
      <c r="D43" s="28">
        <f>0</f>
        <v>0</v>
      </c>
      <c r="E43" s="29">
        <f t="shared" si="27"/>
        <v>0</v>
      </c>
      <c r="F43" s="27">
        <f>55000</f>
        <v>55000</v>
      </c>
      <c r="G43" s="28">
        <v>0</v>
      </c>
      <c r="H43" s="29">
        <f t="shared" si="28"/>
        <v>55000</v>
      </c>
      <c r="I43" s="27">
        <f>27000</f>
        <v>27000</v>
      </c>
      <c r="J43" s="28">
        <v>0</v>
      </c>
      <c r="K43" s="29">
        <f t="shared" si="29"/>
        <v>27000</v>
      </c>
      <c r="L43" s="27">
        <f>0</f>
        <v>0</v>
      </c>
      <c r="M43" s="28">
        <f>0</f>
        <v>0</v>
      </c>
      <c r="N43" s="29">
        <f t="shared" si="30"/>
        <v>0</v>
      </c>
      <c r="O43" s="27">
        <f>0</f>
        <v>0</v>
      </c>
      <c r="P43" s="28">
        <f>0</f>
        <v>0</v>
      </c>
      <c r="Q43" s="29">
        <f t="shared" si="31"/>
        <v>0</v>
      </c>
      <c r="R43" s="27">
        <f t="shared" si="32"/>
        <v>82000</v>
      </c>
      <c r="S43" s="28">
        <f t="shared" si="32"/>
        <v>0</v>
      </c>
      <c r="T43" s="29">
        <f t="shared" si="33"/>
        <v>82000</v>
      </c>
    </row>
    <row r="44" spans="2:20" x14ac:dyDescent="0.2">
      <c r="B44" s="14" t="s">
        <v>46</v>
      </c>
      <c r="C44" s="27">
        <f>0</f>
        <v>0</v>
      </c>
      <c r="D44" s="28">
        <f>0</f>
        <v>0</v>
      </c>
      <c r="E44" s="29">
        <f t="shared" si="27"/>
        <v>0</v>
      </c>
      <c r="F44" s="27">
        <f>100000</f>
        <v>100000</v>
      </c>
      <c r="G44" s="28">
        <f>0</f>
        <v>0</v>
      </c>
      <c r="H44" s="29">
        <f t="shared" si="28"/>
        <v>100000</v>
      </c>
      <c r="I44" s="27">
        <f>0</f>
        <v>0</v>
      </c>
      <c r="J44" s="28">
        <f>0</f>
        <v>0</v>
      </c>
      <c r="K44" s="29">
        <f t="shared" si="29"/>
        <v>0</v>
      </c>
      <c r="L44" s="27">
        <f>0</f>
        <v>0</v>
      </c>
      <c r="M44" s="28">
        <f>0</f>
        <v>0</v>
      </c>
      <c r="N44" s="29">
        <f t="shared" si="30"/>
        <v>0</v>
      </c>
      <c r="O44" s="27">
        <f>0</f>
        <v>0</v>
      </c>
      <c r="P44" s="28">
        <f>0</f>
        <v>0</v>
      </c>
      <c r="Q44" s="29">
        <f t="shared" si="31"/>
        <v>0</v>
      </c>
      <c r="R44" s="27">
        <f t="shared" si="32"/>
        <v>100000</v>
      </c>
      <c r="S44" s="28">
        <f t="shared" si="32"/>
        <v>0</v>
      </c>
      <c r="T44" s="29">
        <f t="shared" si="33"/>
        <v>100000</v>
      </c>
    </row>
    <row r="45" spans="2:20" x14ac:dyDescent="0.2">
      <c r="B45" s="14" t="s">
        <v>47</v>
      </c>
      <c r="C45" s="27">
        <f>0</f>
        <v>0</v>
      </c>
      <c r="D45" s="28">
        <f>0</f>
        <v>0</v>
      </c>
      <c r="E45" s="29">
        <f t="shared" si="27"/>
        <v>0</v>
      </c>
      <c r="F45" s="27">
        <f>4*4000</f>
        <v>16000</v>
      </c>
      <c r="G45" s="28">
        <f>0</f>
        <v>0</v>
      </c>
      <c r="H45" s="29">
        <f t="shared" si="28"/>
        <v>16000</v>
      </c>
      <c r="I45" s="27">
        <f>4*4000</f>
        <v>16000</v>
      </c>
      <c r="J45" s="28">
        <f>0</f>
        <v>0</v>
      </c>
      <c r="K45" s="29">
        <f t="shared" si="29"/>
        <v>16000</v>
      </c>
      <c r="L45" s="27">
        <f>4*4000</f>
        <v>16000</v>
      </c>
      <c r="M45" s="28">
        <f>0</f>
        <v>0</v>
      </c>
      <c r="N45" s="29">
        <f t="shared" si="30"/>
        <v>16000</v>
      </c>
      <c r="O45" s="27">
        <f>3*4000</f>
        <v>12000</v>
      </c>
      <c r="P45" s="28">
        <f>0</f>
        <v>0</v>
      </c>
      <c r="Q45" s="29">
        <f t="shared" si="31"/>
        <v>12000</v>
      </c>
      <c r="R45" s="35">
        <f t="shared" si="32"/>
        <v>60000</v>
      </c>
      <c r="S45" s="36">
        <f t="shared" si="32"/>
        <v>0</v>
      </c>
      <c r="T45" s="45">
        <f t="shared" si="33"/>
        <v>60000</v>
      </c>
    </row>
    <row r="46" spans="2:20" x14ac:dyDescent="0.2">
      <c r="B46" s="14" t="s">
        <v>48</v>
      </c>
      <c r="C46" s="15">
        <f>SUM(C47:C52)</f>
        <v>0</v>
      </c>
      <c r="D46" s="16">
        <f t="shared" ref="D46:T46" si="34">SUM(D47:D52)</f>
        <v>0</v>
      </c>
      <c r="E46" s="17">
        <f t="shared" si="34"/>
        <v>0</v>
      </c>
      <c r="F46" s="15">
        <f t="shared" si="34"/>
        <v>18000</v>
      </c>
      <c r="G46" s="16">
        <f t="shared" si="34"/>
        <v>0</v>
      </c>
      <c r="H46" s="17">
        <f t="shared" si="34"/>
        <v>18000</v>
      </c>
      <c r="I46" s="15">
        <f t="shared" si="34"/>
        <v>33000</v>
      </c>
      <c r="J46" s="16">
        <f t="shared" si="34"/>
        <v>0</v>
      </c>
      <c r="K46" s="17">
        <f t="shared" si="34"/>
        <v>33000</v>
      </c>
      <c r="L46" s="15">
        <f t="shared" si="34"/>
        <v>33000</v>
      </c>
      <c r="M46" s="16">
        <f t="shared" si="34"/>
        <v>0</v>
      </c>
      <c r="N46" s="17">
        <f t="shared" si="34"/>
        <v>33000</v>
      </c>
      <c r="O46" s="15">
        <f t="shared" si="34"/>
        <v>16000</v>
      </c>
      <c r="P46" s="16">
        <f t="shared" si="34"/>
        <v>0</v>
      </c>
      <c r="Q46" s="17">
        <f t="shared" si="34"/>
        <v>16000</v>
      </c>
      <c r="R46" s="50">
        <f t="shared" si="34"/>
        <v>100000</v>
      </c>
      <c r="S46" s="51">
        <f t="shared" si="34"/>
        <v>0</v>
      </c>
      <c r="T46" s="52">
        <f t="shared" si="34"/>
        <v>100000</v>
      </c>
    </row>
    <row r="47" spans="2:20" x14ac:dyDescent="0.2">
      <c r="B47" s="14" t="s">
        <v>49</v>
      </c>
      <c r="C47" s="27">
        <f>0</f>
        <v>0</v>
      </c>
      <c r="D47" s="28">
        <f>0</f>
        <v>0</v>
      </c>
      <c r="E47" s="29">
        <f t="shared" si="27"/>
        <v>0</v>
      </c>
      <c r="F47" s="27">
        <f>4*2000</f>
        <v>8000</v>
      </c>
      <c r="G47" s="28">
        <f>0</f>
        <v>0</v>
      </c>
      <c r="H47" s="29">
        <f t="shared" ref="H47:H52" si="35">+F47+G47</f>
        <v>8000</v>
      </c>
      <c r="I47" s="27">
        <f>4*2000</f>
        <v>8000</v>
      </c>
      <c r="J47" s="28">
        <f>0</f>
        <v>0</v>
      </c>
      <c r="K47" s="29">
        <f t="shared" ref="K47:K52" si="36">+I47+J47</f>
        <v>8000</v>
      </c>
      <c r="L47" s="27">
        <f>4*2000</f>
        <v>8000</v>
      </c>
      <c r="M47" s="28">
        <f>0</f>
        <v>0</v>
      </c>
      <c r="N47" s="29">
        <f t="shared" ref="N47:N52" si="37">+L47+M47</f>
        <v>8000</v>
      </c>
      <c r="O47" s="27">
        <f>3*2000</f>
        <v>6000</v>
      </c>
      <c r="P47" s="28">
        <f>0</f>
        <v>0</v>
      </c>
      <c r="Q47" s="29">
        <f t="shared" ref="Q47:Q52" si="38">+O47+P47</f>
        <v>6000</v>
      </c>
      <c r="R47" s="27">
        <f t="shared" ref="R47:S52" si="39">+C47+F47+I47+L47+O47</f>
        <v>30000</v>
      </c>
      <c r="S47" s="28">
        <f t="shared" si="39"/>
        <v>0</v>
      </c>
      <c r="T47" s="29">
        <f t="shared" ref="T47:T52" si="40">+R47+S47</f>
        <v>30000</v>
      </c>
    </row>
    <row r="48" spans="2:20" x14ac:dyDescent="0.2">
      <c r="B48" s="14" t="s">
        <v>50</v>
      </c>
      <c r="C48" s="27">
        <f>0</f>
        <v>0</v>
      </c>
      <c r="D48" s="28">
        <f>0</f>
        <v>0</v>
      </c>
      <c r="E48" s="29">
        <f t="shared" si="27"/>
        <v>0</v>
      </c>
      <c r="F48" s="27">
        <f>0</f>
        <v>0</v>
      </c>
      <c r="G48" s="28">
        <f>0</f>
        <v>0</v>
      </c>
      <c r="H48" s="29">
        <f t="shared" si="35"/>
        <v>0</v>
      </c>
      <c r="I48" s="27">
        <f>1*10000</f>
        <v>10000</v>
      </c>
      <c r="J48" s="28">
        <f>0</f>
        <v>0</v>
      </c>
      <c r="K48" s="29">
        <f t="shared" si="36"/>
        <v>10000</v>
      </c>
      <c r="L48" s="27">
        <f>1*10000</f>
        <v>10000</v>
      </c>
      <c r="M48" s="28">
        <f>0</f>
        <v>0</v>
      </c>
      <c r="N48" s="29">
        <f t="shared" si="37"/>
        <v>10000</v>
      </c>
      <c r="O48" s="27">
        <f>0</f>
        <v>0</v>
      </c>
      <c r="P48" s="28">
        <f>0</f>
        <v>0</v>
      </c>
      <c r="Q48" s="29">
        <f t="shared" si="38"/>
        <v>0</v>
      </c>
      <c r="R48" s="27">
        <f t="shared" si="39"/>
        <v>20000</v>
      </c>
      <c r="S48" s="28">
        <f t="shared" si="39"/>
        <v>0</v>
      </c>
      <c r="T48" s="29">
        <f t="shared" si="40"/>
        <v>20000</v>
      </c>
    </row>
    <row r="49" spans="1:20" x14ac:dyDescent="0.2">
      <c r="B49" s="14" t="s">
        <v>51</v>
      </c>
      <c r="C49" s="27">
        <f>0</f>
        <v>0</v>
      </c>
      <c r="D49" s="28">
        <f>0</f>
        <v>0</v>
      </c>
      <c r="E49" s="29">
        <f t="shared" si="27"/>
        <v>0</v>
      </c>
      <c r="F49" s="27">
        <f>2*2000</f>
        <v>4000</v>
      </c>
      <c r="G49" s="28">
        <f>0</f>
        <v>0</v>
      </c>
      <c r="H49" s="29">
        <f t="shared" si="35"/>
        <v>4000</v>
      </c>
      <c r="I49" s="27">
        <f>3*2000</f>
        <v>6000</v>
      </c>
      <c r="J49" s="28">
        <f>0</f>
        <v>0</v>
      </c>
      <c r="K49" s="29">
        <f t="shared" si="36"/>
        <v>6000</v>
      </c>
      <c r="L49" s="27">
        <f>3*2000</f>
        <v>6000</v>
      </c>
      <c r="M49" s="28">
        <f>0</f>
        <v>0</v>
      </c>
      <c r="N49" s="29">
        <f t="shared" si="37"/>
        <v>6000</v>
      </c>
      <c r="O49" s="27">
        <f>2*2000</f>
        <v>4000</v>
      </c>
      <c r="P49" s="28">
        <f>0</f>
        <v>0</v>
      </c>
      <c r="Q49" s="29">
        <f t="shared" si="38"/>
        <v>4000</v>
      </c>
      <c r="R49" s="27">
        <f t="shared" si="39"/>
        <v>20000</v>
      </c>
      <c r="S49" s="28">
        <f t="shared" si="39"/>
        <v>0</v>
      </c>
      <c r="T49" s="29">
        <f t="shared" si="40"/>
        <v>20000</v>
      </c>
    </row>
    <row r="50" spans="1:20" x14ac:dyDescent="0.2">
      <c r="B50" s="14" t="s">
        <v>52</v>
      </c>
      <c r="C50" s="27">
        <f>0</f>
        <v>0</v>
      </c>
      <c r="D50" s="28">
        <f>0</f>
        <v>0</v>
      </c>
      <c r="E50" s="29">
        <f>+C50+D50</f>
        <v>0</v>
      </c>
      <c r="F50" s="27">
        <f>2*1000</f>
        <v>2000</v>
      </c>
      <c r="G50" s="28">
        <f>0</f>
        <v>0</v>
      </c>
      <c r="H50" s="29">
        <f t="shared" si="35"/>
        <v>2000</v>
      </c>
      <c r="I50" s="27">
        <f>3*1000</f>
        <v>3000</v>
      </c>
      <c r="J50" s="28">
        <f>0</f>
        <v>0</v>
      </c>
      <c r="K50" s="29">
        <f t="shared" si="36"/>
        <v>3000</v>
      </c>
      <c r="L50" s="27">
        <f>3*1000</f>
        <v>3000</v>
      </c>
      <c r="M50" s="28">
        <f>0</f>
        <v>0</v>
      </c>
      <c r="N50" s="29">
        <f t="shared" si="37"/>
        <v>3000</v>
      </c>
      <c r="O50" s="27">
        <f>2*1000</f>
        <v>2000</v>
      </c>
      <c r="P50" s="28">
        <f>0</f>
        <v>0</v>
      </c>
      <c r="Q50" s="29">
        <f t="shared" si="38"/>
        <v>2000</v>
      </c>
      <c r="R50" s="27">
        <f t="shared" si="39"/>
        <v>10000</v>
      </c>
      <c r="S50" s="28">
        <f t="shared" si="39"/>
        <v>0</v>
      </c>
      <c r="T50" s="29">
        <f t="shared" si="40"/>
        <v>10000</v>
      </c>
    </row>
    <row r="51" spans="1:20" x14ac:dyDescent="0.2">
      <c r="B51" s="14" t="s">
        <v>53</v>
      </c>
      <c r="C51" s="27">
        <f>0</f>
        <v>0</v>
      </c>
      <c r="D51" s="28">
        <f>0</f>
        <v>0</v>
      </c>
      <c r="E51" s="29">
        <f>+C51+D51</f>
        <v>0</v>
      </c>
      <c r="F51" s="27">
        <f>2*1000</f>
        <v>2000</v>
      </c>
      <c r="G51" s="28">
        <f>0</f>
        <v>0</v>
      </c>
      <c r="H51" s="29">
        <f t="shared" si="35"/>
        <v>2000</v>
      </c>
      <c r="I51" s="27">
        <f>3*1000</f>
        <v>3000</v>
      </c>
      <c r="J51" s="28">
        <f>0</f>
        <v>0</v>
      </c>
      <c r="K51" s="29">
        <f t="shared" si="36"/>
        <v>3000</v>
      </c>
      <c r="L51" s="27">
        <f>3*1000</f>
        <v>3000</v>
      </c>
      <c r="M51" s="28">
        <f>0</f>
        <v>0</v>
      </c>
      <c r="N51" s="29">
        <f t="shared" si="37"/>
        <v>3000</v>
      </c>
      <c r="O51" s="27">
        <f>2*1000</f>
        <v>2000</v>
      </c>
      <c r="P51" s="28">
        <f>0</f>
        <v>0</v>
      </c>
      <c r="Q51" s="29">
        <f t="shared" si="38"/>
        <v>2000</v>
      </c>
      <c r="R51" s="27">
        <f t="shared" si="39"/>
        <v>10000</v>
      </c>
      <c r="S51" s="28">
        <f t="shared" si="39"/>
        <v>0</v>
      </c>
      <c r="T51" s="29">
        <f t="shared" si="40"/>
        <v>10000</v>
      </c>
    </row>
    <row r="52" spans="1:20" x14ac:dyDescent="0.2">
      <c r="B52" s="14" t="s">
        <v>54</v>
      </c>
      <c r="C52" s="27">
        <f>0</f>
        <v>0</v>
      </c>
      <c r="D52" s="28">
        <f>0</f>
        <v>0</v>
      </c>
      <c r="E52" s="29">
        <f>+C52+D52</f>
        <v>0</v>
      </c>
      <c r="F52" s="27">
        <f>2*1000</f>
        <v>2000</v>
      </c>
      <c r="G52" s="28">
        <f>0</f>
        <v>0</v>
      </c>
      <c r="H52" s="29">
        <f t="shared" si="35"/>
        <v>2000</v>
      </c>
      <c r="I52" s="27">
        <f>3*1000</f>
        <v>3000</v>
      </c>
      <c r="J52" s="28">
        <f>0</f>
        <v>0</v>
      </c>
      <c r="K52" s="29">
        <f t="shared" si="36"/>
        <v>3000</v>
      </c>
      <c r="L52" s="27">
        <f>3*1000</f>
        <v>3000</v>
      </c>
      <c r="M52" s="28">
        <f>0</f>
        <v>0</v>
      </c>
      <c r="N52" s="29">
        <f t="shared" si="37"/>
        <v>3000</v>
      </c>
      <c r="O52" s="27">
        <f>2*1000</f>
        <v>2000</v>
      </c>
      <c r="P52" s="28">
        <f>0</f>
        <v>0</v>
      </c>
      <c r="Q52" s="29">
        <f t="shared" si="38"/>
        <v>2000</v>
      </c>
      <c r="R52" s="27">
        <f t="shared" si="39"/>
        <v>10000</v>
      </c>
      <c r="S52" s="28">
        <f t="shared" si="39"/>
        <v>0</v>
      </c>
      <c r="T52" s="29">
        <f t="shared" si="40"/>
        <v>10000</v>
      </c>
    </row>
    <row r="53" spans="1:20" x14ac:dyDescent="0.2">
      <c r="B53" s="14" t="s">
        <v>55</v>
      </c>
      <c r="C53" s="15">
        <f>SUM(C54:C57)</f>
        <v>20000</v>
      </c>
      <c r="D53" s="16">
        <f t="shared" ref="D53:T53" si="41">SUM(D54:D57)</f>
        <v>0</v>
      </c>
      <c r="E53" s="17">
        <f t="shared" si="41"/>
        <v>20000</v>
      </c>
      <c r="F53" s="15">
        <f t="shared" si="41"/>
        <v>20000</v>
      </c>
      <c r="G53" s="16">
        <f t="shared" si="41"/>
        <v>0</v>
      </c>
      <c r="H53" s="17">
        <f t="shared" si="41"/>
        <v>20000</v>
      </c>
      <c r="I53" s="15">
        <f t="shared" si="41"/>
        <v>20000</v>
      </c>
      <c r="J53" s="16">
        <f t="shared" si="41"/>
        <v>0</v>
      </c>
      <c r="K53" s="17">
        <f t="shared" si="41"/>
        <v>20000</v>
      </c>
      <c r="L53" s="15">
        <f t="shared" si="41"/>
        <v>20000</v>
      </c>
      <c r="M53" s="16">
        <f t="shared" si="41"/>
        <v>0</v>
      </c>
      <c r="N53" s="17">
        <f t="shared" si="41"/>
        <v>20000</v>
      </c>
      <c r="O53" s="15">
        <f t="shared" si="41"/>
        <v>20000</v>
      </c>
      <c r="P53" s="16">
        <f t="shared" si="41"/>
        <v>0</v>
      </c>
      <c r="Q53" s="17">
        <f t="shared" si="41"/>
        <v>20000</v>
      </c>
      <c r="R53" s="15">
        <f t="shared" si="41"/>
        <v>100000</v>
      </c>
      <c r="S53" s="16">
        <f t="shared" si="41"/>
        <v>0</v>
      </c>
      <c r="T53" s="17">
        <f t="shared" si="41"/>
        <v>100000</v>
      </c>
    </row>
    <row r="54" spans="1:20" x14ac:dyDescent="0.2">
      <c r="B54" s="14" t="s">
        <v>56</v>
      </c>
      <c r="C54" s="27">
        <f>1*20000</f>
        <v>20000</v>
      </c>
      <c r="D54" s="28">
        <f>0</f>
        <v>0</v>
      </c>
      <c r="E54" s="29">
        <f>+C54+D54</f>
        <v>20000</v>
      </c>
      <c r="F54" s="27">
        <f>1*20000</f>
        <v>20000</v>
      </c>
      <c r="G54" s="28">
        <f>0</f>
        <v>0</v>
      </c>
      <c r="H54" s="29">
        <f>+F54+G54</f>
        <v>20000</v>
      </c>
      <c r="I54" s="27">
        <f>0</f>
        <v>0</v>
      </c>
      <c r="J54" s="28">
        <f>0</f>
        <v>0</v>
      </c>
      <c r="K54" s="29">
        <f>+I54+J54</f>
        <v>0</v>
      </c>
      <c r="L54" s="27">
        <f>0</f>
        <v>0</v>
      </c>
      <c r="M54" s="28">
        <f>0</f>
        <v>0</v>
      </c>
      <c r="N54" s="29">
        <f>+L54+M54</f>
        <v>0</v>
      </c>
      <c r="O54" s="27">
        <f>0</f>
        <v>0</v>
      </c>
      <c r="P54" s="28">
        <f>0</f>
        <v>0</v>
      </c>
      <c r="Q54" s="29">
        <f>+O54+P54</f>
        <v>0</v>
      </c>
      <c r="R54" s="27">
        <f t="shared" ref="R54:S57" si="42">+C54+F54+I54+L54+O54</f>
        <v>40000</v>
      </c>
      <c r="S54" s="28">
        <f t="shared" si="42"/>
        <v>0</v>
      </c>
      <c r="T54" s="29">
        <f>+R54+S54</f>
        <v>40000</v>
      </c>
    </row>
    <row r="55" spans="1:20" x14ac:dyDescent="0.2">
      <c r="B55" s="14" t="s">
        <v>57</v>
      </c>
      <c r="C55" s="27">
        <f>0</f>
        <v>0</v>
      </c>
      <c r="D55" s="28">
        <f>0</f>
        <v>0</v>
      </c>
      <c r="E55" s="29">
        <f>+C55+D55</f>
        <v>0</v>
      </c>
      <c r="F55" s="27">
        <f>0</f>
        <v>0</v>
      </c>
      <c r="G55" s="28">
        <f>0</f>
        <v>0</v>
      </c>
      <c r="H55" s="29">
        <f>+F55+G55</f>
        <v>0</v>
      </c>
      <c r="I55" s="27">
        <f>1*20000</f>
        <v>20000</v>
      </c>
      <c r="J55" s="28">
        <f>0</f>
        <v>0</v>
      </c>
      <c r="K55" s="29">
        <f>+I55+J55</f>
        <v>20000</v>
      </c>
      <c r="L55" s="27">
        <f>0</f>
        <v>0</v>
      </c>
      <c r="M55" s="28">
        <f>0</f>
        <v>0</v>
      </c>
      <c r="N55" s="29">
        <f>+L55+M55</f>
        <v>0</v>
      </c>
      <c r="O55" s="27">
        <f>0</f>
        <v>0</v>
      </c>
      <c r="P55" s="28">
        <f>0</f>
        <v>0</v>
      </c>
      <c r="Q55" s="29">
        <f>+O55+P55</f>
        <v>0</v>
      </c>
      <c r="R55" s="27">
        <f t="shared" si="42"/>
        <v>20000</v>
      </c>
      <c r="S55" s="28">
        <f t="shared" si="42"/>
        <v>0</v>
      </c>
      <c r="T55" s="29">
        <f>+R55+S55</f>
        <v>20000</v>
      </c>
    </row>
    <row r="56" spans="1:20" x14ac:dyDescent="0.2">
      <c r="B56" s="14" t="s">
        <v>58</v>
      </c>
      <c r="C56" s="27">
        <f>0</f>
        <v>0</v>
      </c>
      <c r="D56" s="28">
        <f>0</f>
        <v>0</v>
      </c>
      <c r="E56" s="29">
        <f>+C56+D56</f>
        <v>0</v>
      </c>
      <c r="F56" s="27">
        <f>0</f>
        <v>0</v>
      </c>
      <c r="G56" s="28">
        <f>0</f>
        <v>0</v>
      </c>
      <c r="H56" s="29">
        <f>+F56+G56</f>
        <v>0</v>
      </c>
      <c r="I56" s="27">
        <f>0</f>
        <v>0</v>
      </c>
      <c r="J56" s="28">
        <f>0</f>
        <v>0</v>
      </c>
      <c r="K56" s="29">
        <f>+I56+J56</f>
        <v>0</v>
      </c>
      <c r="L56" s="27">
        <f>1*20000</f>
        <v>20000</v>
      </c>
      <c r="M56" s="28">
        <f>0</f>
        <v>0</v>
      </c>
      <c r="N56" s="29">
        <f>+L56+M56</f>
        <v>20000</v>
      </c>
      <c r="O56" s="27">
        <f>0</f>
        <v>0</v>
      </c>
      <c r="P56" s="28">
        <f>0</f>
        <v>0</v>
      </c>
      <c r="Q56" s="29">
        <f>+O56+P56</f>
        <v>0</v>
      </c>
      <c r="R56" s="27">
        <f t="shared" si="42"/>
        <v>20000</v>
      </c>
      <c r="S56" s="28">
        <f t="shared" si="42"/>
        <v>0</v>
      </c>
      <c r="T56" s="29">
        <f>+R56+S56</f>
        <v>20000</v>
      </c>
    </row>
    <row r="57" spans="1:20" x14ac:dyDescent="0.2">
      <c r="B57" s="14" t="s">
        <v>59</v>
      </c>
      <c r="C57" s="27">
        <f>0</f>
        <v>0</v>
      </c>
      <c r="D57" s="28">
        <f>0</f>
        <v>0</v>
      </c>
      <c r="E57" s="29">
        <f>+C57+D57</f>
        <v>0</v>
      </c>
      <c r="F57" s="27">
        <f>0</f>
        <v>0</v>
      </c>
      <c r="G57" s="28">
        <f>0</f>
        <v>0</v>
      </c>
      <c r="H57" s="29">
        <f>+F57+G57</f>
        <v>0</v>
      </c>
      <c r="I57" s="27">
        <f>0</f>
        <v>0</v>
      </c>
      <c r="J57" s="28">
        <f>0</f>
        <v>0</v>
      </c>
      <c r="K57" s="29">
        <f>+I57+J57</f>
        <v>0</v>
      </c>
      <c r="L57" s="27">
        <f>0</f>
        <v>0</v>
      </c>
      <c r="M57" s="28">
        <f>0</f>
        <v>0</v>
      </c>
      <c r="N57" s="29">
        <f>+L57+M57</f>
        <v>0</v>
      </c>
      <c r="O57" s="27">
        <f>1*20000</f>
        <v>20000</v>
      </c>
      <c r="P57" s="28">
        <f>0</f>
        <v>0</v>
      </c>
      <c r="Q57" s="29">
        <f>+O57+P57</f>
        <v>20000</v>
      </c>
      <c r="R57" s="27">
        <f t="shared" si="42"/>
        <v>20000</v>
      </c>
      <c r="S57" s="28">
        <f t="shared" si="42"/>
        <v>0</v>
      </c>
      <c r="T57" s="29">
        <f>+R57+S57</f>
        <v>20000</v>
      </c>
    </row>
    <row r="58" spans="1:20" x14ac:dyDescent="0.2">
      <c r="A58" s="3"/>
      <c r="B58" s="14" t="s">
        <v>60</v>
      </c>
      <c r="C58" s="15">
        <f>+C59+C61</f>
        <v>125000</v>
      </c>
      <c r="D58" s="16">
        <f t="shared" ref="D58:T58" si="43">+D59+D61</f>
        <v>0</v>
      </c>
      <c r="E58" s="17">
        <f t="shared" si="43"/>
        <v>125000</v>
      </c>
      <c r="F58" s="15">
        <f t="shared" si="43"/>
        <v>460000</v>
      </c>
      <c r="G58" s="16">
        <f t="shared" si="43"/>
        <v>125000</v>
      </c>
      <c r="H58" s="17">
        <f t="shared" si="43"/>
        <v>585000</v>
      </c>
      <c r="I58" s="15">
        <f t="shared" si="43"/>
        <v>860000</v>
      </c>
      <c r="J58" s="16">
        <f t="shared" si="43"/>
        <v>125000</v>
      </c>
      <c r="K58" s="17">
        <f t="shared" si="43"/>
        <v>985000</v>
      </c>
      <c r="L58" s="15">
        <f t="shared" si="43"/>
        <v>800000</v>
      </c>
      <c r="M58" s="16">
        <f t="shared" si="43"/>
        <v>125000</v>
      </c>
      <c r="N58" s="17">
        <f t="shared" si="43"/>
        <v>925000</v>
      </c>
      <c r="O58" s="15">
        <f t="shared" si="43"/>
        <v>470000</v>
      </c>
      <c r="P58" s="16">
        <f t="shared" si="43"/>
        <v>125000</v>
      </c>
      <c r="Q58" s="17">
        <f t="shared" si="43"/>
        <v>595000</v>
      </c>
      <c r="R58" s="15">
        <f t="shared" si="43"/>
        <v>2715000</v>
      </c>
      <c r="S58" s="16">
        <f t="shared" si="43"/>
        <v>500000</v>
      </c>
      <c r="T58" s="17">
        <f t="shared" si="43"/>
        <v>3215000</v>
      </c>
    </row>
    <row r="59" spans="1:20" x14ac:dyDescent="0.2">
      <c r="B59" s="14" t="s">
        <v>61</v>
      </c>
      <c r="C59" s="15">
        <f>SUM(C60)</f>
        <v>50000</v>
      </c>
      <c r="D59" s="16">
        <f t="shared" ref="D59:T59" si="44">SUM(D60)</f>
        <v>0</v>
      </c>
      <c r="E59" s="17">
        <f t="shared" si="44"/>
        <v>50000</v>
      </c>
      <c r="F59" s="15">
        <f t="shared" si="44"/>
        <v>0</v>
      </c>
      <c r="G59" s="16">
        <f t="shared" si="44"/>
        <v>0</v>
      </c>
      <c r="H59" s="17">
        <f t="shared" si="44"/>
        <v>0</v>
      </c>
      <c r="I59" s="15">
        <f t="shared" si="44"/>
        <v>0</v>
      </c>
      <c r="J59" s="16">
        <f t="shared" si="44"/>
        <v>0</v>
      </c>
      <c r="K59" s="17">
        <f t="shared" si="44"/>
        <v>0</v>
      </c>
      <c r="L59" s="15">
        <f t="shared" si="44"/>
        <v>0</v>
      </c>
      <c r="M59" s="16">
        <f t="shared" si="44"/>
        <v>0</v>
      </c>
      <c r="N59" s="17">
        <f t="shared" si="44"/>
        <v>0</v>
      </c>
      <c r="O59" s="15">
        <f t="shared" si="44"/>
        <v>0</v>
      </c>
      <c r="P59" s="16">
        <f t="shared" si="44"/>
        <v>0</v>
      </c>
      <c r="Q59" s="17">
        <f t="shared" si="44"/>
        <v>0</v>
      </c>
      <c r="R59" s="15">
        <f t="shared" si="44"/>
        <v>50000</v>
      </c>
      <c r="S59" s="16">
        <f t="shared" si="44"/>
        <v>0</v>
      </c>
      <c r="T59" s="17">
        <f t="shared" si="44"/>
        <v>50000</v>
      </c>
    </row>
    <row r="60" spans="1:20" x14ac:dyDescent="0.2">
      <c r="B60" s="14" t="s">
        <v>62</v>
      </c>
      <c r="C60" s="27">
        <f>50000</f>
        <v>50000</v>
      </c>
      <c r="D60" s="28">
        <f>0</f>
        <v>0</v>
      </c>
      <c r="E60" s="29">
        <f>+C60+D60</f>
        <v>50000</v>
      </c>
      <c r="F60" s="27">
        <f>0</f>
        <v>0</v>
      </c>
      <c r="G60" s="28">
        <f>0</f>
        <v>0</v>
      </c>
      <c r="H60" s="29">
        <f>+F60+G60</f>
        <v>0</v>
      </c>
      <c r="I60" s="27">
        <f>0</f>
        <v>0</v>
      </c>
      <c r="J60" s="28">
        <f>0</f>
        <v>0</v>
      </c>
      <c r="K60" s="29">
        <f>+I60+J60</f>
        <v>0</v>
      </c>
      <c r="L60" s="27">
        <f>0</f>
        <v>0</v>
      </c>
      <c r="M60" s="28">
        <f>0</f>
        <v>0</v>
      </c>
      <c r="N60" s="29">
        <f>+L60+M60</f>
        <v>0</v>
      </c>
      <c r="O60" s="27">
        <f>0</f>
        <v>0</v>
      </c>
      <c r="P60" s="28">
        <f>0</f>
        <v>0</v>
      </c>
      <c r="Q60" s="29">
        <f>+O60+P60</f>
        <v>0</v>
      </c>
      <c r="R60" s="27">
        <f>+C60+F60+I60+L60+O60</f>
        <v>50000</v>
      </c>
      <c r="S60" s="28">
        <f>+D60+G60+J60+M60+P60</f>
        <v>0</v>
      </c>
      <c r="T60" s="29">
        <f>+R60+S60</f>
        <v>50000</v>
      </c>
    </row>
    <row r="61" spans="1:20" x14ac:dyDescent="0.2">
      <c r="B61" s="14" t="s">
        <v>63</v>
      </c>
      <c r="C61" s="15">
        <f t="shared" ref="C61:T61" si="45">SUM(C62:C65)</f>
        <v>75000</v>
      </c>
      <c r="D61" s="16">
        <f t="shared" si="45"/>
        <v>0</v>
      </c>
      <c r="E61" s="17">
        <f t="shared" si="45"/>
        <v>75000</v>
      </c>
      <c r="F61" s="15">
        <f t="shared" si="45"/>
        <v>460000</v>
      </c>
      <c r="G61" s="16">
        <f t="shared" si="45"/>
        <v>125000</v>
      </c>
      <c r="H61" s="17">
        <f t="shared" si="45"/>
        <v>585000</v>
      </c>
      <c r="I61" s="15">
        <f t="shared" si="45"/>
        <v>860000</v>
      </c>
      <c r="J61" s="16">
        <f t="shared" si="45"/>
        <v>125000</v>
      </c>
      <c r="K61" s="17">
        <f t="shared" si="45"/>
        <v>985000</v>
      </c>
      <c r="L61" s="15">
        <f t="shared" si="45"/>
        <v>800000</v>
      </c>
      <c r="M61" s="16">
        <f t="shared" si="45"/>
        <v>125000</v>
      </c>
      <c r="N61" s="17">
        <f t="shared" si="45"/>
        <v>925000</v>
      </c>
      <c r="O61" s="15">
        <f t="shared" si="45"/>
        <v>470000</v>
      </c>
      <c r="P61" s="16">
        <f t="shared" si="45"/>
        <v>125000</v>
      </c>
      <c r="Q61" s="17">
        <f t="shared" si="45"/>
        <v>595000</v>
      </c>
      <c r="R61" s="15">
        <f t="shared" si="45"/>
        <v>2665000</v>
      </c>
      <c r="S61" s="16">
        <f t="shared" si="45"/>
        <v>500000</v>
      </c>
      <c r="T61" s="17">
        <f t="shared" si="45"/>
        <v>3165000</v>
      </c>
    </row>
    <row r="62" spans="1:20" x14ac:dyDescent="0.2">
      <c r="B62" s="14" t="s">
        <v>64</v>
      </c>
      <c r="C62" s="27">
        <f>0</f>
        <v>0</v>
      </c>
      <c r="D62" s="28">
        <f>0</f>
        <v>0</v>
      </c>
      <c r="E62" s="29">
        <f>+C62+D62</f>
        <v>0</v>
      </c>
      <c r="F62" s="27">
        <f>40*3000/2</f>
        <v>60000</v>
      </c>
      <c r="G62" s="28">
        <f>0</f>
        <v>0</v>
      </c>
      <c r="H62" s="29">
        <f>+F62+G62</f>
        <v>60000</v>
      </c>
      <c r="I62" s="27">
        <f>40*3000/2</f>
        <v>60000</v>
      </c>
      <c r="J62" s="28">
        <f>0</f>
        <v>0</v>
      </c>
      <c r="K62" s="29">
        <f>+I62+J62</f>
        <v>60000</v>
      </c>
      <c r="L62" s="27">
        <f>0</f>
        <v>0</v>
      </c>
      <c r="M62" s="28">
        <f>0</f>
        <v>0</v>
      </c>
      <c r="N62" s="29">
        <f>+L62+M62</f>
        <v>0</v>
      </c>
      <c r="O62" s="27">
        <f>0</f>
        <v>0</v>
      </c>
      <c r="P62" s="28">
        <f>0</f>
        <v>0</v>
      </c>
      <c r="Q62" s="29">
        <f>+O62+P62</f>
        <v>0</v>
      </c>
      <c r="R62" s="27">
        <f t="shared" ref="R62:S64" si="46">+C62+F62+I62+L62+O62</f>
        <v>120000</v>
      </c>
      <c r="S62" s="28">
        <f t="shared" si="46"/>
        <v>0</v>
      </c>
      <c r="T62" s="29">
        <f>+R62+S62</f>
        <v>120000</v>
      </c>
    </row>
    <row r="63" spans="1:20" x14ac:dyDescent="0.2">
      <c r="B63" s="14" t="s">
        <v>65</v>
      </c>
      <c r="C63" s="27">
        <f>0</f>
        <v>0</v>
      </c>
      <c r="D63" s="28">
        <f>0</f>
        <v>0</v>
      </c>
      <c r="E63" s="29">
        <f>+C63+D63</f>
        <v>0</v>
      </c>
      <c r="F63" s="27">
        <f>400000</f>
        <v>400000</v>
      </c>
      <c r="G63" s="28">
        <f>0</f>
        <v>0</v>
      </c>
      <c r="H63" s="29">
        <f>+F63+G63</f>
        <v>400000</v>
      </c>
      <c r="I63" s="27">
        <f>800000</f>
        <v>800000</v>
      </c>
      <c r="J63" s="28">
        <f>0</f>
        <v>0</v>
      </c>
      <c r="K63" s="29">
        <f>+I63+J63</f>
        <v>800000</v>
      </c>
      <c r="L63" s="27">
        <f>800000</f>
        <v>800000</v>
      </c>
      <c r="M63" s="28">
        <f>0</f>
        <v>0</v>
      </c>
      <c r="N63" s="29">
        <f>+L63+M63</f>
        <v>800000</v>
      </c>
      <c r="O63" s="27">
        <f>470000</f>
        <v>470000</v>
      </c>
      <c r="P63" s="28">
        <f>0</f>
        <v>0</v>
      </c>
      <c r="Q63" s="29">
        <f>+O63+P63</f>
        <v>470000</v>
      </c>
      <c r="R63" s="27">
        <f t="shared" si="46"/>
        <v>2470000</v>
      </c>
      <c r="S63" s="28">
        <f t="shared" si="46"/>
        <v>0</v>
      </c>
      <c r="T63" s="29">
        <f>+R63+S63</f>
        <v>2470000</v>
      </c>
    </row>
    <row r="64" spans="1:20" x14ac:dyDescent="0.2">
      <c r="B64" s="14" t="s">
        <v>66</v>
      </c>
      <c r="C64" s="27">
        <f>75000</f>
        <v>75000</v>
      </c>
      <c r="D64" s="28">
        <f>0</f>
        <v>0</v>
      </c>
      <c r="E64" s="29">
        <f>+C64+D64</f>
        <v>75000</v>
      </c>
      <c r="F64" s="27">
        <f>0</f>
        <v>0</v>
      </c>
      <c r="G64" s="28">
        <f>0</f>
        <v>0</v>
      </c>
      <c r="H64" s="29">
        <f>+F64+G64</f>
        <v>0</v>
      </c>
      <c r="I64" s="27">
        <f>0</f>
        <v>0</v>
      </c>
      <c r="J64" s="28">
        <f>0</f>
        <v>0</v>
      </c>
      <c r="K64" s="29">
        <f>+I64+J64</f>
        <v>0</v>
      </c>
      <c r="L64" s="27">
        <f>0</f>
        <v>0</v>
      </c>
      <c r="M64" s="28">
        <f>0</f>
        <v>0</v>
      </c>
      <c r="N64" s="29">
        <f>+L64+M64</f>
        <v>0</v>
      </c>
      <c r="O64" s="27">
        <f>0</f>
        <v>0</v>
      </c>
      <c r="P64" s="28">
        <f>0</f>
        <v>0</v>
      </c>
      <c r="Q64" s="29">
        <f>+O64+P64</f>
        <v>0</v>
      </c>
      <c r="R64" s="27">
        <f t="shared" si="46"/>
        <v>75000</v>
      </c>
      <c r="S64" s="28">
        <f t="shared" si="46"/>
        <v>0</v>
      </c>
      <c r="T64" s="29">
        <f>+R64+S64</f>
        <v>75000</v>
      </c>
    </row>
    <row r="65" spans="1:20" x14ac:dyDescent="0.2">
      <c r="B65" s="14" t="s">
        <v>67</v>
      </c>
      <c r="C65" s="27">
        <f>0</f>
        <v>0</v>
      </c>
      <c r="D65" s="28">
        <f>0</f>
        <v>0</v>
      </c>
      <c r="E65" s="29">
        <f>+C65+D65</f>
        <v>0</v>
      </c>
      <c r="F65" s="27">
        <f>0</f>
        <v>0</v>
      </c>
      <c r="G65" s="28">
        <f>125000</f>
        <v>125000</v>
      </c>
      <c r="H65" s="29">
        <f>+F65+G65</f>
        <v>125000</v>
      </c>
      <c r="I65" s="27">
        <f>0</f>
        <v>0</v>
      </c>
      <c r="J65" s="28">
        <f>125000</f>
        <v>125000</v>
      </c>
      <c r="K65" s="29">
        <f>+I65+J65</f>
        <v>125000</v>
      </c>
      <c r="L65" s="27">
        <f>0</f>
        <v>0</v>
      </c>
      <c r="M65" s="28">
        <f>125000</f>
        <v>125000</v>
      </c>
      <c r="N65" s="29">
        <f>+L65+M65</f>
        <v>125000</v>
      </c>
      <c r="O65" s="27">
        <f>0</f>
        <v>0</v>
      </c>
      <c r="P65" s="28">
        <f>125000</f>
        <v>125000</v>
      </c>
      <c r="Q65" s="29">
        <f>+O65+P65</f>
        <v>125000</v>
      </c>
      <c r="R65" s="27">
        <f>+C65+F65+I65+L65+O65</f>
        <v>0</v>
      </c>
      <c r="S65" s="28">
        <f>+D65+G65+J65+M65+P65</f>
        <v>500000</v>
      </c>
      <c r="T65" s="29">
        <f>+R65+S65</f>
        <v>500000</v>
      </c>
    </row>
    <row r="66" spans="1:20" x14ac:dyDescent="0.2">
      <c r="B66" s="14" t="s">
        <v>68</v>
      </c>
      <c r="C66" s="15">
        <f>+C67</f>
        <v>155000</v>
      </c>
      <c r="D66" s="16">
        <f t="shared" ref="D66:T66" si="47">+D67</f>
        <v>0</v>
      </c>
      <c r="E66" s="17">
        <f t="shared" si="47"/>
        <v>155000</v>
      </c>
      <c r="F66" s="15">
        <f t="shared" si="47"/>
        <v>0</v>
      </c>
      <c r="G66" s="16">
        <f t="shared" si="47"/>
        <v>0</v>
      </c>
      <c r="H66" s="17">
        <f t="shared" si="47"/>
        <v>0</v>
      </c>
      <c r="I66" s="15">
        <f t="shared" si="47"/>
        <v>0</v>
      </c>
      <c r="J66" s="16">
        <f t="shared" si="47"/>
        <v>0</v>
      </c>
      <c r="K66" s="17">
        <f t="shared" si="47"/>
        <v>0</v>
      </c>
      <c r="L66" s="15">
        <f t="shared" si="47"/>
        <v>0</v>
      </c>
      <c r="M66" s="16">
        <f t="shared" si="47"/>
        <v>0</v>
      </c>
      <c r="N66" s="17">
        <f t="shared" si="47"/>
        <v>0</v>
      </c>
      <c r="O66" s="15">
        <f t="shared" si="47"/>
        <v>0</v>
      </c>
      <c r="P66" s="16">
        <f t="shared" si="47"/>
        <v>0</v>
      </c>
      <c r="Q66" s="17">
        <f t="shared" si="47"/>
        <v>0</v>
      </c>
      <c r="R66" s="15">
        <f t="shared" si="47"/>
        <v>155000</v>
      </c>
      <c r="S66" s="16">
        <f t="shared" si="47"/>
        <v>0</v>
      </c>
      <c r="T66" s="17">
        <f t="shared" si="47"/>
        <v>155000</v>
      </c>
    </row>
    <row r="67" spans="1:20" x14ac:dyDescent="0.2">
      <c r="B67" s="14" t="s">
        <v>69</v>
      </c>
      <c r="C67" s="15">
        <f>SUM(C68)</f>
        <v>155000</v>
      </c>
      <c r="D67" s="16">
        <f t="shared" ref="D67:T67" si="48">SUM(D68)</f>
        <v>0</v>
      </c>
      <c r="E67" s="17">
        <f t="shared" si="48"/>
        <v>155000</v>
      </c>
      <c r="F67" s="15">
        <f t="shared" si="48"/>
        <v>0</v>
      </c>
      <c r="G67" s="16">
        <f t="shared" si="48"/>
        <v>0</v>
      </c>
      <c r="H67" s="17">
        <f t="shared" si="48"/>
        <v>0</v>
      </c>
      <c r="I67" s="15">
        <f t="shared" si="48"/>
        <v>0</v>
      </c>
      <c r="J67" s="16">
        <f t="shared" si="48"/>
        <v>0</v>
      </c>
      <c r="K67" s="17">
        <f t="shared" si="48"/>
        <v>0</v>
      </c>
      <c r="L67" s="15">
        <f t="shared" si="48"/>
        <v>0</v>
      </c>
      <c r="M67" s="16">
        <f t="shared" si="48"/>
        <v>0</v>
      </c>
      <c r="N67" s="17">
        <f t="shared" si="48"/>
        <v>0</v>
      </c>
      <c r="O67" s="15">
        <f t="shared" si="48"/>
        <v>0</v>
      </c>
      <c r="P67" s="16">
        <f t="shared" si="48"/>
        <v>0</v>
      </c>
      <c r="Q67" s="17">
        <f t="shared" si="48"/>
        <v>0</v>
      </c>
      <c r="R67" s="15">
        <f t="shared" si="48"/>
        <v>155000</v>
      </c>
      <c r="S67" s="16">
        <f t="shared" si="48"/>
        <v>0</v>
      </c>
      <c r="T67" s="17">
        <f t="shared" si="48"/>
        <v>155000</v>
      </c>
    </row>
    <row r="68" spans="1:20" x14ac:dyDescent="0.2">
      <c r="B68" s="53" t="s">
        <v>70</v>
      </c>
      <c r="C68" s="43">
        <f>170000-15000</f>
        <v>155000</v>
      </c>
      <c r="D68" s="44">
        <f>0</f>
        <v>0</v>
      </c>
      <c r="E68" s="29">
        <f>+C68+D68</f>
        <v>155000</v>
      </c>
      <c r="F68" s="27">
        <f>0</f>
        <v>0</v>
      </c>
      <c r="G68" s="28">
        <f>0</f>
        <v>0</v>
      </c>
      <c r="H68" s="29">
        <f>+F68+G68</f>
        <v>0</v>
      </c>
      <c r="I68" s="27">
        <f>0</f>
        <v>0</v>
      </c>
      <c r="J68" s="28">
        <f>0</f>
        <v>0</v>
      </c>
      <c r="K68" s="29">
        <f>+I68+J68</f>
        <v>0</v>
      </c>
      <c r="L68" s="27">
        <f>0</f>
        <v>0</v>
      </c>
      <c r="M68" s="28">
        <f>0</f>
        <v>0</v>
      </c>
      <c r="N68" s="29">
        <f>+L68+M68</f>
        <v>0</v>
      </c>
      <c r="O68" s="27">
        <f>0</f>
        <v>0</v>
      </c>
      <c r="P68" s="28">
        <f>0</f>
        <v>0</v>
      </c>
      <c r="Q68" s="29">
        <f>+O68+P68</f>
        <v>0</v>
      </c>
      <c r="R68" s="27">
        <f>+C68+F68+I68+L68+O68</f>
        <v>155000</v>
      </c>
      <c r="S68" s="28">
        <f>+D68+G68+J68+M68+P68</f>
        <v>0</v>
      </c>
      <c r="T68" s="29">
        <f>+R68+S68</f>
        <v>155000</v>
      </c>
    </row>
    <row r="69" spans="1:20" ht="13.5" thickBot="1" x14ac:dyDescent="0.25">
      <c r="B69" s="54" t="s">
        <v>71</v>
      </c>
      <c r="C69" s="55">
        <f>0</f>
        <v>0</v>
      </c>
      <c r="D69" s="56">
        <f>0</f>
        <v>0</v>
      </c>
      <c r="E69" s="57">
        <f>+C69+D69</f>
        <v>0</v>
      </c>
      <c r="F69" s="55">
        <f>0</f>
        <v>0</v>
      </c>
      <c r="G69" s="56">
        <f>0</f>
        <v>0</v>
      </c>
      <c r="H69" s="57">
        <f>+F69+G69</f>
        <v>0</v>
      </c>
      <c r="I69" s="58">
        <v>1800000</v>
      </c>
      <c r="J69" s="59">
        <f>0</f>
        <v>0</v>
      </c>
      <c r="K69" s="60">
        <f>+I69+J69</f>
        <v>1800000</v>
      </c>
      <c r="L69" s="58">
        <v>1900000</v>
      </c>
      <c r="M69" s="59">
        <f>0</f>
        <v>0</v>
      </c>
      <c r="N69" s="60">
        <f>+L69+M69</f>
        <v>1900000</v>
      </c>
      <c r="O69" s="58">
        <v>1800000</v>
      </c>
      <c r="P69" s="59">
        <f>0</f>
        <v>0</v>
      </c>
      <c r="Q69" s="60">
        <f>+O69+P69</f>
        <v>1800000</v>
      </c>
      <c r="R69" s="47">
        <f>+C69+F69+I69+L69+O69</f>
        <v>5500000</v>
      </c>
      <c r="S69" s="48">
        <f>+D69+G69+J69+M69+P69</f>
        <v>0</v>
      </c>
      <c r="T69" s="49">
        <f>+R69+S69</f>
        <v>5500000</v>
      </c>
    </row>
    <row r="70" spans="1:20" ht="14.25" thickTop="1" thickBot="1" x14ac:dyDescent="0.25">
      <c r="B70" s="61" t="s">
        <v>72</v>
      </c>
      <c r="C70" s="5">
        <f t="shared" ref="C70:T70" si="49">+C71+C75+C76</f>
        <v>593000</v>
      </c>
      <c r="D70" s="6">
        <f t="shared" si="49"/>
        <v>80000</v>
      </c>
      <c r="E70" s="7">
        <f t="shared" si="49"/>
        <v>673000</v>
      </c>
      <c r="F70" s="5">
        <f t="shared" si="49"/>
        <v>418800</v>
      </c>
      <c r="G70" s="6">
        <f t="shared" si="49"/>
        <v>80000</v>
      </c>
      <c r="H70" s="7">
        <f t="shared" si="49"/>
        <v>498800</v>
      </c>
      <c r="I70" s="5">
        <f t="shared" si="49"/>
        <v>382800</v>
      </c>
      <c r="J70" s="6">
        <f t="shared" si="49"/>
        <v>80000</v>
      </c>
      <c r="K70" s="7">
        <f t="shared" si="49"/>
        <v>462800</v>
      </c>
      <c r="L70" s="5">
        <f t="shared" si="49"/>
        <v>382800</v>
      </c>
      <c r="M70" s="6">
        <f t="shared" si="49"/>
        <v>80000</v>
      </c>
      <c r="N70" s="7">
        <f t="shared" si="49"/>
        <v>462800</v>
      </c>
      <c r="O70" s="5">
        <f t="shared" si="49"/>
        <v>547200</v>
      </c>
      <c r="P70" s="6">
        <f t="shared" si="49"/>
        <v>80000</v>
      </c>
      <c r="Q70" s="7">
        <f t="shared" si="49"/>
        <v>627200</v>
      </c>
      <c r="R70" s="5">
        <f t="shared" si="49"/>
        <v>2324600</v>
      </c>
      <c r="S70" s="6">
        <f t="shared" si="49"/>
        <v>400000</v>
      </c>
      <c r="T70" s="7">
        <f t="shared" si="49"/>
        <v>2724600</v>
      </c>
    </row>
    <row r="71" spans="1:20" ht="14.25" thickTop="1" thickBot="1" x14ac:dyDescent="0.25">
      <c r="B71" s="8" t="s">
        <v>73</v>
      </c>
      <c r="C71" s="9">
        <f t="shared" ref="C71:T71" si="50">SUM(C72:C74)</f>
        <v>418800</v>
      </c>
      <c r="D71" s="37">
        <f t="shared" si="50"/>
        <v>0</v>
      </c>
      <c r="E71" s="38">
        <f t="shared" si="50"/>
        <v>418800</v>
      </c>
      <c r="F71" s="9">
        <f t="shared" si="50"/>
        <v>418800</v>
      </c>
      <c r="G71" s="37">
        <f t="shared" si="50"/>
        <v>0</v>
      </c>
      <c r="H71" s="38">
        <f t="shared" si="50"/>
        <v>418800</v>
      </c>
      <c r="I71" s="9">
        <f t="shared" si="50"/>
        <v>382800</v>
      </c>
      <c r="J71" s="37">
        <f t="shared" si="50"/>
        <v>0</v>
      </c>
      <c r="K71" s="38">
        <f t="shared" si="50"/>
        <v>382800</v>
      </c>
      <c r="L71" s="9">
        <f t="shared" si="50"/>
        <v>382800</v>
      </c>
      <c r="M71" s="37">
        <f t="shared" si="50"/>
        <v>0</v>
      </c>
      <c r="N71" s="38">
        <f t="shared" si="50"/>
        <v>382800</v>
      </c>
      <c r="O71" s="9">
        <f t="shared" si="50"/>
        <v>547200</v>
      </c>
      <c r="P71" s="37">
        <f t="shared" si="50"/>
        <v>0</v>
      </c>
      <c r="Q71" s="38">
        <f t="shared" si="50"/>
        <v>547200</v>
      </c>
      <c r="R71" s="9">
        <f t="shared" si="50"/>
        <v>2150400</v>
      </c>
      <c r="S71" s="37">
        <f t="shared" si="50"/>
        <v>0</v>
      </c>
      <c r="T71" s="38">
        <f t="shared" si="50"/>
        <v>2150400</v>
      </c>
    </row>
    <row r="72" spans="1:20" x14ac:dyDescent="0.2">
      <c r="B72" s="62" t="s">
        <v>74</v>
      </c>
      <c r="C72" s="43">
        <f>+[1]COST.ADMIN.SALARIOS!$D$13+[1]COST.ADMIN.SALARIOS!$D$14+[1]COST.ADMIN.SALARIOS!$D$15+[1]COST.ADMIN.SALARIOS!$D$16+[1]COST.ADMIN.SALARIOS!D17</f>
        <v>258000</v>
      </c>
      <c r="D72" s="44">
        <f>0</f>
        <v>0</v>
      </c>
      <c r="E72" s="45">
        <f>+C72+D72</f>
        <v>258000</v>
      </c>
      <c r="F72" s="43">
        <f>+[1]COST.ADMIN.SALARIOS!$D$13+[1]COST.ADMIN.SALARIOS!$D$14+[1]COST.ADMIN.SALARIOS!$D$15+[1]COST.ADMIN.SALARIOS!$D$16+[1]COST.ADMIN.SALARIOS!$D$17</f>
        <v>258000</v>
      </c>
      <c r="G72" s="44">
        <f>0</f>
        <v>0</v>
      </c>
      <c r="H72" s="45">
        <f>+F72+G72</f>
        <v>258000</v>
      </c>
      <c r="I72" s="43">
        <f>+[1]COST.ADMIN.SALARIOS!$D$13+[1]COST.ADMIN.SALARIOS!$D$14+[1]COST.ADMIN.SALARIOS!$D$15+(3500*12)+[1]COST.ADMIN.SALARIOS!$D$17</f>
        <v>222000</v>
      </c>
      <c r="J72" s="44">
        <f>0</f>
        <v>0</v>
      </c>
      <c r="K72" s="45">
        <f>+I72+J72</f>
        <v>222000</v>
      </c>
      <c r="L72" s="43">
        <f>+[1]COST.ADMIN.SALARIOS!$D$13+[1]COST.ADMIN.SALARIOS!$D$14+[1]COST.ADMIN.SALARIOS!$D$15+(3500*12)+[1]COST.ADMIN.SALARIOS!$D$17</f>
        <v>222000</v>
      </c>
      <c r="M72" s="44">
        <f>0</f>
        <v>0</v>
      </c>
      <c r="N72" s="45">
        <f>+L72+M72</f>
        <v>222000</v>
      </c>
      <c r="O72" s="43">
        <f>+[1]COST.ADMIN.SALARIOS!$D$13+[1]COST.ADMIN.SALARIOS!$D$14+[1]COST.ADMIN.SALARIOS!$D$15+(3500*12)+[1]COST.ADMIN.SALARIOS!$D$12+[1]COST.ADMIN.SALARIOS!$D$17</f>
        <v>289200</v>
      </c>
      <c r="P72" s="44">
        <f>0</f>
        <v>0</v>
      </c>
      <c r="Q72" s="45">
        <f>+O72+P72</f>
        <v>289200</v>
      </c>
      <c r="R72" s="43">
        <f t="shared" ref="R72:S76" si="51">+C72+F72+I72+L72+O72</f>
        <v>1249200</v>
      </c>
      <c r="S72" s="44">
        <f t="shared" si="51"/>
        <v>0</v>
      </c>
      <c r="T72" s="45">
        <f>+R72+S72</f>
        <v>1249200</v>
      </c>
    </row>
    <row r="73" spans="1:20" x14ac:dyDescent="0.2">
      <c r="A73" s="3"/>
      <c r="B73" s="63" t="s">
        <v>75</v>
      </c>
      <c r="C73" s="27">
        <f>+[1]COST.ADMIN.SALARIOS!$D$21+[1]COST.ADMIN.SALARIOS!$D$22+[1]COST.ADMIN.SALARIOS!$D$23+[1]COST.ADMIN.SALARIOS!$D$24+[1]COST.ADMIN.SALARIOS!$D$25+[1]COST.ADMIN.SALARIOS!$D$26+[1]COST.ADMIN.SALARIOS!$D$27</f>
        <v>132000</v>
      </c>
      <c r="D73" s="28">
        <f>0</f>
        <v>0</v>
      </c>
      <c r="E73" s="29">
        <f>+C73+D73</f>
        <v>132000</v>
      </c>
      <c r="F73" s="27">
        <f>+[1]COST.ADMIN.SALARIOS!$D$21+[1]COST.ADMIN.SALARIOS!$D$22+[1]COST.ADMIN.SALARIOS!$D$23+[1]COST.ADMIN.SALARIOS!$D$24+[1]COST.ADMIN.SALARIOS!$D$25+[1]COST.ADMIN.SALARIOS!$D$26+[1]COST.ADMIN.SALARIOS!$D$27</f>
        <v>132000</v>
      </c>
      <c r="G73" s="28">
        <f>0</f>
        <v>0</v>
      </c>
      <c r="H73" s="29">
        <f>+F73+G73</f>
        <v>132000</v>
      </c>
      <c r="I73" s="27">
        <f>+[1]COST.ADMIN.SALARIOS!$D$21+[1]COST.ADMIN.SALARIOS!$D$22+[1]COST.ADMIN.SALARIOS!$D$23+[1]COST.ADMIN.SALARIOS!$D$24+[1]COST.ADMIN.SALARIOS!$D$25+[1]COST.ADMIN.SALARIOS!$D$26+[1]COST.ADMIN.SALARIOS!$D$27</f>
        <v>132000</v>
      </c>
      <c r="J73" s="28">
        <f>0</f>
        <v>0</v>
      </c>
      <c r="K73" s="29">
        <f>+I73+J73</f>
        <v>132000</v>
      </c>
      <c r="L73" s="27">
        <f>+[1]COST.ADMIN.SALARIOS!$D$21+[1]COST.ADMIN.SALARIOS!$D$22+[1]COST.ADMIN.SALARIOS!$D$23+[1]COST.ADMIN.SALARIOS!$D$24+[1]COST.ADMIN.SALARIOS!$D$25+[1]COST.ADMIN.SALARIOS!$D$26+[1]COST.ADMIN.SALARIOS!$D$27</f>
        <v>132000</v>
      </c>
      <c r="M73" s="28">
        <f>0</f>
        <v>0</v>
      </c>
      <c r="N73" s="29">
        <f>+L73+M73</f>
        <v>132000</v>
      </c>
      <c r="O73" s="27">
        <f>+[1]COST.ADMIN.SALARIOS!$D$19+[1]COST.ADMIN.SALARIOS!$D$20+[1]COST.ADMIN.SALARIOS!$D$21+[1]COST.ADMIN.SALARIOS!$D$22+[1]COST.ADMIN.SALARIOS!$D$23+[1]COST.ADMIN.SALARIOS!$D$24+[1]COST.ADMIN.SALARIOS!$D$25+[1]COST.ADMIN.SALARIOS!$D$26+[1]COST.ADMIN.SALARIOS!$D$27</f>
        <v>229200</v>
      </c>
      <c r="P73" s="28">
        <f>0</f>
        <v>0</v>
      </c>
      <c r="Q73" s="29">
        <f>+O73+P73</f>
        <v>229200</v>
      </c>
      <c r="R73" s="27">
        <f t="shared" si="51"/>
        <v>757200</v>
      </c>
      <c r="S73" s="28">
        <f t="shared" si="51"/>
        <v>0</v>
      </c>
      <c r="T73" s="29">
        <f>+R73+S73</f>
        <v>757200</v>
      </c>
    </row>
    <row r="74" spans="1:20" ht="13.5" thickBot="1" x14ac:dyDescent="0.25">
      <c r="B74" s="63" t="s">
        <v>76</v>
      </c>
      <c r="C74" s="27">
        <f>+[1]COST.ADMIN.SALARIOS!$D$29*2</f>
        <v>28800</v>
      </c>
      <c r="D74" s="28">
        <f>0</f>
        <v>0</v>
      </c>
      <c r="E74" s="45">
        <f>+C74+D74</f>
        <v>28800</v>
      </c>
      <c r="F74" s="27">
        <f>+[1]COST.ADMIN.SALARIOS!$D$29*2</f>
        <v>28800</v>
      </c>
      <c r="G74" s="28">
        <f>0</f>
        <v>0</v>
      </c>
      <c r="H74" s="45">
        <f>+F74+G74</f>
        <v>28800</v>
      </c>
      <c r="I74" s="27">
        <f>+[1]COST.ADMIN.SALARIOS!$D$29*2</f>
        <v>28800</v>
      </c>
      <c r="J74" s="28">
        <f>0</f>
        <v>0</v>
      </c>
      <c r="K74" s="45">
        <f>+I74+J74</f>
        <v>28800</v>
      </c>
      <c r="L74" s="27">
        <f>+[1]COST.ADMIN.SALARIOS!$D$29*2</f>
        <v>28800</v>
      </c>
      <c r="M74" s="28">
        <f>0</f>
        <v>0</v>
      </c>
      <c r="N74" s="45">
        <f>+L74+M74</f>
        <v>28800</v>
      </c>
      <c r="O74" s="27">
        <f>+[1]COST.ADMIN.SALARIOS!$D$29*2</f>
        <v>28800</v>
      </c>
      <c r="P74" s="28">
        <f>0</f>
        <v>0</v>
      </c>
      <c r="Q74" s="45">
        <f>+O74+P74</f>
        <v>28800</v>
      </c>
      <c r="R74" s="43">
        <f t="shared" si="51"/>
        <v>144000</v>
      </c>
      <c r="S74" s="44">
        <f t="shared" si="51"/>
        <v>0</v>
      </c>
      <c r="T74" s="45">
        <f>+R74+S74</f>
        <v>144000</v>
      </c>
    </row>
    <row r="75" spans="1:20" ht="13.5" thickBot="1" x14ac:dyDescent="0.25">
      <c r="A75" s="3"/>
      <c r="B75" s="64" t="s">
        <v>77</v>
      </c>
      <c r="C75" s="65">
        <f>+[1]COST.ADMIN.ACTIVOS!E36</f>
        <v>174200</v>
      </c>
      <c r="D75" s="66">
        <f>0</f>
        <v>0</v>
      </c>
      <c r="E75" s="67">
        <f>+C75+D75</f>
        <v>174200</v>
      </c>
      <c r="F75" s="65">
        <f>0</f>
        <v>0</v>
      </c>
      <c r="G75" s="66">
        <f>0</f>
        <v>0</v>
      </c>
      <c r="H75" s="67">
        <f>+F75+G75</f>
        <v>0</v>
      </c>
      <c r="I75" s="65">
        <f>0</f>
        <v>0</v>
      </c>
      <c r="J75" s="66">
        <f>0</f>
        <v>0</v>
      </c>
      <c r="K75" s="67">
        <f>+I75+J75</f>
        <v>0</v>
      </c>
      <c r="L75" s="65">
        <f>0</f>
        <v>0</v>
      </c>
      <c r="M75" s="66">
        <f>0</f>
        <v>0</v>
      </c>
      <c r="N75" s="67">
        <f>+L75+M75</f>
        <v>0</v>
      </c>
      <c r="O75" s="65">
        <f>0</f>
        <v>0</v>
      </c>
      <c r="P75" s="66">
        <f>0</f>
        <v>0</v>
      </c>
      <c r="Q75" s="67">
        <f>+O75+P75</f>
        <v>0</v>
      </c>
      <c r="R75" s="65">
        <f t="shared" si="51"/>
        <v>174200</v>
      </c>
      <c r="S75" s="66">
        <f t="shared" si="51"/>
        <v>0</v>
      </c>
      <c r="T75" s="67">
        <f>+R75+S75</f>
        <v>174200</v>
      </c>
    </row>
    <row r="76" spans="1:20" ht="13.5" thickBot="1" x14ac:dyDescent="0.25">
      <c r="B76" s="68" t="s">
        <v>78</v>
      </c>
      <c r="C76" s="69">
        <f>0</f>
        <v>0</v>
      </c>
      <c r="D76" s="70">
        <f>+[1]COST.ADMIN.OPER.!$E$37/5</f>
        <v>80000</v>
      </c>
      <c r="E76" s="71">
        <f>+C76+D76</f>
        <v>80000</v>
      </c>
      <c r="F76" s="69">
        <f>0</f>
        <v>0</v>
      </c>
      <c r="G76" s="70">
        <f>+[1]COST.ADMIN.OPER.!$E$37/5</f>
        <v>80000</v>
      </c>
      <c r="H76" s="71">
        <f>+F76+G76</f>
        <v>80000</v>
      </c>
      <c r="I76" s="69">
        <f>0</f>
        <v>0</v>
      </c>
      <c r="J76" s="70">
        <f>+[1]COST.ADMIN.OPER.!$E$37/5</f>
        <v>80000</v>
      </c>
      <c r="K76" s="71">
        <f>+I76+J76</f>
        <v>80000</v>
      </c>
      <c r="L76" s="69">
        <f>0</f>
        <v>0</v>
      </c>
      <c r="M76" s="70">
        <f>+[1]COST.ADMIN.OPER.!$E$37/5</f>
        <v>80000</v>
      </c>
      <c r="N76" s="71">
        <f>+L76+M76</f>
        <v>80000</v>
      </c>
      <c r="O76" s="69">
        <f>0</f>
        <v>0</v>
      </c>
      <c r="P76" s="70">
        <f>+[1]COST.ADMIN.OPER.!$E$37/5</f>
        <v>80000</v>
      </c>
      <c r="Q76" s="71">
        <f>+O76+P76</f>
        <v>80000</v>
      </c>
      <c r="R76" s="72">
        <f t="shared" si="51"/>
        <v>0</v>
      </c>
      <c r="S76" s="73">
        <f t="shared" si="51"/>
        <v>400000</v>
      </c>
      <c r="T76" s="71">
        <f>+R76+S76</f>
        <v>400000</v>
      </c>
    </row>
    <row r="77" spans="1:20" ht="14.25" thickTop="1" thickBot="1" x14ac:dyDescent="0.25">
      <c r="B77" s="61" t="s">
        <v>79</v>
      </c>
      <c r="C77" s="5">
        <f t="shared" ref="C77:T77" si="52">+C78</f>
        <v>50000</v>
      </c>
      <c r="D77" s="6">
        <f t="shared" si="52"/>
        <v>0</v>
      </c>
      <c r="E77" s="7">
        <f t="shared" si="52"/>
        <v>50000</v>
      </c>
      <c r="F77" s="5">
        <f t="shared" si="52"/>
        <v>50000</v>
      </c>
      <c r="G77" s="6">
        <f t="shared" si="52"/>
        <v>0</v>
      </c>
      <c r="H77" s="7">
        <f t="shared" si="52"/>
        <v>50000</v>
      </c>
      <c r="I77" s="5">
        <f t="shared" si="52"/>
        <v>50000</v>
      </c>
      <c r="J77" s="6">
        <f t="shared" si="52"/>
        <v>0</v>
      </c>
      <c r="K77" s="7">
        <f t="shared" si="52"/>
        <v>50000</v>
      </c>
      <c r="L77" s="5">
        <f t="shared" si="52"/>
        <v>50000</v>
      </c>
      <c r="M77" s="6">
        <f t="shared" si="52"/>
        <v>0</v>
      </c>
      <c r="N77" s="7">
        <f t="shared" si="52"/>
        <v>50000</v>
      </c>
      <c r="O77" s="5">
        <f t="shared" si="52"/>
        <v>50000</v>
      </c>
      <c r="P77" s="6">
        <f t="shared" si="52"/>
        <v>0</v>
      </c>
      <c r="Q77" s="7">
        <f t="shared" si="52"/>
        <v>50000</v>
      </c>
      <c r="R77" s="5">
        <f t="shared" si="52"/>
        <v>250000</v>
      </c>
      <c r="S77" s="6">
        <f t="shared" si="52"/>
        <v>0</v>
      </c>
      <c r="T77" s="7">
        <f t="shared" si="52"/>
        <v>250000</v>
      </c>
    </row>
    <row r="78" spans="1:20" ht="14.25" thickTop="1" thickBot="1" x14ac:dyDescent="0.25">
      <c r="B78" s="74" t="s">
        <v>80</v>
      </c>
      <c r="C78" s="75">
        <f>50000</f>
        <v>50000</v>
      </c>
      <c r="D78" s="76">
        <v>0</v>
      </c>
      <c r="E78" s="77">
        <f>+C78+D78</f>
        <v>50000</v>
      </c>
      <c r="F78" s="75">
        <f>50000</f>
        <v>50000</v>
      </c>
      <c r="G78" s="76">
        <v>0</v>
      </c>
      <c r="H78" s="77">
        <f>+F78+G78</f>
        <v>50000</v>
      </c>
      <c r="I78" s="75">
        <f>50000</f>
        <v>50000</v>
      </c>
      <c r="J78" s="76">
        <v>0</v>
      </c>
      <c r="K78" s="77">
        <f>+I78+J78</f>
        <v>50000</v>
      </c>
      <c r="L78" s="75">
        <f>50000</f>
        <v>50000</v>
      </c>
      <c r="M78" s="76">
        <v>0</v>
      </c>
      <c r="N78" s="77">
        <f>+L78+M78</f>
        <v>50000</v>
      </c>
      <c r="O78" s="75">
        <f>50000</f>
        <v>50000</v>
      </c>
      <c r="P78" s="76">
        <v>0</v>
      </c>
      <c r="Q78" s="77">
        <f>+O78+P78</f>
        <v>50000</v>
      </c>
      <c r="R78" s="78">
        <f>+C78+F78+I78+L78+O78</f>
        <v>250000</v>
      </c>
      <c r="S78" s="79">
        <f>+D78+G78+J78+M78+P78</f>
        <v>0</v>
      </c>
      <c r="T78" s="77">
        <f>+R78+S78</f>
        <v>250000</v>
      </c>
    </row>
    <row r="79" spans="1:20" ht="14.25" thickTop="1" thickBot="1" x14ac:dyDescent="0.25">
      <c r="B79" s="61" t="s">
        <v>81</v>
      </c>
      <c r="C79" s="5">
        <f t="shared" ref="C79:T79" si="53">SUM(C80:C81)</f>
        <v>0</v>
      </c>
      <c r="D79" s="6">
        <f t="shared" si="53"/>
        <v>0</v>
      </c>
      <c r="E79" s="7">
        <f t="shared" si="53"/>
        <v>0</v>
      </c>
      <c r="F79" s="5">
        <f t="shared" si="53"/>
        <v>0</v>
      </c>
      <c r="G79" s="6">
        <f t="shared" si="53"/>
        <v>0</v>
      </c>
      <c r="H79" s="7">
        <f t="shared" si="53"/>
        <v>0</v>
      </c>
      <c r="I79" s="5">
        <f t="shared" si="53"/>
        <v>100000</v>
      </c>
      <c r="J79" s="6">
        <f t="shared" si="53"/>
        <v>0</v>
      </c>
      <c r="K79" s="7">
        <f t="shared" si="53"/>
        <v>100000</v>
      </c>
      <c r="L79" s="5">
        <f t="shared" si="53"/>
        <v>0</v>
      </c>
      <c r="M79" s="6">
        <f t="shared" si="53"/>
        <v>0</v>
      </c>
      <c r="N79" s="7">
        <f t="shared" si="53"/>
        <v>0</v>
      </c>
      <c r="O79" s="5">
        <f t="shared" si="53"/>
        <v>150000</v>
      </c>
      <c r="P79" s="6">
        <f t="shared" si="53"/>
        <v>0</v>
      </c>
      <c r="Q79" s="7">
        <f t="shared" si="53"/>
        <v>150000</v>
      </c>
      <c r="R79" s="5">
        <f t="shared" si="53"/>
        <v>250000</v>
      </c>
      <c r="S79" s="6">
        <f t="shared" si="53"/>
        <v>0</v>
      </c>
      <c r="T79" s="7">
        <f t="shared" si="53"/>
        <v>250000</v>
      </c>
    </row>
    <row r="80" spans="1:20" ht="14.25" thickTop="1" thickBot="1" x14ac:dyDescent="0.25">
      <c r="B80" s="80" t="s">
        <v>82</v>
      </c>
      <c r="C80" s="81">
        <f>0</f>
        <v>0</v>
      </c>
      <c r="D80" s="82">
        <f>0</f>
        <v>0</v>
      </c>
      <c r="E80" s="83">
        <f>+C80+D80</f>
        <v>0</v>
      </c>
      <c r="F80" s="81">
        <f>0</f>
        <v>0</v>
      </c>
      <c r="G80" s="82">
        <f>0</f>
        <v>0</v>
      </c>
      <c r="H80" s="83">
        <f>+F80+G80</f>
        <v>0</v>
      </c>
      <c r="I80" s="81">
        <f>100000</f>
        <v>100000</v>
      </c>
      <c r="J80" s="82">
        <f>0</f>
        <v>0</v>
      </c>
      <c r="K80" s="83">
        <f>+I80+J80</f>
        <v>100000</v>
      </c>
      <c r="L80" s="81">
        <f>0</f>
        <v>0</v>
      </c>
      <c r="M80" s="82">
        <f>0</f>
        <v>0</v>
      </c>
      <c r="N80" s="83">
        <f>+L80+M80</f>
        <v>0</v>
      </c>
      <c r="O80" s="81">
        <f>0</f>
        <v>0</v>
      </c>
      <c r="P80" s="82">
        <f>0</f>
        <v>0</v>
      </c>
      <c r="Q80" s="83">
        <f>+O80+P80</f>
        <v>0</v>
      </c>
      <c r="R80" s="78">
        <f t="shared" ref="R80:S82" si="54">+C80+F80+I80+L80+O80</f>
        <v>100000</v>
      </c>
      <c r="S80" s="79">
        <f t="shared" si="54"/>
        <v>0</v>
      </c>
      <c r="T80" s="83">
        <f>+R80+S80</f>
        <v>100000</v>
      </c>
    </row>
    <row r="81" spans="2:20" ht="13.5" thickBot="1" x14ac:dyDescent="0.25">
      <c r="B81" s="84" t="s">
        <v>83</v>
      </c>
      <c r="C81" s="72">
        <f>0</f>
        <v>0</v>
      </c>
      <c r="D81" s="73">
        <f>0</f>
        <v>0</v>
      </c>
      <c r="E81" s="71">
        <f>+C81+D81</f>
        <v>0</v>
      </c>
      <c r="F81" s="72">
        <f>0</f>
        <v>0</v>
      </c>
      <c r="G81" s="73">
        <f>0</f>
        <v>0</v>
      </c>
      <c r="H81" s="71">
        <f>+F81+G81</f>
        <v>0</v>
      </c>
      <c r="I81" s="72">
        <f>0</f>
        <v>0</v>
      </c>
      <c r="J81" s="73">
        <f>0</f>
        <v>0</v>
      </c>
      <c r="K81" s="71">
        <f>+I81+J81</f>
        <v>0</v>
      </c>
      <c r="L81" s="72">
        <f>0</f>
        <v>0</v>
      </c>
      <c r="M81" s="73">
        <f>0</f>
        <v>0</v>
      </c>
      <c r="N81" s="71">
        <f>+L81+M81</f>
        <v>0</v>
      </c>
      <c r="O81" s="72">
        <f>150000</f>
        <v>150000</v>
      </c>
      <c r="P81" s="73">
        <v>0</v>
      </c>
      <c r="Q81" s="71">
        <f>+O81+P81</f>
        <v>150000</v>
      </c>
      <c r="R81" s="72">
        <f t="shared" si="54"/>
        <v>150000</v>
      </c>
      <c r="S81" s="73">
        <f t="shared" si="54"/>
        <v>0</v>
      </c>
      <c r="T81" s="71">
        <f>+R81+S81</f>
        <v>150000</v>
      </c>
    </row>
    <row r="82" spans="2:20" ht="14.25" thickTop="1" thickBot="1" x14ac:dyDescent="0.25">
      <c r="B82" s="61" t="s">
        <v>84</v>
      </c>
      <c r="C82" s="5">
        <v>35080</v>
      </c>
      <c r="D82" s="6">
        <f>0</f>
        <v>0</v>
      </c>
      <c r="E82" s="7">
        <f>+C82+D82</f>
        <v>35080</v>
      </c>
      <c r="F82" s="5">
        <v>35080</v>
      </c>
      <c r="G82" s="6">
        <f>0</f>
        <v>0</v>
      </c>
      <c r="H82" s="7">
        <f>+F82+G82</f>
        <v>35080</v>
      </c>
      <c r="I82" s="5">
        <v>35080</v>
      </c>
      <c r="J82" s="6">
        <f>0</f>
        <v>0</v>
      </c>
      <c r="K82" s="7">
        <f>+I82+J82</f>
        <v>35080</v>
      </c>
      <c r="L82" s="5">
        <v>35080</v>
      </c>
      <c r="M82" s="6">
        <f>0</f>
        <v>0</v>
      </c>
      <c r="N82" s="7">
        <f>+L82+M82</f>
        <v>35080</v>
      </c>
      <c r="O82" s="5">
        <v>35080</v>
      </c>
      <c r="P82" s="6">
        <f>0</f>
        <v>0</v>
      </c>
      <c r="Q82" s="7">
        <f>+O82+P82</f>
        <v>35080</v>
      </c>
      <c r="R82" s="85">
        <f>+C82+F82+I82+L82+O82</f>
        <v>175400</v>
      </c>
      <c r="S82" s="86">
        <f t="shared" si="54"/>
        <v>0</v>
      </c>
      <c r="T82" s="7">
        <f>+R82+S82</f>
        <v>175400</v>
      </c>
    </row>
    <row r="83" spans="2:20" ht="14.25" thickTop="1" thickBot="1" x14ac:dyDescent="0.25">
      <c r="B83" s="87" t="s">
        <v>85</v>
      </c>
      <c r="C83" s="88">
        <f t="shared" ref="C83:T83" si="55">+C12+C70+C77+C79+C82</f>
        <v>4565080</v>
      </c>
      <c r="D83" s="89">
        <f t="shared" si="55"/>
        <v>280000</v>
      </c>
      <c r="E83" s="90">
        <f t="shared" si="55"/>
        <v>4845080</v>
      </c>
      <c r="F83" s="88">
        <f t="shared" si="55"/>
        <v>8935880</v>
      </c>
      <c r="G83" s="89">
        <f t="shared" si="55"/>
        <v>955000</v>
      </c>
      <c r="H83" s="90">
        <f t="shared" si="55"/>
        <v>9890880</v>
      </c>
      <c r="I83" s="88">
        <f t="shared" si="55"/>
        <v>10967880</v>
      </c>
      <c r="J83" s="89">
        <f t="shared" si="55"/>
        <v>955000</v>
      </c>
      <c r="K83" s="90">
        <f t="shared" si="55"/>
        <v>11922880</v>
      </c>
      <c r="L83" s="88">
        <f t="shared" si="55"/>
        <v>6463880</v>
      </c>
      <c r="M83" s="89">
        <f t="shared" si="55"/>
        <v>555000</v>
      </c>
      <c r="N83" s="90">
        <f t="shared" si="55"/>
        <v>7018880</v>
      </c>
      <c r="O83" s="88">
        <f t="shared" si="55"/>
        <v>4067280</v>
      </c>
      <c r="P83" s="89">
        <f t="shared" si="55"/>
        <v>555000</v>
      </c>
      <c r="Q83" s="90">
        <f t="shared" si="55"/>
        <v>4622280</v>
      </c>
      <c r="R83" s="88">
        <f t="shared" si="55"/>
        <v>35000000</v>
      </c>
      <c r="S83" s="89">
        <f t="shared" si="55"/>
        <v>3300000</v>
      </c>
      <c r="T83" s="90">
        <f t="shared" si="55"/>
        <v>38300000</v>
      </c>
    </row>
    <row r="84" spans="2:20" ht="13.5" thickTop="1" x14ac:dyDescent="0.2"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</row>
    <row r="85" spans="2:20" ht="13.5" thickBot="1" x14ac:dyDescent="0.25"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</row>
    <row r="86" spans="2:20" ht="14.25" thickTop="1" thickBot="1" x14ac:dyDescent="0.25">
      <c r="B86" s="101" t="s">
        <v>86</v>
      </c>
      <c r="C86" s="91" t="s">
        <v>87</v>
      </c>
      <c r="D86" s="91" t="s">
        <v>88</v>
      </c>
      <c r="E86" s="91" t="s">
        <v>89</v>
      </c>
      <c r="F86" s="91" t="s">
        <v>90</v>
      </c>
      <c r="G86" s="91" t="s">
        <v>91</v>
      </c>
      <c r="H86" s="92" t="s">
        <v>92</v>
      </c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</row>
    <row r="87" spans="2:20" ht="13.5" thickBot="1" x14ac:dyDescent="0.25">
      <c r="B87" s="102"/>
      <c r="C87" s="93">
        <f>+C83/$R$83</f>
        <v>0.13043085714285715</v>
      </c>
      <c r="D87" s="93">
        <f>+F83/$R$83</f>
        <v>0.25531085714285712</v>
      </c>
      <c r="E87" s="93">
        <f>+I83/$R$83</f>
        <v>0.31336799999999998</v>
      </c>
      <c r="F87" s="93">
        <f>+L83/$R$83</f>
        <v>0.18468228571428572</v>
      </c>
      <c r="G87" s="93">
        <f>+O83/$R$83</f>
        <v>0.11620800000000001</v>
      </c>
      <c r="H87" s="94">
        <f>SUM(C87:G87)</f>
        <v>0.99999999999999989</v>
      </c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</row>
    <row r="88" spans="2:20" ht="13.5" thickTop="1" x14ac:dyDescent="0.2"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</row>
    <row r="89" spans="2:20" x14ac:dyDescent="0.2"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</row>
    <row r="90" spans="2:20" x14ac:dyDescent="0.2"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</row>
  </sheetData>
  <mergeCells count="31">
    <mergeCell ref="B2:T2"/>
    <mergeCell ref="B3:T3"/>
    <mergeCell ref="B4:T4"/>
    <mergeCell ref="B6:T6"/>
    <mergeCell ref="B7:T7"/>
    <mergeCell ref="O9:Q9"/>
    <mergeCell ref="R9:T9"/>
    <mergeCell ref="C10:C11"/>
    <mergeCell ref="D10:D11"/>
    <mergeCell ref="E10:E11"/>
    <mergeCell ref="F10:F11"/>
    <mergeCell ref="G10:G11"/>
    <mergeCell ref="H10:H11"/>
    <mergeCell ref="I10:I11"/>
    <mergeCell ref="J10:J11"/>
    <mergeCell ref="C9:E9"/>
    <mergeCell ref="F9:H9"/>
    <mergeCell ref="I9:K9"/>
    <mergeCell ref="L9:N9"/>
    <mergeCell ref="Q10:Q11"/>
    <mergeCell ref="R10:R11"/>
    <mergeCell ref="S10:S11"/>
    <mergeCell ref="T10:T11"/>
    <mergeCell ref="B86:B87"/>
    <mergeCell ref="K10:K11"/>
    <mergeCell ref="L10:L11"/>
    <mergeCell ref="M10:M11"/>
    <mergeCell ref="N10:N11"/>
    <mergeCell ref="O10:O11"/>
    <mergeCell ref="P10:P11"/>
    <mergeCell ref="B9:B11"/>
  </mergeCells>
  <pageMargins left="0.75" right="0.75" top="1" bottom="1" header="0.5" footer="0.5"/>
  <pageSetup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?mso-contentType ?>
<SharedContentType xmlns="Microsoft.SharePoint.Taxonomy.ContentTypeSync" SourceId="cf0be0ad-272c-4e7f-a157-3f0abda6cde5" ContentTypeId="0x01010046CF21643EE8D14686A648AA6DAD0892" PreviousValue="false"/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46CF21643EE8D14686A648AA6DAD08920062F6EAB51FE7484C805E93FCCC664F6B" ma:contentTypeVersion="0" ma:contentTypeDescription="A content type to manage public (operations) IDB documents" ma:contentTypeScope="" ma:versionID="77d26a7c3e20629a72c0ac64112cbca6">
  <xsd:schema xmlns:xsd="http://www.w3.org/2001/XMLSchema" xmlns:xs="http://www.w3.org/2001/XMLSchema" xmlns:p="http://schemas.microsoft.com/office/2006/metadata/properties" xmlns:ns2="9c571b2f-e523-4ab2-ba2e-09e151a03ef4" targetNamespace="http://schemas.microsoft.com/office/2006/metadata/properties" ma:root="true" ma:fieldsID="6ea6d61a7ad7d64d7d317954e0798297" ns2:_="">
    <xsd:import namespace="9c571b2f-e523-4ab2-ba2e-09e151a03ef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fd0e48b6a66848a9885f717e5bbf40c4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o5138a91267540169645e33d09c9ddc6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m555d3814edf4817b4410a4e57f94ce9" minOccurs="0"/>
                <xsd:element ref="ns2:e559ffcc31d34167856647188be35015" minOccurs="0"/>
                <xsd:element ref="ns2:c456731dbc904a5fb605ec556c33e883" minOccurs="0"/>
                <xsd:element ref="ns2:Document_x0020_Language_x0020_IDB"/>
                <xsd:element ref="ns2:Division_x0020_or_x0020_Unit"/>
                <xsd:element ref="ns2:Identifier" minOccurs="0"/>
                <xsd:element ref="ns2:j8b96605ee2f4c4e988849e658583fee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Fiscal_x0020_Year_x0020_IDB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571b2f-e523-4ab2-ba2e-09e151a03ef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fd0e48b6a66848a9885f717e5bbf40c4" ma:index="11" nillable="true" ma:taxonomy="true" ma:internalName="fd0e48b6a66848a9885f717e5bbf40c4" ma:taxonomyFieldName="Function_x0020_Operations_x0020_IDB" ma:displayName="Function Operations IDB" ma:default="" ma:fieldId="{fd0e48b6-a668-48a9-885f-717e5bbf40c4}" ma:sspId="cf0be0ad-272c-4e7f-a157-3f0abda6cde5" ma:termSetId="5afbb5f0-73fa-45d3-a56a-b084af06f56a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3950fe0f-781d-4eb3-a432-36b824324f74}" ma:internalName="TaxCatchAll" ma:showField="CatchAllData" ma:web="5edba027-932f-4932-b4c4-b13ec54d8ce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3950fe0f-781d-4eb3-a432-36b824324f74}" ma:internalName="TaxCatchAllLabel" ma:readOnly="true" ma:showField="CatchAllDataLabel" ma:web="5edba027-932f-4932-b4c4-b13ec54d8ce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– 5 years"/>
          <xsd:enumeration value="Disclosed Over Time – 20 years"/>
          <xsd:enumeration value="Disclosed Over Time – 10 years"/>
          <xsd:enumeration value="Public"/>
          <xsd:enumeration value="Public - Simultaneous Disclosure"/>
        </xsd:restriction>
      </xsd:simpleType>
    </xsd:element>
    <xsd:element name="o5138a91267540169645e33d09c9ddc6" ma:index="16" ma:taxonomy="true" ma:internalName="o5138a91267540169645e33d09c9ddc6" ma:taxonomyFieldName="Series_x0020_Operations_x0020_IDB" ma:displayName="Series Operations IDB" ma:readOnly="false" ma:default="" ma:fieldId="{85138a91-2675-4016-9645-e33d09c9ddc6}" ma:sspId="cf0be0ad-272c-4e7f-a157-3f0abda6cde5" ma:termSetId="3bc5da7b-2b03-4315-921b-8aab7897c5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description="Entered by the user or default value pulled from project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m555d3814edf4817b4410a4e57f94ce9" ma:index="24" nillable="true" ma:taxonomy="true" ma:internalName="m555d3814edf4817b4410a4e57f94ce9" ma:taxonomyFieldName="Fund_x0020_IDB" ma:displayName="Fund IDB" ma:default="" ma:fieldId="{6555d381-4edf-4817-b441-0a4e57f94ce9}" ma:taxonomyMulti="true" ma:sspId="cf0be0ad-272c-4e7f-a157-3f0abda6cde5" ma:termSetId="932037b2-42e9-4373-86b7-1f7fc55d6c47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559ffcc31d34167856647188be35015" ma:index="26" nillable="true" ma:taxonomy="true" ma:internalName="e559ffcc31d34167856647188be35015" ma:taxonomyFieldName="Sector_x0020_IDB" ma:displayName="Sector IDB" ma:default="" ma:fieldId="{e559ffcc-31d3-4167-8566-47188be35015}" ma:taxonomyMulti="true" ma:sspId="cf0be0ad-272c-4e7f-a157-3f0abda6cde5" ma:termSetId="2d74a730-652b-4815-b74c-000791e0ddf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c456731dbc904a5fb605ec556c33e883" ma:index="28" nillable="true" ma:taxonomy="true" ma:internalName="c456731dbc904a5fb605ec556c33e883" ma:taxonomyFieldName="Sub_x002d_Sector" ma:displayName="Sub-Sector" ma:default="" ma:fieldId="{c456731d-bc90-4a5f-b605-ec556c33e883}" ma:sspId="cf0be0ad-272c-4e7f-a157-3f0abda6cde5" ma:termSetId="b6d60bd7-2da3-4fd7-a377-d114adc2f2d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j8b96605ee2f4c4e988849e658583fee" ma:index="33" nillable="true" ma:taxonomy="true" ma:internalName="j8b96605ee2f4c4e988849e658583fee" ma:taxonomyFieldName="Country" ma:displayName="Country" ma:default="" ma:fieldId="{38b96605-ee2f-4c4e-9888-49e658583fee}" ma:taxonomyMulti="true" ma:sspId="cf0be0ad-272c-4e7f-a157-3f0abda6cde5" ma:termSetId="2a7cd356-0181-422a-926d-b928cc73465d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5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6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7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8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39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0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1" nillable="true" ma:displayName="Abstract" ma:internalName="Abstract">
      <xsd:simpleType>
        <xsd:restriction base="dms:Note">
          <xsd:maxLength value="255"/>
        </xsd:restriction>
      </xsd:simpleType>
    </xsd:element>
    <xsd:element name="Migration_x0020_Info" ma:index="42" nillable="true" ma:displayName="Migration Info" ma:internalName="Migration_x0020_Info">
      <xsd:simpleType>
        <xsd:restriction base="dms:Note"/>
      </xsd:simpleType>
    </xsd:element>
    <xsd:element name="SISCOR_x0020_Number" ma:index="43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4" nillable="true" ma:displayName="IDBDocs Number" ma:description="Brought over as part of Migration" ma:internalName="IDBDocs_x0020_Number">
      <xsd:simpleType>
        <xsd:restriction base="dms:Text">
          <xsd:maxLength value="255"/>
        </xsd:restriction>
      </xsd:simpleType>
    </xsd:element>
    <xsd:element name="Editor1" ma:index="45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6" nillable="true" ma:displayName="Issue Date" ma:format="DateOnly" ma:internalName="Issue_x0020_Date">
      <xsd:simpleType>
        <xsd:restriction base="dms:DateTime"/>
      </xsd:simpleType>
    </xsd:element>
    <xsd:element name="Publishing_x0020_House" ma:index="47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8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49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0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Fiscal_x0020_Year_x0020_IDB" ma:index="51" nillable="true" ma:displayName="Fiscal Year IDB" ma:default="=TEXT(TODAY(),&quot;yyyy&quot;)" ma:internalName="Fiscal_x0020_Year_x0020_IDB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?mso-contentType ?>
<spe:Receivers xmlns:spe="http://schemas.microsoft.com/sharepoint/events"/>
</file>

<file path=customXml/item5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oject_x0020_Document_x0020_Type xmlns="9c571b2f-e523-4ab2-ba2e-09e151a03ef4" xsi:nil="true"/>
    <Abstract xmlns="9c571b2f-e523-4ab2-ba2e-09e151a03ef4" xsi:nil="true"/>
    <Disclosure_x0020_Activity xmlns="9c571b2f-e523-4ab2-ba2e-09e151a03ef4">Loan Proposal</Disclosure_x0020_Activity>
    <Key_x0020_Document xmlns="9c571b2f-e523-4ab2-ba2e-09e151a03ef4">false</Key_x0020_Document>
    <Division_x0020_or_x0020_Unit xmlns="9c571b2f-e523-4ab2-ba2e-09e151a03ef4">IFD/CTI</Division_x0020_or_x0020_Unit>
    <Other_x0020_Author xmlns="9c571b2f-e523-4ab2-ba2e-09e151a03ef4" xsi:nil="true"/>
    <Region xmlns="9c571b2f-e523-4ab2-ba2e-09e151a03ef4" xsi:nil="true"/>
    <IDBDocs_x0020_Number xmlns="9c571b2f-e523-4ab2-ba2e-09e151a03ef4">38062956</IDBDocs_x0020_Number>
    <Document_x0020_Author xmlns="9c571b2f-e523-4ab2-ba2e-09e151a03ef4">Suaznabar, Claudia</Document_x0020_Author>
    <Publication_x0020_Type xmlns="9c571b2f-e523-4ab2-ba2e-09e151a03ef4" xsi:nil="true"/>
    <Operation_x0020_Type xmlns="9c571b2f-e523-4ab2-ba2e-09e151a03ef4" xsi:nil="true"/>
    <TaxCatchAll xmlns="9c571b2f-e523-4ab2-ba2e-09e151a03ef4">
      <Value>6</Value>
      <Value>9</Value>
    </TaxCatchAll>
    <Fiscal_x0020_Year_x0020_IDB xmlns="9c571b2f-e523-4ab2-ba2e-09e151a03ef4">2013</Fiscal_x0020_Year_x0020_IDB>
    <Issue_x0020_Date xmlns="9c571b2f-e523-4ab2-ba2e-09e151a03ef4" xsi:nil="true"/>
    <m555d3814edf4817b4410a4e57f94ce9 xmlns="9c571b2f-e523-4ab2-ba2e-09e151a03ef4">
      <Terms xmlns="http://schemas.microsoft.com/office/infopath/2007/PartnerControls"/>
    </m555d3814edf4817b4410a4e57f94ce9>
    <Project_x0020_Number xmlns="9c571b2f-e523-4ab2-ba2e-09e151a03ef4">DR-L1068</Project_x0020_Number>
    <o5138a91267540169645e33d09c9ddc6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Project Profile (PP)</TermName>
          <TermId xmlns="http://schemas.microsoft.com/office/infopath/2007/PartnerControls">ac5f0c28-f2f6-431c-8d05-62f851b6a822</TermId>
        </TermInfo>
      </Terms>
    </o5138a91267540169645e33d09c9ddc6>
    <Package_x0020_Code xmlns="9c571b2f-e523-4ab2-ba2e-09e151a03ef4" xsi:nil="true"/>
    <Migration_x0020_Info xmlns="9c571b2f-e523-4ab2-ba2e-09e151a03ef4">&lt;Data&gt;&lt;APPLICATION&gt;MS EXCEL&lt;/APPLICATION&gt;&lt;USER_STAGE&gt;Loan Proposal&lt;/USER_STAGE&gt;&lt;APPROVAL_CODE&gt;QRR&lt;/APPROVAL_CODE&gt;&lt;APPROVAL_DESC&gt;Quality &amp; Risk Review&lt;/APPROVAL_DESC&gt;&lt;PD_OBJ_TYPE&gt;0&lt;/PD_OBJ_TYPE&gt;&lt;MAKERECORD&gt;N&lt;/MAKERECORD&gt;&lt;PD_FILEPT_NO&gt;PO-DR-L1068-Plan&lt;/PD_FILEPT_NO&gt;&lt;/Data&gt;</Migration_x0020_Info>
    <Approval_x0020_Number xmlns="9c571b2f-e523-4ab2-ba2e-09e151a03ef4" xsi:nil="true"/>
    <Access_x0020_to_x0020_Information_x00a0_Policy xmlns="9c571b2f-e523-4ab2-ba2e-09e151a03ef4">Public</Access_x0020_to_x0020_Information_x00a0_Policy>
    <Business_x0020_Area xmlns="9c571b2f-e523-4ab2-ba2e-09e151a03ef4" xsi:nil="true"/>
    <SISCOR_x0020_Number xmlns="9c571b2f-e523-4ab2-ba2e-09e151a03ef4" xsi:nil="true"/>
    <Webtopic xmlns="9c571b2f-e523-4ab2-ba2e-09e151a03ef4">CO-CYT</Webtopic>
    <Identifier xmlns="9c571b2f-e523-4ab2-ba2e-09e151a03ef4"> ANNEX</Identifier>
    <Publishing_x0020_House xmlns="9c571b2f-e523-4ab2-ba2e-09e151a03ef4" xsi:nil="true"/>
    <Document_x0020_Language_x0020_IDB xmlns="9c571b2f-e523-4ab2-ba2e-09e151a03ef4">Spanish</Document_x0020_Language_x0020_IDB>
    <KP_x0020_Topics xmlns="9c571b2f-e523-4ab2-ba2e-09e151a03ef4" xsi:nil="true"/>
    <Phase xmlns="9c571b2f-e523-4ab2-ba2e-09e151a03ef4" xsi:nil="true"/>
    <fd0e48b6a66848a9885f717e5bbf40c4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Project Preparation, Planning and Design</TermName>
          <TermId xmlns="http://schemas.microsoft.com/office/infopath/2007/PartnerControls">29ca0c72-1fc4-435f-a09c-28585cb5eac9</TermId>
        </TermInfo>
      </Terms>
    </fd0e48b6a66848a9885f717e5bbf40c4>
    <e559ffcc31d34167856647188be35015 xmlns="9c571b2f-e523-4ab2-ba2e-09e151a03ef4">
      <Terms xmlns="http://schemas.microsoft.com/office/infopath/2007/PartnerControls"/>
    </e559ffcc31d34167856647188be35015>
    <c456731dbc904a5fb605ec556c33e883 xmlns="9c571b2f-e523-4ab2-ba2e-09e151a03ef4">
      <Terms xmlns="http://schemas.microsoft.com/office/infopath/2007/PartnerControls"/>
    </c456731dbc904a5fb605ec556c33e883>
    <Editor1 xmlns="9c571b2f-e523-4ab2-ba2e-09e151a03ef4" xsi:nil="true"/>
    <j8b96605ee2f4c4e988849e658583fee xmlns="9c571b2f-e523-4ab2-ba2e-09e151a03ef4">
      <Terms xmlns="http://schemas.microsoft.com/office/infopath/2007/PartnerControls"/>
    </j8b96605ee2f4c4e988849e658583fee>
  </documentManagement>
</p:properties>
</file>

<file path=customXml/itemProps1.xml><?xml version="1.0" encoding="utf-8"?>
<ds:datastoreItem xmlns:ds="http://schemas.openxmlformats.org/officeDocument/2006/customXml" ds:itemID="{0788B66E-B586-458F-ABED-799B5CBD31C0}"/>
</file>

<file path=customXml/itemProps2.xml><?xml version="1.0" encoding="utf-8"?>
<ds:datastoreItem xmlns:ds="http://schemas.openxmlformats.org/officeDocument/2006/customXml" ds:itemID="{B7E7F992-A6AF-46FB-B62A-B302C87D0600}"/>
</file>

<file path=customXml/itemProps3.xml><?xml version="1.0" encoding="utf-8"?>
<ds:datastoreItem xmlns:ds="http://schemas.openxmlformats.org/officeDocument/2006/customXml" ds:itemID="{DBEAC0FD-C81D-44E9-A38E-72015C41C1F7}"/>
</file>

<file path=customXml/itemProps4.xml><?xml version="1.0" encoding="utf-8"?>
<ds:datastoreItem xmlns:ds="http://schemas.openxmlformats.org/officeDocument/2006/customXml" ds:itemID="{6D60FC5B-846D-45AC-B5E7-77F71B27F73C}"/>
</file>

<file path=customXml/itemProps5.xml><?xml version="1.0" encoding="utf-8"?>
<ds:datastoreItem xmlns:ds="http://schemas.openxmlformats.org/officeDocument/2006/customXml" ds:itemID="{365A077A-24D3-4EBA-B399-8302CF011DF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PLAN.EJEC.PROG.</vt:lpstr>
    </vt:vector>
  </TitlesOfParts>
  <Company>Inter-American Development Bank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LP DR-L1068 Enlace Elect_ Req_ 1 -Plan Operativo Anual</dc:title>
  <dc:creator>Inter-American Development Bank</dc:creator>
  <cp:lastModifiedBy>Inter-American Development Bank</cp:lastModifiedBy>
  <dcterms:created xsi:type="dcterms:W3CDTF">2013-10-18T21:33:56Z</dcterms:created>
  <dcterms:modified xsi:type="dcterms:W3CDTF">2013-10-18T23:15:23Z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Keyword">
    <vt:lpwstr/>
  </property>
  <property fmtid="{D5CDD505-2E9C-101B-9397-08002B2CF9AE}" pid="3" name="Sub_x002d_Sector">
    <vt:lpwstr/>
  </property>
  <property fmtid="{D5CDD505-2E9C-101B-9397-08002B2CF9AE}" pid="4" name="ContentTypeId">
    <vt:lpwstr>0x01010046CF21643EE8D14686A648AA6DAD08920062F6EAB51FE7484C805E93FCCC664F6B</vt:lpwstr>
  </property>
  <property fmtid="{D5CDD505-2E9C-101B-9397-08002B2CF9AE}" pid="5" name="TaxKeywordTaxHTField">
    <vt:lpwstr/>
  </property>
  <property fmtid="{D5CDD505-2E9C-101B-9397-08002B2CF9AE}" pid="6" name="Series Operations IDB">
    <vt:lpwstr>9;#Project Profile (PP)|ac5f0c28-f2f6-431c-8d05-62f851b6a822</vt:lpwstr>
  </property>
  <property fmtid="{D5CDD505-2E9C-101B-9397-08002B2CF9AE}" pid="7" name="Sub-Sector">
    <vt:lpwstr/>
  </property>
  <property fmtid="{D5CDD505-2E9C-101B-9397-08002B2CF9AE}" pid="8" name="Country">
    <vt:lpwstr/>
  </property>
  <property fmtid="{D5CDD505-2E9C-101B-9397-08002B2CF9AE}" pid="9" name="Fund IDB">
    <vt:lpwstr/>
  </property>
  <property fmtid="{D5CDD505-2E9C-101B-9397-08002B2CF9AE}" pid="10" name="Series_x0020_Operations_x0020_IDB">
    <vt:lpwstr>9;#Project Profile (PP)|ac5f0c28-f2f6-431c-8d05-62f851b6a822</vt:lpwstr>
  </property>
  <property fmtid="{D5CDD505-2E9C-101B-9397-08002B2CF9AE}" pid="11" name="To:">
    <vt:lpwstr/>
  </property>
  <property fmtid="{D5CDD505-2E9C-101B-9397-08002B2CF9AE}" pid="12" name="From:">
    <vt:lpwstr/>
  </property>
  <property fmtid="{D5CDD505-2E9C-101B-9397-08002B2CF9AE}" pid="13" name="Sector IDB">
    <vt:lpwstr/>
  </property>
  <property fmtid="{D5CDD505-2E9C-101B-9397-08002B2CF9AE}" pid="14" name="Function Operations IDB">
    <vt:lpwstr>6;#Project Preparation, Planning and Design|29ca0c72-1fc4-435f-a09c-28585cb5eac9</vt:lpwstr>
  </property>
</Properties>
</file>