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80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.IDB\DOCUMENTOS - 2017\PE-L1226\6. Borrador Propuesta Prestamo OPC\"/>
    </mc:Choice>
  </mc:AlternateContent>
  <xr:revisionPtr revIDLastSave="1" documentId="E1D70E6FE0B098B8EEC050ABDEA759B6570A7C2C" xr6:coauthVersionLast="26" xr6:coauthVersionMax="26" xr10:uidLastSave="{EEF935E8-09B9-47B3-B768-2A97AD1EB1B5}"/>
  <bookViews>
    <workbookView xWindow="0" yWindow="0" windowWidth="20490" windowHeight="7155" tabRatio="952" firstSheet="6" activeTab="5" xr2:uid="{00000000-000D-0000-FFFF-FFFF00000000}"/>
  </bookViews>
  <sheets>
    <sheet name="Resumen" sheetId="13" r:id="rId1"/>
    <sheet name="Resumen C1" sheetId="21" r:id="rId2"/>
    <sheet name="Resumen C2" sheetId="33" r:id="rId3"/>
    <sheet name="C1_Contrata" sheetId="32" r:id="rId4"/>
    <sheet name="C1_Nucleo Ejecutores" sheetId="24" r:id="rId5"/>
    <sheet name="Administración_ME_Auditoria" sheetId="4" r:id="rId6"/>
    <sheet name="Costos RRHH" sheetId="10" r:id="rId7"/>
    <sheet name="Datos de los PIPS" sheetId="12" r:id="rId8"/>
    <sheet name="C2_Gob Regionales" sheetId="23" r:id="rId9"/>
    <sheet name="C2_Gob Locales" sheetId="31" r:id="rId10"/>
    <sheet name="C2-Equi JASS" sheetId="34" r:id="rId11"/>
    <sheet name="C2-Super Sostenib" sheetId="35" r:id="rId12"/>
    <sheet name="C2-Comunicacion" sheetId="36" r:id="rId13"/>
    <sheet name="C2 - PNSR" sheetId="30" r:id="rId14"/>
    <sheet name="C2-Oper Asistida" sheetId="37" r:id="rId15"/>
  </sheets>
  <externalReferences>
    <externalReference r:id="rId16"/>
    <externalReference r:id="rId17"/>
  </externalReferences>
  <definedNames>
    <definedName name="_xlnm._FilterDatabase" localSheetId="7" hidden="1">'Datos de los PIPS'!$A$3:$AG$103</definedName>
  </definedNames>
  <calcPr calcId="171026" concurrentCalc="0"/>
</workbook>
</file>

<file path=xl/calcChain.xml><?xml version="1.0" encoding="utf-8"?>
<calcChain xmlns="http://schemas.openxmlformats.org/spreadsheetml/2006/main">
  <c r="I27" i="4" l="1"/>
  <c r="M23" i="10"/>
  <c r="F15" i="21"/>
  <c r="E15" i="21"/>
  <c r="H195" i="32"/>
  <c r="I195" i="32"/>
  <c r="H194" i="32"/>
  <c r="I194" i="32"/>
  <c r="H193" i="32"/>
  <c r="I193" i="32"/>
  <c r="H192" i="32"/>
  <c r="I192" i="32"/>
  <c r="H191" i="32"/>
  <c r="I191" i="32"/>
  <c r="H190" i="32"/>
  <c r="I190" i="32"/>
  <c r="H189" i="32"/>
  <c r="I189" i="32"/>
  <c r="H188" i="32"/>
  <c r="I188" i="32"/>
  <c r="H187" i="32"/>
  <c r="I187" i="32"/>
  <c r="H186" i="32"/>
  <c r="I186" i="32"/>
  <c r="H176" i="32"/>
  <c r="I176" i="32"/>
  <c r="H185" i="32"/>
  <c r="I185" i="32"/>
  <c r="H184" i="32"/>
  <c r="I184" i="32"/>
  <c r="H183" i="32"/>
  <c r="I183" i="32"/>
  <c r="H182" i="32"/>
  <c r="I182" i="32"/>
  <c r="H181" i="32"/>
  <c r="I181" i="32"/>
  <c r="H180" i="32"/>
  <c r="I180" i="32"/>
  <c r="H179" i="32"/>
  <c r="I179" i="32"/>
  <c r="H178" i="32"/>
  <c r="I178" i="32"/>
  <c r="H177" i="32"/>
  <c r="I177" i="32"/>
  <c r="H175" i="32"/>
  <c r="I175" i="32"/>
  <c r="H174" i="32"/>
  <c r="I174" i="32"/>
  <c r="H173" i="32"/>
  <c r="I173" i="32"/>
  <c r="H172" i="32"/>
  <c r="I172" i="32"/>
  <c r="H171" i="32"/>
  <c r="I171" i="32"/>
  <c r="H170" i="32"/>
  <c r="I170" i="32"/>
  <c r="H169" i="32"/>
  <c r="I169" i="32"/>
  <c r="H168" i="32"/>
  <c r="I168" i="32"/>
  <c r="H167" i="32"/>
  <c r="I167" i="32"/>
  <c r="H166" i="32"/>
  <c r="H164" i="32"/>
  <c r="I164" i="32"/>
  <c r="H163" i="32"/>
  <c r="I163" i="32"/>
  <c r="H162" i="32"/>
  <c r="I162" i="32"/>
  <c r="H161" i="32"/>
  <c r="I161" i="32"/>
  <c r="H160" i="32"/>
  <c r="I160" i="32"/>
  <c r="H159" i="32"/>
  <c r="I159" i="32"/>
  <c r="H158" i="32"/>
  <c r="I158" i="32"/>
  <c r="H157" i="32"/>
  <c r="I157" i="32"/>
  <c r="H156" i="32"/>
  <c r="I156" i="32"/>
  <c r="H155" i="32"/>
  <c r="I155" i="32"/>
  <c r="H145" i="32"/>
  <c r="I145" i="32"/>
  <c r="H154" i="32"/>
  <c r="I154" i="32"/>
  <c r="H153" i="32"/>
  <c r="I153" i="32"/>
  <c r="H152" i="32"/>
  <c r="I152" i="32"/>
  <c r="H151" i="32"/>
  <c r="I151" i="32"/>
  <c r="H150" i="32"/>
  <c r="I150" i="32"/>
  <c r="H149" i="32"/>
  <c r="I149" i="32"/>
  <c r="H148" i="32"/>
  <c r="I148" i="32"/>
  <c r="H147" i="32"/>
  <c r="I147" i="32"/>
  <c r="H146" i="32"/>
  <c r="I146" i="32"/>
  <c r="H144" i="32"/>
  <c r="I144" i="32"/>
  <c r="H143" i="32"/>
  <c r="I143" i="32"/>
  <c r="H142" i="32"/>
  <c r="I142" i="32"/>
  <c r="H141" i="32"/>
  <c r="I141" i="32"/>
  <c r="H140" i="32"/>
  <c r="I140" i="32"/>
  <c r="H139" i="32"/>
  <c r="I139" i="32"/>
  <c r="H138" i="32"/>
  <c r="I138" i="32"/>
  <c r="H137" i="32"/>
  <c r="I137" i="32"/>
  <c r="H136" i="32"/>
  <c r="I136" i="32"/>
  <c r="H135" i="32"/>
  <c r="I135" i="32"/>
  <c r="H133" i="32"/>
  <c r="I133" i="32"/>
  <c r="H132" i="32"/>
  <c r="I132" i="32"/>
  <c r="H131" i="32"/>
  <c r="I131" i="32"/>
  <c r="H130" i="32"/>
  <c r="I130" i="32"/>
  <c r="H129" i="32"/>
  <c r="I129" i="32"/>
  <c r="H128" i="32"/>
  <c r="I128" i="32"/>
  <c r="H127" i="32"/>
  <c r="I127" i="32"/>
  <c r="H126" i="32"/>
  <c r="I126" i="32"/>
  <c r="H125" i="32"/>
  <c r="I125" i="32"/>
  <c r="H124" i="32"/>
  <c r="I124" i="32"/>
  <c r="H114" i="32"/>
  <c r="I114" i="32"/>
  <c r="H123" i="32"/>
  <c r="I123" i="32"/>
  <c r="H122" i="32"/>
  <c r="I122" i="32"/>
  <c r="H121" i="32"/>
  <c r="I121" i="32"/>
  <c r="H120" i="32"/>
  <c r="I120" i="32"/>
  <c r="H119" i="32"/>
  <c r="I119" i="32"/>
  <c r="H118" i="32"/>
  <c r="I118" i="32"/>
  <c r="H117" i="32"/>
  <c r="I117" i="32"/>
  <c r="H116" i="32"/>
  <c r="I116" i="32"/>
  <c r="H115" i="32"/>
  <c r="I115" i="32"/>
  <c r="H113" i="32"/>
  <c r="I113" i="32"/>
  <c r="H112" i="32"/>
  <c r="I112" i="32"/>
  <c r="H111" i="32"/>
  <c r="I111" i="32"/>
  <c r="H110" i="32"/>
  <c r="I110" i="32"/>
  <c r="H109" i="32"/>
  <c r="I109" i="32"/>
  <c r="H108" i="32"/>
  <c r="I108" i="32"/>
  <c r="H107" i="32"/>
  <c r="I107" i="32"/>
  <c r="H106" i="32"/>
  <c r="I106" i="32"/>
  <c r="H105" i="32"/>
  <c r="I105" i="32"/>
  <c r="H104" i="32"/>
  <c r="I102" i="32"/>
  <c r="I101" i="32"/>
  <c r="I100" i="32"/>
  <c r="I99" i="32"/>
  <c r="I98" i="32"/>
  <c r="I97" i="32"/>
  <c r="I96" i="32"/>
  <c r="I95" i="32"/>
  <c r="I94" i="32"/>
  <c r="I93" i="32"/>
  <c r="I83" i="32"/>
  <c r="I92" i="32"/>
  <c r="I91" i="32"/>
  <c r="I90" i="32"/>
  <c r="I89" i="32"/>
  <c r="I88" i="32"/>
  <c r="I87" i="32"/>
  <c r="I86" i="32"/>
  <c r="I85" i="32"/>
  <c r="I84" i="32"/>
  <c r="I82" i="32"/>
  <c r="I81" i="32"/>
  <c r="I80" i="32"/>
  <c r="I79" i="32"/>
  <c r="I78" i="32"/>
  <c r="I77" i="32"/>
  <c r="I76" i="32"/>
  <c r="I75" i="32"/>
  <c r="I74" i="32"/>
  <c r="I73" i="32"/>
  <c r="H72" i="32"/>
  <c r="H71" i="32"/>
  <c r="I71" i="32"/>
  <c r="H70" i="32"/>
  <c r="I70" i="32"/>
  <c r="H69" i="32"/>
  <c r="I69" i="32"/>
  <c r="H68" i="32"/>
  <c r="I68" i="32"/>
  <c r="H67" i="32"/>
  <c r="I67" i="32"/>
  <c r="H66" i="32"/>
  <c r="I66" i="32"/>
  <c r="H65" i="32"/>
  <c r="I65" i="32"/>
  <c r="H64" i="32"/>
  <c r="I64" i="32"/>
  <c r="H63" i="32"/>
  <c r="I63" i="32"/>
  <c r="H62" i="32"/>
  <c r="I62" i="32"/>
  <c r="H52" i="32"/>
  <c r="I52" i="32"/>
  <c r="H61" i="32"/>
  <c r="I61" i="32"/>
  <c r="H60" i="32"/>
  <c r="I60" i="32"/>
  <c r="H59" i="32"/>
  <c r="I59" i="32"/>
  <c r="H58" i="32"/>
  <c r="I58" i="32"/>
  <c r="H57" i="32"/>
  <c r="I57" i="32"/>
  <c r="H56" i="32"/>
  <c r="I56" i="32"/>
  <c r="H55" i="32"/>
  <c r="I55" i="32"/>
  <c r="H54" i="32"/>
  <c r="I54" i="32"/>
  <c r="H53" i="32"/>
  <c r="I53" i="32"/>
  <c r="H51" i="32"/>
  <c r="I51" i="32"/>
  <c r="H50" i="32"/>
  <c r="I50" i="32"/>
  <c r="H49" i="32"/>
  <c r="I49" i="32"/>
  <c r="H48" i="32"/>
  <c r="I48" i="32"/>
  <c r="H47" i="32"/>
  <c r="I47" i="32"/>
  <c r="H46" i="32"/>
  <c r="I46" i="32"/>
  <c r="H45" i="32"/>
  <c r="I45" i="32"/>
  <c r="H44" i="32"/>
  <c r="I44" i="32"/>
  <c r="H43" i="32"/>
  <c r="H42" i="32"/>
  <c r="I42" i="32"/>
  <c r="H40" i="32"/>
  <c r="I40" i="32"/>
  <c r="H39" i="32"/>
  <c r="I39" i="32"/>
  <c r="H38" i="32"/>
  <c r="I38" i="32"/>
  <c r="H37" i="32"/>
  <c r="I37" i="32"/>
  <c r="H36" i="32"/>
  <c r="I36" i="32"/>
  <c r="H35" i="32"/>
  <c r="I35" i="32"/>
  <c r="H34" i="32"/>
  <c r="I34" i="32"/>
  <c r="H33" i="32"/>
  <c r="I33" i="32"/>
  <c r="H32" i="32"/>
  <c r="I32" i="32"/>
  <c r="H31" i="32"/>
  <c r="I31" i="32"/>
  <c r="H21" i="32"/>
  <c r="I21" i="32"/>
  <c r="H30" i="32"/>
  <c r="I30" i="32"/>
  <c r="H29" i="32"/>
  <c r="I29" i="32"/>
  <c r="H28" i="32"/>
  <c r="I28" i="32"/>
  <c r="H27" i="32"/>
  <c r="I27" i="32"/>
  <c r="H26" i="32"/>
  <c r="I26" i="32"/>
  <c r="H25" i="32"/>
  <c r="I25" i="32"/>
  <c r="H24" i="32"/>
  <c r="I24" i="32"/>
  <c r="H23" i="32"/>
  <c r="I23" i="32"/>
  <c r="H22" i="32"/>
  <c r="I22" i="32"/>
  <c r="H20" i="32"/>
  <c r="I20" i="32"/>
  <c r="H19" i="32"/>
  <c r="I19" i="32"/>
  <c r="H18" i="32"/>
  <c r="I18" i="32"/>
  <c r="H17" i="32"/>
  <c r="I17" i="32"/>
  <c r="H16" i="32"/>
  <c r="I16" i="32"/>
  <c r="H15" i="32"/>
  <c r="I15" i="32"/>
  <c r="H14" i="32"/>
  <c r="I14" i="32"/>
  <c r="H13" i="32"/>
  <c r="I13" i="32"/>
  <c r="H12" i="32"/>
  <c r="I12" i="32"/>
  <c r="H11" i="32"/>
  <c r="D195" i="32"/>
  <c r="E195" i="32"/>
  <c r="D194" i="32"/>
  <c r="E194" i="32"/>
  <c r="D193" i="32"/>
  <c r="E193" i="32"/>
  <c r="D192" i="32"/>
  <c r="E192" i="32"/>
  <c r="D191" i="32"/>
  <c r="E191" i="32"/>
  <c r="D190" i="32"/>
  <c r="E190" i="32"/>
  <c r="D189" i="32"/>
  <c r="E189" i="32"/>
  <c r="D188" i="32"/>
  <c r="E188" i="32"/>
  <c r="D187" i="32"/>
  <c r="E187" i="32"/>
  <c r="D186" i="32"/>
  <c r="E186" i="32"/>
  <c r="D176" i="32"/>
  <c r="E176" i="32"/>
  <c r="D185" i="32"/>
  <c r="E185" i="32"/>
  <c r="D184" i="32"/>
  <c r="E184" i="32"/>
  <c r="D183" i="32"/>
  <c r="E183" i="32"/>
  <c r="D182" i="32"/>
  <c r="E182" i="32"/>
  <c r="D181" i="32"/>
  <c r="E181" i="32"/>
  <c r="D180" i="32"/>
  <c r="E180" i="32"/>
  <c r="D179" i="32"/>
  <c r="E179" i="32"/>
  <c r="D178" i="32"/>
  <c r="E178" i="32"/>
  <c r="D177" i="32"/>
  <c r="E177" i="32"/>
  <c r="D175" i="32"/>
  <c r="E175" i="32"/>
  <c r="D174" i="32"/>
  <c r="E174" i="32"/>
  <c r="D173" i="32"/>
  <c r="E173" i="32"/>
  <c r="D172" i="32"/>
  <c r="E172" i="32"/>
  <c r="D171" i="32"/>
  <c r="E171" i="32"/>
  <c r="D170" i="32"/>
  <c r="E170" i="32"/>
  <c r="D169" i="32"/>
  <c r="E169" i="32"/>
  <c r="D168" i="32"/>
  <c r="E168" i="32"/>
  <c r="D167" i="32"/>
  <c r="E167" i="32"/>
  <c r="D166" i="32"/>
  <c r="D164" i="32"/>
  <c r="E164" i="32"/>
  <c r="D163" i="32"/>
  <c r="E163" i="32"/>
  <c r="D162" i="32"/>
  <c r="E162" i="32"/>
  <c r="D161" i="32"/>
  <c r="E161" i="32"/>
  <c r="D160" i="32"/>
  <c r="E160" i="32"/>
  <c r="D159" i="32"/>
  <c r="E159" i="32"/>
  <c r="D158" i="32"/>
  <c r="E158" i="32"/>
  <c r="D157" i="32"/>
  <c r="E157" i="32"/>
  <c r="D156" i="32"/>
  <c r="E156" i="32"/>
  <c r="D155" i="32"/>
  <c r="E155" i="32"/>
  <c r="D145" i="32"/>
  <c r="E145" i="32"/>
  <c r="D154" i="32"/>
  <c r="E154" i="32"/>
  <c r="D153" i="32"/>
  <c r="E153" i="32"/>
  <c r="D152" i="32"/>
  <c r="E152" i="32"/>
  <c r="D151" i="32"/>
  <c r="E151" i="32"/>
  <c r="D150" i="32"/>
  <c r="E150" i="32"/>
  <c r="D149" i="32"/>
  <c r="E149" i="32"/>
  <c r="D148" i="32"/>
  <c r="E148" i="32"/>
  <c r="D147" i="32"/>
  <c r="E147" i="32"/>
  <c r="D146" i="32"/>
  <c r="E146" i="32"/>
  <c r="D144" i="32"/>
  <c r="E144" i="32"/>
  <c r="D143" i="32"/>
  <c r="E143" i="32"/>
  <c r="D142" i="32"/>
  <c r="E142" i="32"/>
  <c r="D141" i="32"/>
  <c r="E141" i="32"/>
  <c r="D140" i="32"/>
  <c r="E140" i="32"/>
  <c r="D139" i="32"/>
  <c r="E139" i="32"/>
  <c r="D138" i="32"/>
  <c r="E138" i="32"/>
  <c r="D137" i="32"/>
  <c r="E137" i="32"/>
  <c r="D136" i="32"/>
  <c r="E136" i="32"/>
  <c r="D135" i="32"/>
  <c r="E135" i="32"/>
  <c r="D133" i="32"/>
  <c r="E133" i="32"/>
  <c r="D132" i="32"/>
  <c r="E132" i="32"/>
  <c r="D131" i="32"/>
  <c r="E131" i="32"/>
  <c r="D130" i="32"/>
  <c r="E130" i="32"/>
  <c r="D129" i="32"/>
  <c r="E129" i="32"/>
  <c r="D128" i="32"/>
  <c r="E128" i="32"/>
  <c r="D127" i="32"/>
  <c r="E127" i="32"/>
  <c r="D126" i="32"/>
  <c r="E126" i="32"/>
  <c r="D125" i="32"/>
  <c r="E125" i="32"/>
  <c r="D124" i="32"/>
  <c r="E124" i="32"/>
  <c r="D114" i="32"/>
  <c r="E114" i="32"/>
  <c r="D123" i="32"/>
  <c r="E123" i="32"/>
  <c r="D122" i="32"/>
  <c r="E122" i="32"/>
  <c r="D121" i="32"/>
  <c r="E121" i="32"/>
  <c r="D120" i="32"/>
  <c r="E120" i="32"/>
  <c r="D119" i="32"/>
  <c r="E119" i="32"/>
  <c r="D118" i="32"/>
  <c r="E118" i="32"/>
  <c r="D117" i="32"/>
  <c r="E117" i="32"/>
  <c r="D116" i="32"/>
  <c r="E116" i="32"/>
  <c r="D115" i="32"/>
  <c r="E115" i="32"/>
  <c r="D113" i="32"/>
  <c r="E113" i="32"/>
  <c r="D112" i="32"/>
  <c r="E112" i="32"/>
  <c r="D111" i="32"/>
  <c r="E111" i="32"/>
  <c r="D110" i="32"/>
  <c r="E110" i="32"/>
  <c r="D109" i="32"/>
  <c r="E109" i="32"/>
  <c r="D108" i="32"/>
  <c r="E108" i="32"/>
  <c r="D107" i="32"/>
  <c r="E107" i="32"/>
  <c r="D106" i="32"/>
  <c r="E106" i="32"/>
  <c r="D105" i="32"/>
  <c r="E105" i="32"/>
  <c r="D104" i="32"/>
  <c r="E104" i="32"/>
  <c r="D102" i="32"/>
  <c r="E102" i="32"/>
  <c r="D101" i="32"/>
  <c r="E101" i="32"/>
  <c r="D100" i="32"/>
  <c r="E100" i="32"/>
  <c r="D99" i="32"/>
  <c r="E99" i="32"/>
  <c r="D98" i="32"/>
  <c r="E98" i="32"/>
  <c r="D97" i="32"/>
  <c r="E97" i="32"/>
  <c r="D96" i="32"/>
  <c r="E96" i="32"/>
  <c r="D95" i="32"/>
  <c r="E95" i="32"/>
  <c r="D94" i="32"/>
  <c r="E94" i="32"/>
  <c r="D93" i="32"/>
  <c r="E93" i="32"/>
  <c r="D83" i="32"/>
  <c r="E83" i="32"/>
  <c r="D92" i="32"/>
  <c r="E92" i="32"/>
  <c r="D91" i="32"/>
  <c r="E91" i="32"/>
  <c r="D90" i="32"/>
  <c r="E90" i="32"/>
  <c r="D89" i="32"/>
  <c r="E89" i="32"/>
  <c r="D88" i="32"/>
  <c r="E88" i="32"/>
  <c r="D87" i="32"/>
  <c r="E87" i="32"/>
  <c r="D86" i="32"/>
  <c r="E86" i="32"/>
  <c r="D85" i="32"/>
  <c r="E85" i="32"/>
  <c r="D84" i="32"/>
  <c r="E84" i="32"/>
  <c r="D82" i="32"/>
  <c r="E82" i="32"/>
  <c r="D81" i="32"/>
  <c r="E81" i="32"/>
  <c r="D80" i="32"/>
  <c r="E80" i="32"/>
  <c r="D79" i="32"/>
  <c r="E79" i="32"/>
  <c r="D78" i="32"/>
  <c r="E78" i="32"/>
  <c r="D77" i="32"/>
  <c r="E77" i="32"/>
  <c r="D76" i="32"/>
  <c r="E76" i="32"/>
  <c r="D75" i="32"/>
  <c r="E75" i="32"/>
  <c r="D74" i="32"/>
  <c r="E74" i="32"/>
  <c r="D73" i="32"/>
  <c r="E73" i="32"/>
  <c r="D71" i="32"/>
  <c r="E71" i="32"/>
  <c r="D70" i="32"/>
  <c r="E70" i="32"/>
  <c r="D69" i="32"/>
  <c r="E69" i="32"/>
  <c r="D68" i="32"/>
  <c r="E68" i="32"/>
  <c r="D67" i="32"/>
  <c r="E67" i="32"/>
  <c r="D66" i="32"/>
  <c r="E66" i="32"/>
  <c r="D65" i="32"/>
  <c r="E65" i="32"/>
  <c r="D64" i="32"/>
  <c r="E64" i="32"/>
  <c r="D63" i="32"/>
  <c r="E63" i="32"/>
  <c r="D62" i="32"/>
  <c r="E62" i="32"/>
  <c r="D52" i="32"/>
  <c r="E52" i="32"/>
  <c r="D61" i="32"/>
  <c r="E61" i="32"/>
  <c r="D60" i="32"/>
  <c r="E60" i="32"/>
  <c r="D59" i="32"/>
  <c r="E59" i="32"/>
  <c r="D58" i="32"/>
  <c r="E58" i="32"/>
  <c r="D57" i="32"/>
  <c r="E57" i="32"/>
  <c r="D56" i="32"/>
  <c r="E56" i="32"/>
  <c r="D55" i="32"/>
  <c r="E55" i="32"/>
  <c r="D54" i="32"/>
  <c r="E54" i="32"/>
  <c r="D53" i="32"/>
  <c r="E53" i="32"/>
  <c r="D51" i="32"/>
  <c r="E51" i="32"/>
  <c r="D50" i="32"/>
  <c r="E50" i="32"/>
  <c r="D49" i="32"/>
  <c r="E49" i="32"/>
  <c r="D48" i="32"/>
  <c r="E48" i="32"/>
  <c r="D47" i="32"/>
  <c r="E47" i="32"/>
  <c r="D46" i="32"/>
  <c r="E46" i="32"/>
  <c r="D45" i="32"/>
  <c r="E45" i="32"/>
  <c r="D44" i="32"/>
  <c r="E44" i="32"/>
  <c r="D43" i="32"/>
  <c r="E43" i="32"/>
  <c r="D42" i="32"/>
  <c r="E42" i="32"/>
  <c r="D40" i="32"/>
  <c r="E40" i="32"/>
  <c r="D39" i="32"/>
  <c r="E39" i="32"/>
  <c r="D38" i="32"/>
  <c r="E38" i="32"/>
  <c r="D37" i="32"/>
  <c r="E37" i="32"/>
  <c r="D36" i="32"/>
  <c r="E36" i="32"/>
  <c r="D35" i="32"/>
  <c r="E35" i="32"/>
  <c r="D34" i="32"/>
  <c r="E34" i="32"/>
  <c r="D33" i="32"/>
  <c r="E33" i="32"/>
  <c r="D32" i="32"/>
  <c r="E32" i="32"/>
  <c r="D31" i="32"/>
  <c r="E31" i="32"/>
  <c r="D21" i="32"/>
  <c r="E21" i="32"/>
  <c r="D30" i="32"/>
  <c r="E30" i="32"/>
  <c r="D29" i="32"/>
  <c r="E29" i="32"/>
  <c r="D28" i="32"/>
  <c r="E28" i="32"/>
  <c r="D27" i="32"/>
  <c r="E27" i="32"/>
  <c r="D26" i="32"/>
  <c r="E26" i="32"/>
  <c r="D25" i="32"/>
  <c r="E25" i="32"/>
  <c r="D24" i="32"/>
  <c r="E24" i="32"/>
  <c r="D23" i="32"/>
  <c r="E23" i="32"/>
  <c r="D22" i="32"/>
  <c r="E22" i="32"/>
  <c r="D20" i="32"/>
  <c r="E20" i="32"/>
  <c r="D19" i="32"/>
  <c r="E19" i="32"/>
  <c r="D18" i="32"/>
  <c r="E18" i="32"/>
  <c r="D17" i="32"/>
  <c r="E17" i="32"/>
  <c r="D16" i="32"/>
  <c r="E16" i="32"/>
  <c r="D15" i="32"/>
  <c r="E15" i="32"/>
  <c r="D14" i="32"/>
  <c r="E14" i="32"/>
  <c r="D13" i="32"/>
  <c r="E13" i="32"/>
  <c r="D12" i="32"/>
  <c r="E12" i="32"/>
  <c r="D11" i="32"/>
  <c r="H121" i="24"/>
  <c r="I121" i="24"/>
  <c r="H120" i="24"/>
  <c r="I120" i="24"/>
  <c r="H119" i="24"/>
  <c r="I119" i="24"/>
  <c r="J119" i="24"/>
  <c r="H118" i="24"/>
  <c r="I118" i="24"/>
  <c r="H117" i="24"/>
  <c r="I117" i="24"/>
  <c r="J117" i="24"/>
  <c r="H116" i="24"/>
  <c r="I116" i="24"/>
  <c r="H115" i="24"/>
  <c r="I115" i="24"/>
  <c r="J115" i="24"/>
  <c r="H114" i="24"/>
  <c r="I114" i="24"/>
  <c r="H113" i="24"/>
  <c r="I113" i="24"/>
  <c r="H112" i="24"/>
  <c r="I112" i="24"/>
  <c r="H111" i="24"/>
  <c r="I111" i="24"/>
  <c r="J111" i="24"/>
  <c r="H110" i="24"/>
  <c r="I110" i="24"/>
  <c r="H109" i="24"/>
  <c r="I109" i="24"/>
  <c r="J109" i="24"/>
  <c r="H108" i="24"/>
  <c r="I108" i="24"/>
  <c r="H107" i="24"/>
  <c r="I107" i="24"/>
  <c r="J107" i="24"/>
  <c r="H105" i="24"/>
  <c r="I105" i="24"/>
  <c r="H104" i="24"/>
  <c r="I104" i="24"/>
  <c r="H103" i="24"/>
  <c r="I103" i="24"/>
  <c r="H102" i="24"/>
  <c r="I102" i="24"/>
  <c r="H101" i="24"/>
  <c r="I101" i="24"/>
  <c r="H100" i="24"/>
  <c r="I100" i="24"/>
  <c r="H99" i="24"/>
  <c r="I99" i="24"/>
  <c r="H98" i="24"/>
  <c r="I98" i="24"/>
  <c r="H97" i="24"/>
  <c r="I97" i="24"/>
  <c r="H96" i="24"/>
  <c r="I96" i="24"/>
  <c r="H95" i="24"/>
  <c r="I95" i="24"/>
  <c r="H94" i="24"/>
  <c r="I94" i="24"/>
  <c r="H93" i="24"/>
  <c r="I93" i="24"/>
  <c r="H92" i="24"/>
  <c r="I92" i="24"/>
  <c r="H91" i="24"/>
  <c r="I91" i="24"/>
  <c r="H90" i="24"/>
  <c r="H89" i="24"/>
  <c r="I89" i="24"/>
  <c r="H88" i="24"/>
  <c r="I88" i="24"/>
  <c r="H87" i="24"/>
  <c r="I87" i="24"/>
  <c r="H86" i="24"/>
  <c r="I86" i="24"/>
  <c r="H85" i="24"/>
  <c r="I85" i="24"/>
  <c r="H84" i="24"/>
  <c r="I84" i="24"/>
  <c r="H83" i="24"/>
  <c r="I83" i="24"/>
  <c r="H82" i="24"/>
  <c r="I82" i="24"/>
  <c r="H81" i="24"/>
  <c r="I81" i="24"/>
  <c r="H80" i="24"/>
  <c r="I80" i="24"/>
  <c r="H79" i="24"/>
  <c r="I79" i="24"/>
  <c r="H78" i="24"/>
  <c r="I78" i="24"/>
  <c r="H77" i="24"/>
  <c r="I77" i="24"/>
  <c r="H76" i="24"/>
  <c r="I76" i="24"/>
  <c r="H75" i="24"/>
  <c r="I75" i="24"/>
  <c r="H73" i="24"/>
  <c r="I73" i="24"/>
  <c r="H72" i="24"/>
  <c r="I72" i="24"/>
  <c r="H71" i="24"/>
  <c r="I71" i="24"/>
  <c r="H70" i="24"/>
  <c r="I70" i="24"/>
  <c r="H69" i="24"/>
  <c r="I69" i="24"/>
  <c r="H68" i="24"/>
  <c r="I68" i="24"/>
  <c r="H67" i="24"/>
  <c r="I67" i="24"/>
  <c r="H66" i="24"/>
  <c r="I66" i="24"/>
  <c r="H65" i="24"/>
  <c r="I65" i="24"/>
  <c r="H64" i="24"/>
  <c r="I64" i="24"/>
  <c r="H63" i="24"/>
  <c r="I63" i="24"/>
  <c r="H62" i="24"/>
  <c r="I62" i="24"/>
  <c r="H61" i="24"/>
  <c r="I61" i="24"/>
  <c r="H60" i="24"/>
  <c r="I60" i="24"/>
  <c r="H59" i="24"/>
  <c r="I59" i="24"/>
  <c r="H58" i="24"/>
  <c r="I57" i="24"/>
  <c r="I56" i="24"/>
  <c r="I55" i="24"/>
  <c r="I54" i="24"/>
  <c r="I53" i="24"/>
  <c r="I52" i="24"/>
  <c r="I51" i="24"/>
  <c r="I50" i="24"/>
  <c r="I49" i="24"/>
  <c r="I48" i="24"/>
  <c r="I47" i="24"/>
  <c r="I46" i="24"/>
  <c r="I45" i="24"/>
  <c r="I44" i="24"/>
  <c r="I43" i="24"/>
  <c r="I42" i="24"/>
  <c r="H42" i="24"/>
  <c r="H41" i="24"/>
  <c r="I41" i="24"/>
  <c r="H40" i="24"/>
  <c r="I40" i="24"/>
  <c r="H39" i="24"/>
  <c r="I39" i="24"/>
  <c r="H38" i="24"/>
  <c r="I38" i="24"/>
  <c r="H37" i="24"/>
  <c r="I37" i="24"/>
  <c r="H36" i="24"/>
  <c r="I36" i="24"/>
  <c r="H35" i="24"/>
  <c r="I35" i="24"/>
  <c r="H34" i="24"/>
  <c r="I34" i="24"/>
  <c r="H33" i="24"/>
  <c r="I33" i="24"/>
  <c r="H32" i="24"/>
  <c r="I32" i="24"/>
  <c r="H31" i="24"/>
  <c r="I31" i="24"/>
  <c r="H30" i="24"/>
  <c r="I30" i="24"/>
  <c r="H29" i="24"/>
  <c r="I29" i="24"/>
  <c r="H28" i="24"/>
  <c r="I28" i="24"/>
  <c r="H27" i="24"/>
  <c r="H25" i="24"/>
  <c r="I25" i="24"/>
  <c r="H24" i="24"/>
  <c r="I24" i="24"/>
  <c r="H23" i="24"/>
  <c r="I23" i="24"/>
  <c r="H22" i="24"/>
  <c r="I22" i="24"/>
  <c r="H21" i="24"/>
  <c r="I21" i="24"/>
  <c r="H20" i="24"/>
  <c r="I20" i="24"/>
  <c r="H19" i="24"/>
  <c r="I19" i="24"/>
  <c r="H18" i="24"/>
  <c r="I18" i="24"/>
  <c r="H17" i="24"/>
  <c r="I17" i="24"/>
  <c r="H16" i="24"/>
  <c r="I16" i="24"/>
  <c r="H15" i="24"/>
  <c r="I15" i="24"/>
  <c r="H14" i="24"/>
  <c r="I14" i="24"/>
  <c r="H13" i="24"/>
  <c r="I13" i="24"/>
  <c r="H12" i="24"/>
  <c r="I12" i="24"/>
  <c r="H11" i="24"/>
  <c r="D121" i="24"/>
  <c r="E121" i="24"/>
  <c r="D120" i="24"/>
  <c r="E120" i="24"/>
  <c r="F120" i="24"/>
  <c r="D119" i="24"/>
  <c r="E119" i="24"/>
  <c r="F119" i="24"/>
  <c r="D118" i="24"/>
  <c r="D117" i="24"/>
  <c r="E118" i="24"/>
  <c r="D116" i="24"/>
  <c r="E117" i="24"/>
  <c r="F117" i="24"/>
  <c r="D115" i="24"/>
  <c r="E116" i="24"/>
  <c r="F116" i="24"/>
  <c r="D114" i="24"/>
  <c r="D113" i="24"/>
  <c r="E113" i="24"/>
  <c r="G113" i="24"/>
  <c r="D112" i="24"/>
  <c r="E112" i="24"/>
  <c r="F112" i="24"/>
  <c r="D111" i="24"/>
  <c r="E111" i="24"/>
  <c r="F111" i="24"/>
  <c r="D110" i="24"/>
  <c r="E110" i="24"/>
  <c r="F110" i="24"/>
  <c r="D109" i="24"/>
  <c r="E109" i="24"/>
  <c r="G109" i="24"/>
  <c r="D108" i="24"/>
  <c r="E108" i="24"/>
  <c r="F108" i="24"/>
  <c r="D107" i="24"/>
  <c r="E107" i="24"/>
  <c r="G107" i="24"/>
  <c r="D105" i="24"/>
  <c r="E105" i="24"/>
  <c r="D104" i="24"/>
  <c r="E104" i="24"/>
  <c r="D103" i="24"/>
  <c r="E103" i="24"/>
  <c r="D102" i="24"/>
  <c r="E102" i="24"/>
  <c r="D101" i="24"/>
  <c r="E101" i="24"/>
  <c r="D100" i="24"/>
  <c r="E100" i="24"/>
  <c r="D99" i="24"/>
  <c r="E99" i="24"/>
  <c r="D98" i="24"/>
  <c r="E98" i="24"/>
  <c r="D97" i="24"/>
  <c r="E97" i="24"/>
  <c r="D96" i="24"/>
  <c r="E96" i="24"/>
  <c r="D95" i="24"/>
  <c r="E95" i="24"/>
  <c r="D94" i="24"/>
  <c r="E94" i="24"/>
  <c r="D93" i="24"/>
  <c r="E93" i="24"/>
  <c r="D92" i="24"/>
  <c r="E92" i="24"/>
  <c r="D91" i="24"/>
  <c r="E91" i="24"/>
  <c r="D89" i="24"/>
  <c r="E89" i="24"/>
  <c r="D88" i="24"/>
  <c r="E88" i="24"/>
  <c r="D87" i="24"/>
  <c r="E87" i="24"/>
  <c r="D86" i="24"/>
  <c r="E86" i="24"/>
  <c r="D85" i="24"/>
  <c r="E85" i="24"/>
  <c r="D84" i="24"/>
  <c r="E84" i="24"/>
  <c r="D83" i="24"/>
  <c r="E83" i="24"/>
  <c r="D82" i="24"/>
  <c r="E82" i="24"/>
  <c r="D81" i="24"/>
  <c r="E81" i="24"/>
  <c r="D80" i="24"/>
  <c r="E80" i="24"/>
  <c r="D79" i="24"/>
  <c r="E79" i="24"/>
  <c r="D78" i="24"/>
  <c r="E78" i="24"/>
  <c r="D77" i="24"/>
  <c r="E77" i="24"/>
  <c r="D76" i="24"/>
  <c r="E76" i="24"/>
  <c r="D75" i="24"/>
  <c r="E75" i="24"/>
  <c r="D73" i="24"/>
  <c r="E73" i="24"/>
  <c r="D72" i="24"/>
  <c r="E72" i="24"/>
  <c r="D71" i="24"/>
  <c r="E71" i="24"/>
  <c r="D70" i="24"/>
  <c r="E70" i="24"/>
  <c r="D69" i="24"/>
  <c r="E69" i="24"/>
  <c r="D68" i="24"/>
  <c r="E68" i="24"/>
  <c r="D67" i="24"/>
  <c r="E67" i="24"/>
  <c r="D66" i="24"/>
  <c r="E66" i="24"/>
  <c r="D65" i="24"/>
  <c r="E65" i="24"/>
  <c r="D64" i="24"/>
  <c r="E64" i="24"/>
  <c r="D63" i="24"/>
  <c r="E63" i="24"/>
  <c r="D62" i="24"/>
  <c r="E62" i="24"/>
  <c r="D61" i="24"/>
  <c r="E61" i="24"/>
  <c r="D60" i="24"/>
  <c r="E60" i="24"/>
  <c r="D59" i="24"/>
  <c r="E59" i="24"/>
  <c r="D57" i="24"/>
  <c r="E57" i="24"/>
  <c r="D56" i="24"/>
  <c r="E56" i="24"/>
  <c r="D55" i="24"/>
  <c r="E55" i="24"/>
  <c r="D54" i="24"/>
  <c r="E54" i="24"/>
  <c r="D53" i="24"/>
  <c r="E53" i="24"/>
  <c r="D52" i="24"/>
  <c r="E52" i="24"/>
  <c r="D51" i="24"/>
  <c r="E51" i="24"/>
  <c r="D50" i="24"/>
  <c r="E50" i="24"/>
  <c r="D49" i="24"/>
  <c r="E49" i="24"/>
  <c r="D48" i="24"/>
  <c r="E48" i="24"/>
  <c r="D47" i="24"/>
  <c r="E47" i="24"/>
  <c r="D46" i="24"/>
  <c r="E46" i="24"/>
  <c r="D45" i="24"/>
  <c r="E45" i="24"/>
  <c r="D44" i="24"/>
  <c r="E44" i="24"/>
  <c r="D43" i="24"/>
  <c r="E43" i="24"/>
  <c r="D41" i="24"/>
  <c r="E41" i="24"/>
  <c r="D40" i="24"/>
  <c r="E40" i="24"/>
  <c r="D39" i="24"/>
  <c r="E39" i="24"/>
  <c r="D38" i="24"/>
  <c r="E38" i="24"/>
  <c r="D37" i="24"/>
  <c r="E37" i="24"/>
  <c r="D36" i="24"/>
  <c r="E36" i="24"/>
  <c r="D35" i="24"/>
  <c r="E35" i="24"/>
  <c r="D34" i="24"/>
  <c r="E34" i="24"/>
  <c r="D33" i="24"/>
  <c r="E33" i="24"/>
  <c r="D32" i="24"/>
  <c r="E32" i="24"/>
  <c r="D31" i="24"/>
  <c r="E31" i="24"/>
  <c r="D30" i="24"/>
  <c r="E30" i="24"/>
  <c r="D29" i="24"/>
  <c r="E29" i="24"/>
  <c r="D28" i="24"/>
  <c r="E28" i="24"/>
  <c r="D27" i="24"/>
  <c r="E27" i="24"/>
  <c r="D25" i="24"/>
  <c r="E25" i="24"/>
  <c r="D24" i="24"/>
  <c r="E24" i="24"/>
  <c r="D23" i="24"/>
  <c r="E23" i="24"/>
  <c r="D22" i="24"/>
  <c r="E22" i="24"/>
  <c r="D21" i="24"/>
  <c r="E21" i="24"/>
  <c r="D20" i="24"/>
  <c r="E20" i="24"/>
  <c r="D19" i="24"/>
  <c r="E19" i="24"/>
  <c r="D18" i="24"/>
  <c r="E18" i="24"/>
  <c r="D17" i="24"/>
  <c r="E17" i="24"/>
  <c r="D16" i="24"/>
  <c r="E16" i="24"/>
  <c r="D15" i="24"/>
  <c r="E15" i="24"/>
  <c r="D14" i="24"/>
  <c r="E14" i="24"/>
  <c r="D13" i="24"/>
  <c r="E13" i="24"/>
  <c r="D12" i="24"/>
  <c r="E12" i="24"/>
  <c r="D11" i="24"/>
  <c r="E11" i="24"/>
  <c r="F61" i="21"/>
  <c r="E61" i="21"/>
  <c r="F60" i="21"/>
  <c r="E60" i="21"/>
  <c r="F54" i="21"/>
  <c r="E54" i="21"/>
  <c r="F53" i="21"/>
  <c r="E53" i="21"/>
  <c r="F23" i="21"/>
  <c r="F22" i="21"/>
  <c r="E22" i="21"/>
  <c r="F32" i="21"/>
  <c r="E32" i="21"/>
  <c r="F31" i="21"/>
  <c r="E31" i="21"/>
  <c r="F40" i="21"/>
  <c r="F39" i="21"/>
  <c r="J113" i="24"/>
  <c r="K113" i="24"/>
  <c r="K115" i="24"/>
  <c r="J121" i="24"/>
  <c r="K121" i="24"/>
  <c r="K107" i="24"/>
  <c r="F109" i="24"/>
  <c r="F113" i="24"/>
  <c r="G116" i="24"/>
  <c r="F118" i="24"/>
  <c r="G118" i="24"/>
  <c r="F121" i="24"/>
  <c r="G121" i="24"/>
  <c r="F107" i="24"/>
  <c r="G112" i="24"/>
  <c r="G120" i="24"/>
  <c r="K111" i="24"/>
  <c r="D74" i="24"/>
  <c r="D90" i="24"/>
  <c r="E134" i="32"/>
  <c r="H10" i="32"/>
  <c r="I72" i="32"/>
  <c r="E23" i="21"/>
  <c r="E39" i="21"/>
  <c r="E40" i="21"/>
  <c r="H165" i="32"/>
  <c r="F53" i="24"/>
  <c r="G53" i="24"/>
  <c r="F62" i="24"/>
  <c r="G62" i="24"/>
  <c r="D10" i="24"/>
  <c r="F46" i="24"/>
  <c r="G46" i="24"/>
  <c r="F54" i="24"/>
  <c r="G54" i="24"/>
  <c r="G67" i="24"/>
  <c r="F67" i="24"/>
  <c r="D10" i="32"/>
  <c r="H134" i="32"/>
  <c r="G49" i="24"/>
  <c r="F49" i="24"/>
  <c r="F66" i="24"/>
  <c r="G66" i="24"/>
  <c r="D26" i="24"/>
  <c r="F71" i="24"/>
  <c r="G71" i="24"/>
  <c r="G119" i="24"/>
  <c r="G117" i="24"/>
  <c r="G111" i="24"/>
  <c r="G108" i="24"/>
  <c r="G47" i="24"/>
  <c r="F47" i="24"/>
  <c r="F51" i="24"/>
  <c r="G51" i="24"/>
  <c r="G55" i="24"/>
  <c r="F55" i="24"/>
  <c r="F60" i="24"/>
  <c r="G60" i="24"/>
  <c r="F64" i="24"/>
  <c r="G64" i="24"/>
  <c r="F68" i="24"/>
  <c r="G68" i="24"/>
  <c r="F72" i="24"/>
  <c r="G72" i="24"/>
  <c r="H74" i="24"/>
  <c r="H106" i="24"/>
  <c r="E11" i="32"/>
  <c r="E10" i="32"/>
  <c r="I134" i="32"/>
  <c r="G45" i="24"/>
  <c r="F45" i="24"/>
  <c r="G57" i="24"/>
  <c r="F57" i="24"/>
  <c r="F70" i="24"/>
  <c r="G70" i="24"/>
  <c r="D42" i="24"/>
  <c r="F50" i="24"/>
  <c r="G50" i="24"/>
  <c r="G63" i="24"/>
  <c r="F63" i="24"/>
  <c r="K119" i="24"/>
  <c r="G44" i="24"/>
  <c r="F44" i="24"/>
  <c r="G48" i="24"/>
  <c r="F48" i="24"/>
  <c r="G52" i="24"/>
  <c r="F52" i="24"/>
  <c r="G56" i="24"/>
  <c r="F56" i="24"/>
  <c r="G61" i="24"/>
  <c r="F61" i="24"/>
  <c r="F65" i="24"/>
  <c r="G65" i="24"/>
  <c r="G69" i="24"/>
  <c r="F69" i="24"/>
  <c r="G73" i="24"/>
  <c r="F73" i="24"/>
  <c r="D106" i="24"/>
  <c r="H41" i="32"/>
  <c r="H103" i="32"/>
  <c r="I11" i="32"/>
  <c r="I10" i="32"/>
  <c r="I43" i="32"/>
  <c r="I41" i="32"/>
  <c r="I104" i="32"/>
  <c r="I103" i="32"/>
  <c r="I166" i="32"/>
  <c r="I165" i="32"/>
  <c r="D103" i="32"/>
  <c r="D72" i="32"/>
  <c r="E103" i="32"/>
  <c r="D41" i="32"/>
  <c r="E72" i="32"/>
  <c r="D165" i="32"/>
  <c r="E166" i="32"/>
  <c r="E165" i="32"/>
  <c r="E41" i="32"/>
  <c r="D134" i="32"/>
  <c r="J118" i="24"/>
  <c r="K118" i="24"/>
  <c r="I74" i="24"/>
  <c r="J112" i="24"/>
  <c r="K112" i="24"/>
  <c r="J120" i="24"/>
  <c r="K120" i="24"/>
  <c r="I58" i="24"/>
  <c r="I90" i="24"/>
  <c r="J110" i="24"/>
  <c r="K110" i="24"/>
  <c r="J114" i="24"/>
  <c r="K114" i="24"/>
  <c r="J108" i="24"/>
  <c r="K108" i="24"/>
  <c r="H26" i="24"/>
  <c r="I27" i="24"/>
  <c r="I26" i="24"/>
  <c r="K117" i="24"/>
  <c r="K109" i="24"/>
  <c r="H10" i="24"/>
  <c r="H9" i="24"/>
  <c r="I11" i="24"/>
  <c r="I10" i="24"/>
  <c r="J116" i="24"/>
  <c r="K116" i="24"/>
  <c r="I106" i="24"/>
  <c r="E10" i="24"/>
  <c r="E26" i="24"/>
  <c r="E42" i="24"/>
  <c r="E58" i="24"/>
  <c r="E74" i="24"/>
  <c r="E90" i="24"/>
  <c r="D58" i="24"/>
  <c r="G110" i="24"/>
  <c r="E115" i="24"/>
  <c r="E114" i="24"/>
  <c r="D9" i="24"/>
  <c r="D8" i="24"/>
  <c r="E106" i="24"/>
  <c r="E9" i="24"/>
  <c r="I9" i="24"/>
  <c r="H9" i="32"/>
  <c r="H8" i="32"/>
  <c r="E9" i="32"/>
  <c r="E8" i="32"/>
  <c r="D9" i="32"/>
  <c r="D8" i="32"/>
  <c r="I9" i="32"/>
  <c r="I8" i="32"/>
  <c r="F114" i="24"/>
  <c r="G114" i="24"/>
  <c r="G115" i="24"/>
  <c r="F115" i="24"/>
  <c r="E8" i="24"/>
  <c r="J98" i="24"/>
  <c r="J100" i="24"/>
  <c r="J72" i="24"/>
  <c r="F25" i="24"/>
  <c r="G25" i="24"/>
  <c r="G83" i="32"/>
  <c r="F83" i="32"/>
  <c r="G84" i="32"/>
  <c r="F84" i="32"/>
  <c r="E25" i="21"/>
  <c r="F25" i="21"/>
  <c r="K100" i="24"/>
  <c r="K98" i="24"/>
  <c r="K72" i="24"/>
  <c r="E25" i="4"/>
  <c r="F25" i="4"/>
  <c r="F6" i="35"/>
  <c r="G6" i="35"/>
  <c r="F7" i="35"/>
  <c r="G7" i="35"/>
  <c r="F8" i="35"/>
  <c r="G8" i="35"/>
  <c r="G9" i="35"/>
  <c r="C12" i="35"/>
  <c r="F12" i="35"/>
  <c r="G12" i="35"/>
  <c r="C13" i="35"/>
  <c r="F13" i="35"/>
  <c r="G13" i="35"/>
  <c r="C15" i="35"/>
  <c r="C16" i="35"/>
  <c r="C17" i="35"/>
  <c r="C14" i="35"/>
  <c r="F14" i="35"/>
  <c r="G14" i="35"/>
  <c r="G19" i="35"/>
  <c r="G20" i="35"/>
  <c r="G21" i="35"/>
  <c r="G22" i="35"/>
  <c r="G23" i="35"/>
  <c r="G24" i="35"/>
  <c r="C20" i="23"/>
  <c r="C19" i="23"/>
  <c r="C15" i="23"/>
  <c r="AF37" i="12"/>
  <c r="AD37" i="12"/>
  <c r="C9" i="30"/>
  <c r="X103" i="12"/>
  <c r="Y103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M65" i="12"/>
  <c r="O65" i="12"/>
  <c r="N65" i="12"/>
  <c r="F19" i="30"/>
  <c r="F18" i="30"/>
  <c r="F17" i="30"/>
  <c r="F16" i="30"/>
  <c r="C27" i="31"/>
  <c r="F21" i="30"/>
  <c r="C20" i="4"/>
  <c r="C19" i="4"/>
  <c r="C18" i="4"/>
  <c r="C15" i="4"/>
  <c r="C14" i="4"/>
  <c r="E14" i="4"/>
  <c r="C11" i="4"/>
  <c r="C12" i="4"/>
  <c r="C14" i="37"/>
  <c r="F14" i="37"/>
  <c r="G14" i="37"/>
  <c r="C13" i="37"/>
  <c r="F13" i="37"/>
  <c r="G13" i="37"/>
  <c r="F12" i="37"/>
  <c r="G12" i="37"/>
  <c r="F9" i="37"/>
  <c r="G9" i="37"/>
  <c r="F8" i="37"/>
  <c r="G8" i="37"/>
  <c r="F7" i="37"/>
  <c r="F6" i="37"/>
  <c r="G6" i="37"/>
  <c r="E9" i="30"/>
  <c r="F9" i="30"/>
  <c r="E6" i="30"/>
  <c r="F6" i="30"/>
  <c r="F23" i="30"/>
  <c r="F25" i="30"/>
  <c r="F26" i="30"/>
  <c r="F27" i="30"/>
  <c r="F28" i="30"/>
  <c r="F29" i="30"/>
  <c r="F30" i="30"/>
  <c r="C7" i="30"/>
  <c r="E7" i="30"/>
  <c r="F7" i="30"/>
  <c r="F35" i="30"/>
  <c r="F36" i="30"/>
  <c r="F38" i="30"/>
  <c r="F40" i="30"/>
  <c r="F42" i="30"/>
  <c r="F43" i="30"/>
  <c r="F44" i="30"/>
  <c r="F45" i="30"/>
  <c r="F46" i="30"/>
  <c r="F47" i="30"/>
  <c r="C8" i="30"/>
  <c r="E8" i="30"/>
  <c r="F8" i="30"/>
  <c r="E10" i="30"/>
  <c r="F10" i="30"/>
  <c r="F11" i="30"/>
  <c r="E19" i="36"/>
  <c r="F19" i="36"/>
  <c r="E18" i="36"/>
  <c r="F18" i="36"/>
  <c r="E17" i="36"/>
  <c r="F17" i="36"/>
  <c r="E16" i="36"/>
  <c r="F16" i="36"/>
  <c r="E15" i="36"/>
  <c r="F15" i="36"/>
  <c r="E14" i="36"/>
  <c r="F14" i="36"/>
  <c r="E13" i="36"/>
  <c r="F13" i="36"/>
  <c r="E12" i="36"/>
  <c r="F12" i="36"/>
  <c r="E11" i="36"/>
  <c r="F11" i="36"/>
  <c r="E10" i="36"/>
  <c r="F10" i="36"/>
  <c r="E9" i="36"/>
  <c r="F9" i="36"/>
  <c r="E8" i="36"/>
  <c r="F8" i="36"/>
  <c r="E7" i="36"/>
  <c r="F7" i="36"/>
  <c r="E6" i="36"/>
  <c r="F6" i="36"/>
  <c r="E5" i="36"/>
  <c r="F5" i="36"/>
  <c r="E84" i="34"/>
  <c r="E83" i="34"/>
  <c r="E82" i="34"/>
  <c r="E81" i="34"/>
  <c r="E80" i="34"/>
  <c r="E79" i="34"/>
  <c r="E74" i="34"/>
  <c r="E73" i="34"/>
  <c r="E72" i="34"/>
  <c r="E71" i="34"/>
  <c r="E70" i="34"/>
  <c r="E69" i="34"/>
  <c r="E68" i="34"/>
  <c r="E64" i="34"/>
  <c r="E63" i="34"/>
  <c r="E62" i="34"/>
  <c r="E61" i="34"/>
  <c r="E60" i="34"/>
  <c r="E59" i="34"/>
  <c r="E58" i="34"/>
  <c r="E57" i="34"/>
  <c r="E56" i="34"/>
  <c r="E55" i="34"/>
  <c r="E54" i="34"/>
  <c r="E53" i="34"/>
  <c r="E52" i="34"/>
  <c r="E51" i="34"/>
  <c r="E50" i="34"/>
  <c r="E49" i="34"/>
  <c r="E48" i="34"/>
  <c r="E47" i="34"/>
  <c r="E46" i="34"/>
  <c r="E45" i="34"/>
  <c r="E44" i="34"/>
  <c r="E43" i="34"/>
  <c r="E42" i="34"/>
  <c r="E41" i="34"/>
  <c r="E40" i="34"/>
  <c r="E39" i="34"/>
  <c r="E38" i="34"/>
  <c r="E37" i="34"/>
  <c r="E36" i="34"/>
  <c r="E35" i="34"/>
  <c r="E34" i="34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D12" i="34"/>
  <c r="D11" i="34"/>
  <c r="D10" i="34"/>
  <c r="E10" i="34"/>
  <c r="D9" i="34"/>
  <c r="E9" i="34"/>
  <c r="D8" i="34"/>
  <c r="E8" i="34"/>
  <c r="F47" i="21"/>
  <c r="F46" i="21"/>
  <c r="F50" i="21"/>
  <c r="E50" i="21"/>
  <c r="F49" i="21"/>
  <c r="D24" i="21"/>
  <c r="E47" i="21"/>
  <c r="E46" i="21"/>
  <c r="E65" i="34"/>
  <c r="F20" i="36"/>
  <c r="D13" i="33"/>
  <c r="F13" i="33"/>
  <c r="F10" i="37"/>
  <c r="G10" i="37"/>
  <c r="G7" i="37"/>
  <c r="F15" i="37"/>
  <c r="F16" i="37"/>
  <c r="E20" i="36"/>
  <c r="F19" i="35"/>
  <c r="F9" i="35"/>
  <c r="E75" i="34"/>
  <c r="C6" i="34"/>
  <c r="D6" i="34"/>
  <c r="E6" i="34"/>
  <c r="C5" i="34"/>
  <c r="E85" i="34"/>
  <c r="C7" i="34"/>
  <c r="E12" i="34"/>
  <c r="E11" i="34"/>
  <c r="F24" i="21"/>
  <c r="C11" i="13"/>
  <c r="E49" i="21"/>
  <c r="E24" i="21"/>
  <c r="B11" i="13"/>
  <c r="D11" i="13"/>
  <c r="D12" i="33"/>
  <c r="F12" i="33"/>
  <c r="E13" i="33"/>
  <c r="B23" i="13"/>
  <c r="C23" i="13"/>
  <c r="G14" i="4"/>
  <c r="G16" i="37"/>
  <c r="G15" i="37"/>
  <c r="F20" i="35"/>
  <c r="F21" i="35"/>
  <c r="F22" i="35"/>
  <c r="E12" i="33"/>
  <c r="B22" i="13"/>
  <c r="C22" i="13"/>
  <c r="D23" i="13"/>
  <c r="F17" i="37"/>
  <c r="F23" i="35"/>
  <c r="F24" i="35"/>
  <c r="D22" i="13"/>
  <c r="F18" i="37"/>
  <c r="G17" i="37"/>
  <c r="G18" i="37"/>
  <c r="F19" i="37"/>
  <c r="F20" i="37"/>
  <c r="G19" i="37"/>
  <c r="G20" i="37"/>
  <c r="D15" i="33"/>
  <c r="F15" i="33"/>
  <c r="K72" i="32"/>
  <c r="J88" i="32"/>
  <c r="J89" i="32"/>
  <c r="J90" i="32"/>
  <c r="J91" i="32"/>
  <c r="J92" i="32"/>
  <c r="J83" i="32"/>
  <c r="J93" i="32"/>
  <c r="J94" i="32"/>
  <c r="J95" i="32"/>
  <c r="J96" i="32"/>
  <c r="J97" i="32"/>
  <c r="J98" i="32"/>
  <c r="J99" i="32"/>
  <c r="J100" i="32"/>
  <c r="J101" i="32"/>
  <c r="J102" i="32"/>
  <c r="E15" i="33"/>
  <c r="B25" i="13"/>
  <c r="C25" i="13"/>
  <c r="D25" i="13"/>
  <c r="J87" i="32"/>
  <c r="J86" i="32"/>
  <c r="J85" i="32"/>
  <c r="J84" i="32"/>
  <c r="J82" i="32"/>
  <c r="J81" i="32"/>
  <c r="J80" i="32"/>
  <c r="J78" i="32"/>
  <c r="J77" i="32"/>
  <c r="J76" i="32"/>
  <c r="J75" i="32"/>
  <c r="J74" i="32"/>
  <c r="H22" i="10"/>
  <c r="M22" i="10"/>
  <c r="N22" i="10"/>
  <c r="P22" i="10"/>
  <c r="U102" i="12"/>
  <c r="T102" i="12"/>
  <c r="S102" i="12"/>
  <c r="R102" i="12"/>
  <c r="Q102" i="12"/>
  <c r="K102" i="12"/>
  <c r="J102" i="12"/>
  <c r="H102" i="12"/>
  <c r="G102" i="12"/>
  <c r="W101" i="12"/>
  <c r="U101" i="12"/>
  <c r="T101" i="12"/>
  <c r="S101" i="12"/>
  <c r="R101" i="12"/>
  <c r="Q101" i="12"/>
  <c r="J101" i="12"/>
  <c r="L101" i="12"/>
  <c r="W100" i="12"/>
  <c r="U100" i="12"/>
  <c r="T100" i="12"/>
  <c r="S100" i="12"/>
  <c r="R100" i="12"/>
  <c r="Q100" i="12"/>
  <c r="J100" i="12"/>
  <c r="L100" i="12"/>
  <c r="G100" i="12"/>
  <c r="I100" i="12"/>
  <c r="U99" i="12"/>
  <c r="T99" i="12"/>
  <c r="S99" i="12"/>
  <c r="R99" i="12"/>
  <c r="Q99" i="12"/>
  <c r="K99" i="12"/>
  <c r="J99" i="12"/>
  <c r="H99" i="12"/>
  <c r="G99" i="12"/>
  <c r="U98" i="12"/>
  <c r="T98" i="12"/>
  <c r="S98" i="12"/>
  <c r="R98" i="12"/>
  <c r="Q98" i="12"/>
  <c r="K98" i="12"/>
  <c r="J98" i="12"/>
  <c r="H98" i="12"/>
  <c r="G98" i="12"/>
  <c r="U97" i="12"/>
  <c r="T97" i="12"/>
  <c r="S97" i="12"/>
  <c r="R97" i="12"/>
  <c r="Q97" i="12"/>
  <c r="K97" i="12"/>
  <c r="J97" i="12"/>
  <c r="H97" i="12"/>
  <c r="G97" i="12"/>
  <c r="U96" i="12"/>
  <c r="T96" i="12"/>
  <c r="S96" i="12"/>
  <c r="R96" i="12"/>
  <c r="Q96" i="12"/>
  <c r="K96" i="12"/>
  <c r="J96" i="12"/>
  <c r="H96" i="12"/>
  <c r="G96" i="12"/>
  <c r="U95" i="12"/>
  <c r="T95" i="12"/>
  <c r="S95" i="12"/>
  <c r="R95" i="12"/>
  <c r="Q95" i="12"/>
  <c r="K95" i="12"/>
  <c r="J95" i="12"/>
  <c r="H95" i="12"/>
  <c r="G95" i="12"/>
  <c r="Z94" i="12"/>
  <c r="T94" i="12"/>
  <c r="S94" i="12"/>
  <c r="Q94" i="12"/>
  <c r="P94" i="12"/>
  <c r="K94" i="12"/>
  <c r="J94" i="12"/>
  <c r="H94" i="12"/>
  <c r="G94" i="12"/>
  <c r="V92" i="12"/>
  <c r="U92" i="12"/>
  <c r="T92" i="12"/>
  <c r="S92" i="12"/>
  <c r="R92" i="12"/>
  <c r="Q92" i="12"/>
  <c r="J92" i="12"/>
  <c r="L92" i="12"/>
  <c r="G92" i="12"/>
  <c r="I92" i="12"/>
  <c r="W90" i="12"/>
  <c r="U90" i="12"/>
  <c r="T90" i="12"/>
  <c r="S90" i="12"/>
  <c r="R90" i="12"/>
  <c r="Q90" i="12"/>
  <c r="P90" i="12"/>
  <c r="J90" i="12"/>
  <c r="L90" i="12"/>
  <c r="G90" i="12"/>
  <c r="I90" i="12"/>
  <c r="U89" i="12"/>
  <c r="T89" i="12"/>
  <c r="S89" i="12"/>
  <c r="R89" i="12"/>
  <c r="Q89" i="12"/>
  <c r="P89" i="12"/>
  <c r="K89" i="12"/>
  <c r="J89" i="12"/>
  <c r="H89" i="12"/>
  <c r="G89" i="12"/>
  <c r="U88" i="12"/>
  <c r="T88" i="12"/>
  <c r="S88" i="12"/>
  <c r="R88" i="12"/>
  <c r="Q88" i="12"/>
  <c r="K88" i="12"/>
  <c r="J88" i="12"/>
  <c r="H88" i="12"/>
  <c r="G88" i="12"/>
  <c r="U87" i="12"/>
  <c r="T87" i="12"/>
  <c r="S87" i="12"/>
  <c r="R87" i="12"/>
  <c r="Q87" i="12"/>
  <c r="P87" i="12"/>
  <c r="K87" i="12"/>
  <c r="J87" i="12"/>
  <c r="H87" i="12"/>
  <c r="G87" i="12"/>
  <c r="Z86" i="12"/>
  <c r="U86" i="12"/>
  <c r="T86" i="12"/>
  <c r="S86" i="12"/>
  <c r="Q86" i="12"/>
  <c r="P86" i="12"/>
  <c r="K86" i="12"/>
  <c r="J86" i="12"/>
  <c r="H86" i="12"/>
  <c r="G86" i="12"/>
  <c r="W85" i="12"/>
  <c r="U85" i="12"/>
  <c r="T85" i="12"/>
  <c r="S85" i="12"/>
  <c r="R85" i="12"/>
  <c r="Q85" i="12"/>
  <c r="P85" i="12"/>
  <c r="J85" i="12"/>
  <c r="L85" i="12"/>
  <c r="G85" i="12"/>
  <c r="I85" i="12"/>
  <c r="U84" i="12"/>
  <c r="T84" i="12"/>
  <c r="S84" i="12"/>
  <c r="R84" i="12"/>
  <c r="Q84" i="12"/>
  <c r="P84" i="12"/>
  <c r="L84" i="12"/>
  <c r="I84" i="12"/>
  <c r="U83" i="12"/>
  <c r="T83" i="12"/>
  <c r="S83" i="12"/>
  <c r="R83" i="12"/>
  <c r="Q83" i="12"/>
  <c r="P83" i="12"/>
  <c r="K83" i="12"/>
  <c r="J83" i="12"/>
  <c r="H83" i="12"/>
  <c r="G83" i="12"/>
  <c r="W82" i="12"/>
  <c r="U82" i="12"/>
  <c r="T82" i="12"/>
  <c r="S82" i="12"/>
  <c r="R82" i="12"/>
  <c r="Q82" i="12"/>
  <c r="K82" i="12"/>
  <c r="J82" i="12"/>
  <c r="H82" i="12"/>
  <c r="G82" i="12"/>
  <c r="U81" i="12"/>
  <c r="T81" i="12"/>
  <c r="S81" i="12"/>
  <c r="R81" i="12"/>
  <c r="Q81" i="12"/>
  <c r="K81" i="12"/>
  <c r="J81" i="12"/>
  <c r="H81" i="12"/>
  <c r="G81" i="12"/>
  <c r="U80" i="12"/>
  <c r="T80" i="12"/>
  <c r="S80" i="12"/>
  <c r="R80" i="12"/>
  <c r="Q80" i="12"/>
  <c r="K80" i="12"/>
  <c r="J80" i="12"/>
  <c r="H80" i="12"/>
  <c r="G80" i="12"/>
  <c r="U79" i="12"/>
  <c r="T79" i="12"/>
  <c r="S79" i="12"/>
  <c r="R79" i="12"/>
  <c r="Q79" i="12"/>
  <c r="K79" i="12"/>
  <c r="J79" i="12"/>
  <c r="H79" i="12"/>
  <c r="G79" i="12"/>
  <c r="U78" i="12"/>
  <c r="T78" i="12"/>
  <c r="S78" i="12"/>
  <c r="R78" i="12"/>
  <c r="Q78" i="12"/>
  <c r="K78" i="12"/>
  <c r="J78" i="12"/>
  <c r="H78" i="12"/>
  <c r="G78" i="12"/>
  <c r="W77" i="12"/>
  <c r="U77" i="12"/>
  <c r="T77" i="12"/>
  <c r="S77" i="12"/>
  <c r="R77" i="12"/>
  <c r="Q77" i="12"/>
  <c r="J77" i="12"/>
  <c r="L77" i="12"/>
  <c r="G77" i="12"/>
  <c r="I77" i="12"/>
  <c r="W76" i="12"/>
  <c r="U76" i="12"/>
  <c r="T76" i="12"/>
  <c r="S76" i="12"/>
  <c r="R76" i="12"/>
  <c r="Q76" i="12"/>
  <c r="J76" i="12"/>
  <c r="L76" i="12"/>
  <c r="G76" i="12"/>
  <c r="I76" i="12"/>
  <c r="Z75" i="12"/>
  <c r="V75" i="12"/>
  <c r="U75" i="12"/>
  <c r="T75" i="12"/>
  <c r="S75" i="12"/>
  <c r="Q75" i="12"/>
  <c r="P75" i="12"/>
  <c r="K75" i="12"/>
  <c r="J75" i="12"/>
  <c r="H75" i="12"/>
  <c r="G75" i="12"/>
  <c r="U74" i="12"/>
  <c r="T74" i="12"/>
  <c r="S74" i="12"/>
  <c r="R74" i="12"/>
  <c r="Q74" i="12"/>
  <c r="L74" i="12"/>
  <c r="I74" i="12"/>
  <c r="U73" i="12"/>
  <c r="T73" i="12"/>
  <c r="S73" i="12"/>
  <c r="R73" i="12"/>
  <c r="Q73" i="12"/>
  <c r="K73" i="12"/>
  <c r="J73" i="12"/>
  <c r="H73" i="12"/>
  <c r="G73" i="12"/>
  <c r="I73" i="12"/>
  <c r="U72" i="12"/>
  <c r="T72" i="12"/>
  <c r="S72" i="12"/>
  <c r="R72" i="12"/>
  <c r="Q72" i="12"/>
  <c r="K72" i="12"/>
  <c r="J72" i="12"/>
  <c r="H72" i="12"/>
  <c r="G72" i="12"/>
  <c r="Z71" i="12"/>
  <c r="V71" i="12"/>
  <c r="T71" i="12"/>
  <c r="S71" i="12"/>
  <c r="R71" i="12"/>
  <c r="Q71" i="12"/>
  <c r="P71" i="12"/>
  <c r="K71" i="12"/>
  <c r="J71" i="12"/>
  <c r="H71" i="12"/>
  <c r="G71" i="12"/>
  <c r="V70" i="12"/>
  <c r="T70" i="12"/>
  <c r="S70" i="12"/>
  <c r="R70" i="12"/>
  <c r="Q70" i="12"/>
  <c r="P70" i="12"/>
  <c r="K70" i="12"/>
  <c r="J70" i="12"/>
  <c r="H70" i="12"/>
  <c r="G70" i="12"/>
  <c r="U69" i="12"/>
  <c r="T69" i="12"/>
  <c r="S69" i="12"/>
  <c r="R69" i="12"/>
  <c r="Q69" i="12"/>
  <c r="K69" i="12"/>
  <c r="J69" i="12"/>
  <c r="H69" i="12"/>
  <c r="G69" i="12"/>
  <c r="Z68" i="12"/>
  <c r="U68" i="12"/>
  <c r="T68" i="12"/>
  <c r="S68" i="12"/>
  <c r="R68" i="12"/>
  <c r="Q68" i="12"/>
  <c r="P68" i="12"/>
  <c r="K68" i="12"/>
  <c r="J68" i="12"/>
  <c r="H68" i="12"/>
  <c r="G68" i="12"/>
  <c r="U67" i="12"/>
  <c r="T67" i="12"/>
  <c r="S67" i="12"/>
  <c r="R67" i="12"/>
  <c r="Q67" i="12"/>
  <c r="K67" i="12"/>
  <c r="J67" i="12"/>
  <c r="H67" i="12"/>
  <c r="G67" i="12"/>
  <c r="Z66" i="12"/>
  <c r="T66" i="12"/>
  <c r="S66" i="12"/>
  <c r="Q66" i="12"/>
  <c r="P66" i="12"/>
  <c r="K66" i="12"/>
  <c r="J66" i="12"/>
  <c r="H66" i="12"/>
  <c r="G66" i="12"/>
  <c r="G21" i="32"/>
  <c r="U64" i="12"/>
  <c r="T64" i="12"/>
  <c r="S64" i="12"/>
  <c r="R64" i="12"/>
  <c r="Q64" i="12"/>
  <c r="K64" i="12"/>
  <c r="J64" i="12"/>
  <c r="H64" i="12"/>
  <c r="G64" i="12"/>
  <c r="U63" i="12"/>
  <c r="T63" i="12"/>
  <c r="S63" i="12"/>
  <c r="R63" i="12"/>
  <c r="Q63" i="12"/>
  <c r="K63" i="12"/>
  <c r="J63" i="12"/>
  <c r="H63" i="12"/>
  <c r="G63" i="12"/>
  <c r="U62" i="12"/>
  <c r="T62" i="12"/>
  <c r="S62" i="12"/>
  <c r="R62" i="12"/>
  <c r="Q62" i="12"/>
  <c r="K62" i="12"/>
  <c r="J62" i="12"/>
  <c r="H62" i="12"/>
  <c r="G62" i="12"/>
  <c r="U61" i="12"/>
  <c r="T61" i="12"/>
  <c r="S61" i="12"/>
  <c r="R61" i="12"/>
  <c r="Q61" i="12"/>
  <c r="K61" i="12"/>
  <c r="J61" i="12"/>
  <c r="H61" i="12"/>
  <c r="G61" i="12"/>
  <c r="U60" i="12"/>
  <c r="T60" i="12"/>
  <c r="S60" i="12"/>
  <c r="R60" i="12"/>
  <c r="Q60" i="12"/>
  <c r="K60" i="12"/>
  <c r="J60" i="12"/>
  <c r="H60" i="12"/>
  <c r="G60" i="12"/>
  <c r="U59" i="12"/>
  <c r="T59" i="12"/>
  <c r="S59" i="12"/>
  <c r="R59" i="12"/>
  <c r="Q59" i="12"/>
  <c r="K59" i="12"/>
  <c r="J59" i="12"/>
  <c r="H59" i="12"/>
  <c r="G59" i="12"/>
  <c r="U58" i="12"/>
  <c r="T58" i="12"/>
  <c r="S58" i="12"/>
  <c r="R58" i="12"/>
  <c r="Q58" i="12"/>
  <c r="K58" i="12"/>
  <c r="J58" i="12"/>
  <c r="H58" i="12"/>
  <c r="G58" i="12"/>
  <c r="U57" i="12"/>
  <c r="T57" i="12"/>
  <c r="S57" i="12"/>
  <c r="R57" i="12"/>
  <c r="Q57" i="12"/>
  <c r="K57" i="12"/>
  <c r="J57" i="12"/>
  <c r="H57" i="12"/>
  <c r="G57" i="12"/>
  <c r="V56" i="12"/>
  <c r="U56" i="12"/>
  <c r="T56" i="12"/>
  <c r="S56" i="12"/>
  <c r="Q56" i="12"/>
  <c r="P56" i="12"/>
  <c r="K56" i="12"/>
  <c r="J56" i="12"/>
  <c r="H56" i="12"/>
  <c r="G56" i="12"/>
  <c r="U55" i="12"/>
  <c r="T55" i="12"/>
  <c r="S55" i="12"/>
  <c r="R55" i="12"/>
  <c r="Q55" i="12"/>
  <c r="P55" i="12"/>
  <c r="K55" i="12"/>
  <c r="J55" i="12"/>
  <c r="H55" i="12"/>
  <c r="G55" i="12"/>
  <c r="V54" i="12"/>
  <c r="U54" i="12"/>
  <c r="T54" i="12"/>
  <c r="S54" i="12"/>
  <c r="Q54" i="12"/>
  <c r="P54" i="12"/>
  <c r="K54" i="12"/>
  <c r="J54" i="12"/>
  <c r="H54" i="12"/>
  <c r="G54" i="12"/>
  <c r="W53" i="12"/>
  <c r="U53" i="12"/>
  <c r="T53" i="12"/>
  <c r="S53" i="12"/>
  <c r="R53" i="12"/>
  <c r="Q53" i="12"/>
  <c r="P53" i="12"/>
  <c r="K53" i="12"/>
  <c r="J53" i="12"/>
  <c r="H53" i="12"/>
  <c r="G53" i="12"/>
  <c r="W52" i="12"/>
  <c r="U52" i="12"/>
  <c r="T52" i="12"/>
  <c r="S52" i="12"/>
  <c r="R52" i="12"/>
  <c r="Q52" i="12"/>
  <c r="P52" i="12"/>
  <c r="K52" i="12"/>
  <c r="J52" i="12"/>
  <c r="H52" i="12"/>
  <c r="G52" i="12"/>
  <c r="Z51" i="12"/>
  <c r="V51" i="12"/>
  <c r="U51" i="12"/>
  <c r="T51" i="12"/>
  <c r="S51" i="12"/>
  <c r="Q51" i="12"/>
  <c r="P51" i="12"/>
  <c r="K51" i="12"/>
  <c r="J51" i="12"/>
  <c r="H51" i="12"/>
  <c r="G51" i="12"/>
  <c r="Z50" i="12"/>
  <c r="V50" i="12"/>
  <c r="U50" i="12"/>
  <c r="T50" i="12"/>
  <c r="S50" i="12"/>
  <c r="Q50" i="12"/>
  <c r="P50" i="12"/>
  <c r="K50" i="12"/>
  <c r="J50" i="12"/>
  <c r="H50" i="12"/>
  <c r="G50" i="12"/>
  <c r="I50" i="12"/>
  <c r="W49" i="12"/>
  <c r="U49" i="12"/>
  <c r="T49" i="12"/>
  <c r="S49" i="12"/>
  <c r="R49" i="12"/>
  <c r="Q49" i="12"/>
  <c r="J49" i="12"/>
  <c r="L49" i="12"/>
  <c r="G49" i="12"/>
  <c r="I49" i="12"/>
  <c r="W48" i="12"/>
  <c r="U48" i="12"/>
  <c r="T48" i="12"/>
  <c r="S48" i="12"/>
  <c r="R48" i="12"/>
  <c r="Q48" i="12"/>
  <c r="J48" i="12"/>
  <c r="L48" i="12"/>
  <c r="G48" i="12"/>
  <c r="I48" i="12"/>
  <c r="W47" i="12"/>
  <c r="U47" i="12"/>
  <c r="T47" i="12"/>
  <c r="S47" i="12"/>
  <c r="R47" i="12"/>
  <c r="Q47" i="12"/>
  <c r="J47" i="12"/>
  <c r="L47" i="12"/>
  <c r="G47" i="12"/>
  <c r="I47" i="12"/>
  <c r="Z46" i="12"/>
  <c r="V46" i="12"/>
  <c r="T46" i="12"/>
  <c r="S46" i="12"/>
  <c r="Q46" i="12"/>
  <c r="P46" i="12"/>
  <c r="K46" i="12"/>
  <c r="J46" i="12"/>
  <c r="H46" i="12"/>
  <c r="G46" i="12"/>
  <c r="W45" i="12"/>
  <c r="U45" i="12"/>
  <c r="T45" i="12"/>
  <c r="S45" i="12"/>
  <c r="R45" i="12"/>
  <c r="Q45" i="12"/>
  <c r="P45" i="12"/>
  <c r="K45" i="12"/>
  <c r="J45" i="12"/>
  <c r="H45" i="12"/>
  <c r="G45" i="12"/>
  <c r="U44" i="12"/>
  <c r="T44" i="12"/>
  <c r="S44" i="12"/>
  <c r="Q44" i="12"/>
  <c r="K44" i="12"/>
  <c r="J44" i="12"/>
  <c r="H44" i="12"/>
  <c r="G44" i="12"/>
  <c r="W43" i="12"/>
  <c r="U43" i="12"/>
  <c r="T43" i="12"/>
  <c r="S43" i="12"/>
  <c r="R43" i="12"/>
  <c r="Q43" i="12"/>
  <c r="J43" i="12"/>
  <c r="L43" i="12"/>
  <c r="G43" i="12"/>
  <c r="I43" i="12"/>
  <c r="W42" i="12"/>
  <c r="U42" i="12"/>
  <c r="T42" i="12"/>
  <c r="S42" i="12"/>
  <c r="R42" i="12"/>
  <c r="Q42" i="12"/>
  <c r="J42" i="12"/>
  <c r="L42" i="12"/>
  <c r="G42" i="12"/>
  <c r="I42" i="12"/>
  <c r="W41" i="12"/>
  <c r="U41" i="12"/>
  <c r="T41" i="12"/>
  <c r="S41" i="12"/>
  <c r="R41" i="12"/>
  <c r="Q41" i="12"/>
  <c r="J41" i="12"/>
  <c r="L41" i="12"/>
  <c r="G41" i="12"/>
  <c r="I41" i="12"/>
  <c r="W40" i="12"/>
  <c r="U40" i="12"/>
  <c r="T40" i="12"/>
  <c r="S40" i="12"/>
  <c r="R40" i="12"/>
  <c r="Q40" i="12"/>
  <c r="J40" i="12"/>
  <c r="L40" i="12"/>
  <c r="G40" i="12"/>
  <c r="I40" i="12"/>
  <c r="W39" i="12"/>
  <c r="U39" i="12"/>
  <c r="T39" i="12"/>
  <c r="S39" i="12"/>
  <c r="R39" i="12"/>
  <c r="Q39" i="12"/>
  <c r="K39" i="12"/>
  <c r="J39" i="12"/>
  <c r="H39" i="12"/>
  <c r="G39" i="12"/>
  <c r="U38" i="12"/>
  <c r="T38" i="12"/>
  <c r="S38" i="12"/>
  <c r="R38" i="12"/>
  <c r="Q38" i="12"/>
  <c r="K38" i="12"/>
  <c r="J38" i="12"/>
  <c r="H38" i="12"/>
  <c r="G38" i="12"/>
  <c r="U36" i="12"/>
  <c r="T36" i="12"/>
  <c r="S36" i="12"/>
  <c r="R36" i="12"/>
  <c r="Q36" i="12"/>
  <c r="K36" i="12"/>
  <c r="J36" i="12"/>
  <c r="H36" i="12"/>
  <c r="G36" i="12"/>
  <c r="W35" i="12"/>
  <c r="U35" i="12"/>
  <c r="T35" i="12"/>
  <c r="S35" i="12"/>
  <c r="R35" i="12"/>
  <c r="Q35" i="12"/>
  <c r="J35" i="12"/>
  <c r="L35" i="12"/>
  <c r="G35" i="12"/>
  <c r="I35" i="12"/>
  <c r="U34" i="12"/>
  <c r="T34" i="12"/>
  <c r="S34" i="12"/>
  <c r="R34" i="12"/>
  <c r="Q34" i="12"/>
  <c r="K34" i="12"/>
  <c r="J34" i="12"/>
  <c r="H34" i="12"/>
  <c r="G34" i="12"/>
  <c r="U33" i="12"/>
  <c r="T33" i="12"/>
  <c r="S33" i="12"/>
  <c r="R33" i="12"/>
  <c r="Q33" i="12"/>
  <c r="K33" i="12"/>
  <c r="J33" i="12"/>
  <c r="H33" i="12"/>
  <c r="G33" i="12"/>
  <c r="W32" i="12"/>
  <c r="U32" i="12"/>
  <c r="T32" i="12"/>
  <c r="S32" i="12"/>
  <c r="R32" i="12"/>
  <c r="Q32" i="12"/>
  <c r="J32" i="12"/>
  <c r="L32" i="12"/>
  <c r="G32" i="12"/>
  <c r="I32" i="12"/>
  <c r="U31" i="12"/>
  <c r="T31" i="12"/>
  <c r="S31" i="12"/>
  <c r="R31" i="12"/>
  <c r="Q31" i="12"/>
  <c r="K31" i="12"/>
  <c r="J31" i="12"/>
  <c r="H31" i="12"/>
  <c r="G31" i="12"/>
  <c r="W30" i="12"/>
  <c r="U30" i="12"/>
  <c r="T30" i="12"/>
  <c r="S30" i="12"/>
  <c r="R30" i="12"/>
  <c r="Q30" i="12"/>
  <c r="J30" i="12"/>
  <c r="L30" i="12"/>
  <c r="G30" i="12"/>
  <c r="I30" i="12"/>
  <c r="Z29" i="12"/>
  <c r="U29" i="12"/>
  <c r="T29" i="12"/>
  <c r="S29" i="12"/>
  <c r="Q29" i="12"/>
  <c r="P29" i="12"/>
  <c r="K29" i="12"/>
  <c r="J29" i="12"/>
  <c r="H29" i="12"/>
  <c r="G29" i="12"/>
  <c r="U28" i="12"/>
  <c r="T28" i="12"/>
  <c r="S28" i="12"/>
  <c r="R28" i="12"/>
  <c r="Q28" i="12"/>
  <c r="P28" i="12"/>
  <c r="K28" i="12"/>
  <c r="J28" i="12"/>
  <c r="L28" i="12"/>
  <c r="H28" i="12"/>
  <c r="G28" i="12"/>
  <c r="Z27" i="12"/>
  <c r="U27" i="12"/>
  <c r="T27" i="12"/>
  <c r="S27" i="12"/>
  <c r="R27" i="12"/>
  <c r="Q27" i="12"/>
  <c r="P27" i="12"/>
  <c r="K27" i="12"/>
  <c r="J27" i="12"/>
  <c r="H27" i="12"/>
  <c r="G27" i="12"/>
  <c r="Z26" i="12"/>
  <c r="U26" i="12"/>
  <c r="T26" i="12"/>
  <c r="S26" i="12"/>
  <c r="R26" i="12"/>
  <c r="Q26" i="12"/>
  <c r="P26" i="12"/>
  <c r="K26" i="12"/>
  <c r="J26" i="12"/>
  <c r="H26" i="12"/>
  <c r="G26" i="12"/>
  <c r="U25" i="12"/>
  <c r="T25" i="12"/>
  <c r="S25" i="12"/>
  <c r="R25" i="12"/>
  <c r="Q25" i="12"/>
  <c r="K25" i="12"/>
  <c r="J25" i="12"/>
  <c r="H25" i="12"/>
  <c r="G25" i="12"/>
  <c r="U24" i="12"/>
  <c r="T24" i="12"/>
  <c r="S24" i="12"/>
  <c r="R24" i="12"/>
  <c r="Q24" i="12"/>
  <c r="K24" i="12"/>
  <c r="J24" i="12"/>
  <c r="L24" i="12"/>
  <c r="H24" i="12"/>
  <c r="G24" i="12"/>
  <c r="U23" i="12"/>
  <c r="T23" i="12"/>
  <c r="S23" i="12"/>
  <c r="R23" i="12"/>
  <c r="Q23" i="12"/>
  <c r="K23" i="12"/>
  <c r="J23" i="12"/>
  <c r="H23" i="12"/>
  <c r="G23" i="12"/>
  <c r="U22" i="12"/>
  <c r="T22" i="12"/>
  <c r="S22" i="12"/>
  <c r="R22" i="12"/>
  <c r="Q22" i="12"/>
  <c r="K22" i="12"/>
  <c r="J22" i="12"/>
  <c r="L22" i="12"/>
  <c r="H22" i="12"/>
  <c r="G22" i="12"/>
  <c r="I22" i="12"/>
  <c r="G14" i="32"/>
  <c r="U21" i="12"/>
  <c r="T21" i="12"/>
  <c r="S21" i="12"/>
  <c r="R21" i="12"/>
  <c r="Q21" i="12"/>
  <c r="K21" i="12"/>
  <c r="J21" i="12"/>
  <c r="H21" i="12"/>
  <c r="G21" i="12"/>
  <c r="U20" i="12"/>
  <c r="T20" i="12"/>
  <c r="S20" i="12"/>
  <c r="R20" i="12"/>
  <c r="Q20" i="12"/>
  <c r="K20" i="12"/>
  <c r="J20" i="12"/>
  <c r="L20" i="12"/>
  <c r="H20" i="12"/>
  <c r="G20" i="12"/>
  <c r="I20" i="12"/>
  <c r="U19" i="12"/>
  <c r="T19" i="12"/>
  <c r="S19" i="12"/>
  <c r="R19" i="12"/>
  <c r="Q19" i="12"/>
  <c r="K19" i="12"/>
  <c r="J19" i="12"/>
  <c r="H19" i="12"/>
  <c r="G19" i="12"/>
  <c r="W18" i="12"/>
  <c r="U18" i="12"/>
  <c r="T18" i="12"/>
  <c r="S18" i="12"/>
  <c r="R18" i="12"/>
  <c r="Q18" i="12"/>
  <c r="J18" i="12"/>
  <c r="L18" i="12"/>
  <c r="G18" i="12"/>
  <c r="I18" i="12"/>
  <c r="W17" i="12"/>
  <c r="U17" i="12"/>
  <c r="T17" i="12"/>
  <c r="S17" i="12"/>
  <c r="R17" i="12"/>
  <c r="Q17" i="12"/>
  <c r="J17" i="12"/>
  <c r="L17" i="12"/>
  <c r="G17" i="12"/>
  <c r="I17" i="12"/>
  <c r="Z16" i="12"/>
  <c r="U16" i="12"/>
  <c r="T16" i="12"/>
  <c r="S16" i="12"/>
  <c r="Q16" i="12"/>
  <c r="P16" i="12"/>
  <c r="K16" i="12"/>
  <c r="J16" i="12"/>
  <c r="H16" i="12"/>
  <c r="G16" i="12"/>
  <c r="U15" i="12"/>
  <c r="T15" i="12"/>
  <c r="S15" i="12"/>
  <c r="Q15" i="12"/>
  <c r="P15" i="12"/>
  <c r="L15" i="12"/>
  <c r="I15" i="12"/>
  <c r="U14" i="12"/>
  <c r="T14" i="12"/>
  <c r="S14" i="12"/>
  <c r="Q14" i="12"/>
  <c r="P14" i="12"/>
  <c r="L14" i="12"/>
  <c r="I14" i="12"/>
  <c r="U13" i="12"/>
  <c r="T13" i="12"/>
  <c r="S13" i="12"/>
  <c r="Q13" i="12"/>
  <c r="P13" i="12"/>
  <c r="L13" i="12"/>
  <c r="I13" i="12"/>
  <c r="U12" i="12"/>
  <c r="T12" i="12"/>
  <c r="S12" i="12"/>
  <c r="R12" i="12"/>
  <c r="Q12" i="12"/>
  <c r="P12" i="12"/>
  <c r="L12" i="12"/>
  <c r="I12" i="12"/>
  <c r="Z11" i="12"/>
  <c r="U11" i="12"/>
  <c r="T11" i="12"/>
  <c r="S11" i="12"/>
  <c r="Q11" i="12"/>
  <c r="P11" i="12"/>
  <c r="K11" i="12"/>
  <c r="J11" i="12"/>
  <c r="L11" i="12"/>
  <c r="H11" i="12"/>
  <c r="G11" i="12"/>
  <c r="V10" i="12"/>
  <c r="U10" i="12"/>
  <c r="T10" i="12"/>
  <c r="S10" i="12"/>
  <c r="Q10" i="12"/>
  <c r="P10" i="12"/>
  <c r="L10" i="12"/>
  <c r="I10" i="12"/>
  <c r="T9" i="12"/>
  <c r="S9" i="12"/>
  <c r="X9" i="12"/>
  <c r="Q9" i="12"/>
  <c r="P9" i="12"/>
  <c r="L9" i="12"/>
  <c r="I9" i="12"/>
  <c r="U8" i="12"/>
  <c r="T8" i="12"/>
  <c r="S8" i="12"/>
  <c r="R8" i="12"/>
  <c r="Q8" i="12"/>
  <c r="P8" i="12"/>
  <c r="L8" i="12"/>
  <c r="I8" i="12"/>
  <c r="U7" i="12"/>
  <c r="T7" i="12"/>
  <c r="S7" i="12"/>
  <c r="R7" i="12"/>
  <c r="Q7" i="12"/>
  <c r="K7" i="12"/>
  <c r="J7" i="12"/>
  <c r="H7" i="12"/>
  <c r="G7" i="12"/>
  <c r="W6" i="12"/>
  <c r="U6" i="12"/>
  <c r="T6" i="12"/>
  <c r="S6" i="12"/>
  <c r="R6" i="12"/>
  <c r="Q6" i="12"/>
  <c r="J6" i="12"/>
  <c r="L6" i="12"/>
  <c r="G6" i="12"/>
  <c r="I6" i="12"/>
  <c r="W5" i="12"/>
  <c r="U5" i="12"/>
  <c r="T5" i="12"/>
  <c r="S5" i="12"/>
  <c r="R5" i="12"/>
  <c r="Q5" i="12"/>
  <c r="J5" i="12"/>
  <c r="L5" i="12"/>
  <c r="G5" i="12"/>
  <c r="I5" i="12"/>
  <c r="W4" i="12"/>
  <c r="U4" i="12"/>
  <c r="T4" i="12"/>
  <c r="S4" i="12"/>
  <c r="R4" i="12"/>
  <c r="Q4" i="12"/>
  <c r="J4" i="12"/>
  <c r="L4" i="12"/>
  <c r="G4" i="12"/>
  <c r="I4" i="12"/>
  <c r="J25" i="24"/>
  <c r="K25" i="24"/>
  <c r="G73" i="32"/>
  <c r="F73" i="32"/>
  <c r="G90" i="32"/>
  <c r="F90" i="32"/>
  <c r="K84" i="24"/>
  <c r="J84" i="24"/>
  <c r="F94" i="32"/>
  <c r="G94" i="32"/>
  <c r="J91" i="24"/>
  <c r="K91" i="24"/>
  <c r="G99" i="32"/>
  <c r="F99" i="32"/>
  <c r="K15" i="24"/>
  <c r="J15" i="24"/>
  <c r="J16" i="24"/>
  <c r="K16" i="24"/>
  <c r="K19" i="24"/>
  <c r="J19" i="24"/>
  <c r="J20" i="24"/>
  <c r="K20" i="24"/>
  <c r="F78" i="32"/>
  <c r="G78" i="32"/>
  <c r="J37" i="24"/>
  <c r="K37" i="24"/>
  <c r="G79" i="32"/>
  <c r="F79" i="32"/>
  <c r="F87" i="32"/>
  <c r="G87" i="32"/>
  <c r="F91" i="32"/>
  <c r="G91" i="32"/>
  <c r="G95" i="32"/>
  <c r="F95" i="32"/>
  <c r="K99" i="24"/>
  <c r="J99" i="24"/>
  <c r="F100" i="32"/>
  <c r="G100" i="32"/>
  <c r="K13" i="24"/>
  <c r="J13" i="24"/>
  <c r="M14" i="12"/>
  <c r="J24" i="24"/>
  <c r="K24" i="24"/>
  <c r="K14" i="32"/>
  <c r="J14" i="32"/>
  <c r="F82" i="32"/>
  <c r="G82" i="32"/>
  <c r="G86" i="32"/>
  <c r="F86" i="32"/>
  <c r="K83" i="24"/>
  <c r="J83" i="24"/>
  <c r="J92" i="24"/>
  <c r="K92" i="24"/>
  <c r="K97" i="24"/>
  <c r="J97" i="24"/>
  <c r="K12" i="32"/>
  <c r="J12" i="32"/>
  <c r="G75" i="32"/>
  <c r="F75" i="32"/>
  <c r="K16" i="32"/>
  <c r="J16" i="32"/>
  <c r="J35" i="24"/>
  <c r="K35" i="24"/>
  <c r="J39" i="24"/>
  <c r="K39" i="24"/>
  <c r="F80" i="32"/>
  <c r="G80" i="32"/>
  <c r="G88" i="32"/>
  <c r="F88" i="32"/>
  <c r="G92" i="32"/>
  <c r="F92" i="32"/>
  <c r="G93" i="32"/>
  <c r="F93" i="32"/>
  <c r="K81" i="24"/>
  <c r="J81" i="24"/>
  <c r="F96" i="32"/>
  <c r="G96" i="32"/>
  <c r="G97" i="32"/>
  <c r="F97" i="32"/>
  <c r="G101" i="32"/>
  <c r="F101" i="32"/>
  <c r="F102" i="32"/>
  <c r="G102" i="32"/>
  <c r="J12" i="24"/>
  <c r="K12" i="24"/>
  <c r="J18" i="24"/>
  <c r="K18" i="24"/>
  <c r="G77" i="32"/>
  <c r="F77" i="32"/>
  <c r="J17" i="24"/>
  <c r="K17" i="24"/>
  <c r="J22" i="24"/>
  <c r="K22" i="24"/>
  <c r="F76" i="32"/>
  <c r="G76" i="32"/>
  <c r="G81" i="32"/>
  <c r="F81" i="32"/>
  <c r="F85" i="32"/>
  <c r="G85" i="32"/>
  <c r="F89" i="32"/>
  <c r="G89" i="32"/>
  <c r="F98" i="32"/>
  <c r="G98" i="32"/>
  <c r="F14" i="32"/>
  <c r="F21" i="32"/>
  <c r="L97" i="12"/>
  <c r="I24" i="12"/>
  <c r="G16" i="32"/>
  <c r="L26" i="12"/>
  <c r="L29" i="12"/>
  <c r="L94" i="12"/>
  <c r="L36" i="12"/>
  <c r="L44" i="12"/>
  <c r="K22" i="32"/>
  <c r="I83" i="12"/>
  <c r="I89" i="12"/>
  <c r="M93" i="12"/>
  <c r="O93" i="12"/>
  <c r="L7" i="12"/>
  <c r="I16" i="12"/>
  <c r="I27" i="12"/>
  <c r="X29" i="12"/>
  <c r="I68" i="12"/>
  <c r="I70" i="12"/>
  <c r="L71" i="12"/>
  <c r="L75" i="12"/>
  <c r="X75" i="12"/>
  <c r="L79" i="12"/>
  <c r="I87" i="12"/>
  <c r="L88" i="12"/>
  <c r="M91" i="12"/>
  <c r="O91" i="12"/>
  <c r="I45" i="12"/>
  <c r="I57" i="12"/>
  <c r="G23" i="32"/>
  <c r="I58" i="12"/>
  <c r="G24" i="32"/>
  <c r="I62" i="12"/>
  <c r="G28" i="32"/>
  <c r="I81" i="12"/>
  <c r="I99" i="12"/>
  <c r="G39" i="32"/>
  <c r="I34" i="12"/>
  <c r="G19" i="32"/>
  <c r="L51" i="12"/>
  <c r="I54" i="12"/>
  <c r="I63" i="12"/>
  <c r="G29" i="32"/>
  <c r="I80" i="12"/>
  <c r="G34" i="32"/>
  <c r="X20" i="12"/>
  <c r="Y20" i="12"/>
  <c r="X24" i="12"/>
  <c r="Y24" i="12"/>
  <c r="X5" i="12"/>
  <c r="Y5" i="12"/>
  <c r="I7" i="12"/>
  <c r="I11" i="12"/>
  <c r="I19" i="12"/>
  <c r="I21" i="12"/>
  <c r="I23" i="12"/>
  <c r="I25" i="12"/>
  <c r="I26" i="12"/>
  <c r="I28" i="12"/>
  <c r="I29" i="12"/>
  <c r="I31" i="12"/>
  <c r="I33" i="12"/>
  <c r="I36" i="12"/>
  <c r="I38" i="12"/>
  <c r="I39" i="12"/>
  <c r="I44" i="12"/>
  <c r="I46" i="12"/>
  <c r="I51" i="12"/>
  <c r="I52" i="12"/>
  <c r="I53" i="12"/>
  <c r="I55" i="12"/>
  <c r="I56" i="12"/>
  <c r="I59" i="12"/>
  <c r="I60" i="12"/>
  <c r="I61" i="12"/>
  <c r="I64" i="12"/>
  <c r="I66" i="12"/>
  <c r="I67" i="12"/>
  <c r="I69" i="12"/>
  <c r="I71" i="12"/>
  <c r="I72" i="12"/>
  <c r="I75" i="12"/>
  <c r="I78" i="12"/>
  <c r="I79" i="12"/>
  <c r="I82" i="12"/>
  <c r="I86" i="12"/>
  <c r="I88" i="12"/>
  <c r="I94" i="12"/>
  <c r="I95" i="12"/>
  <c r="I96" i="12"/>
  <c r="I97" i="12"/>
  <c r="I98" i="12"/>
  <c r="I102" i="12"/>
  <c r="I105" i="12"/>
  <c r="L21" i="12"/>
  <c r="G15" i="32"/>
  <c r="L27" i="12"/>
  <c r="L31" i="12"/>
  <c r="L46" i="12"/>
  <c r="L54" i="12"/>
  <c r="L56" i="12"/>
  <c r="X59" i="12"/>
  <c r="X65" i="12"/>
  <c r="L67" i="12"/>
  <c r="G32" i="32"/>
  <c r="X94" i="12"/>
  <c r="G36" i="32"/>
  <c r="L98" i="12"/>
  <c r="X36" i="12"/>
  <c r="M8" i="12"/>
  <c r="N8" i="12"/>
  <c r="M12" i="12"/>
  <c r="O12" i="12"/>
  <c r="L34" i="12"/>
  <c r="L57" i="12"/>
  <c r="X63" i="12"/>
  <c r="L78" i="12"/>
  <c r="X78" i="12"/>
  <c r="X79" i="12"/>
  <c r="L81" i="12"/>
  <c r="L87" i="12"/>
  <c r="X88" i="12"/>
  <c r="L96" i="12"/>
  <c r="X96" i="12"/>
  <c r="G38" i="32"/>
  <c r="J73" i="32"/>
  <c r="D28" i="21"/>
  <c r="M90" i="12"/>
  <c r="N90" i="12"/>
  <c r="O14" i="12"/>
  <c r="J79" i="32"/>
  <c r="G12" i="32"/>
  <c r="M100" i="12"/>
  <c r="O100" i="12"/>
  <c r="M18" i="12"/>
  <c r="O18" i="12"/>
  <c r="M77" i="12"/>
  <c r="N77" i="12"/>
  <c r="M101" i="12"/>
  <c r="N101" i="12"/>
  <c r="M10" i="12"/>
  <c r="N10" i="12"/>
  <c r="M35" i="12"/>
  <c r="O35" i="12"/>
  <c r="M47" i="12"/>
  <c r="M48" i="12"/>
  <c r="O48" i="12"/>
  <c r="M84" i="12"/>
  <c r="O84" i="12"/>
  <c r="M88" i="12"/>
  <c r="O88" i="12"/>
  <c r="M6" i="12"/>
  <c r="O6" i="12"/>
  <c r="M20" i="12"/>
  <c r="O20" i="12"/>
  <c r="K167" i="32"/>
  <c r="M22" i="12"/>
  <c r="N22" i="12"/>
  <c r="M24" i="12"/>
  <c r="O24" i="12"/>
  <c r="M30" i="12"/>
  <c r="M40" i="12"/>
  <c r="O40" i="12"/>
  <c r="M41" i="12"/>
  <c r="O41" i="12"/>
  <c r="M42" i="12"/>
  <c r="M74" i="12"/>
  <c r="N74" i="12"/>
  <c r="M32" i="12"/>
  <c r="N32" i="12"/>
  <c r="M85" i="12"/>
  <c r="N85" i="12"/>
  <c r="M54" i="12"/>
  <c r="N54" i="12"/>
  <c r="M5" i="12"/>
  <c r="N5" i="12"/>
  <c r="M15" i="12"/>
  <c r="N15" i="12"/>
  <c r="X18" i="12"/>
  <c r="Y18" i="12"/>
  <c r="AF18" i="12"/>
  <c r="M43" i="12"/>
  <c r="N43" i="12"/>
  <c r="X49" i="12"/>
  <c r="Y49" i="12"/>
  <c r="AD49" i="12"/>
  <c r="X83" i="12"/>
  <c r="X84" i="12"/>
  <c r="Y84" i="12"/>
  <c r="N93" i="12"/>
  <c r="L33" i="12"/>
  <c r="M9" i="12"/>
  <c r="N9" i="12"/>
  <c r="X13" i="12"/>
  <c r="Y13" i="12"/>
  <c r="AF13" i="12"/>
  <c r="X16" i="12"/>
  <c r="M17" i="12"/>
  <c r="O17" i="12"/>
  <c r="X38" i="12"/>
  <c r="M49" i="12"/>
  <c r="O49" i="12"/>
  <c r="M76" i="12"/>
  <c r="X86" i="12"/>
  <c r="M92" i="12"/>
  <c r="X98" i="12"/>
  <c r="N14" i="12"/>
  <c r="X17" i="12"/>
  <c r="Y17" i="12"/>
  <c r="M11" i="12"/>
  <c r="O11" i="12"/>
  <c r="X11" i="12"/>
  <c r="X12" i="12"/>
  <c r="Y12" i="12"/>
  <c r="M13" i="12"/>
  <c r="N13" i="12"/>
  <c r="G13" i="32"/>
  <c r="L55" i="12"/>
  <c r="L58" i="12"/>
  <c r="L61" i="12"/>
  <c r="X68" i="12"/>
  <c r="G31" i="32"/>
  <c r="X70" i="12"/>
  <c r="L72" i="12"/>
  <c r="X74" i="12"/>
  <c r="Y74" i="12"/>
  <c r="AF74" i="12"/>
  <c r="M4" i="12"/>
  <c r="O4" i="12"/>
  <c r="X87" i="12"/>
  <c r="L89" i="12"/>
  <c r="G37" i="32"/>
  <c r="X97" i="12"/>
  <c r="L102" i="12"/>
  <c r="X102" i="12"/>
  <c r="Y93" i="12"/>
  <c r="AF93" i="12"/>
  <c r="G35" i="32"/>
  <c r="Y9" i="12"/>
  <c r="AF9" i="12"/>
  <c r="X22" i="12"/>
  <c r="Y22" i="12"/>
  <c r="X26" i="12"/>
  <c r="X27" i="12"/>
  <c r="X28" i="12"/>
  <c r="X39" i="12"/>
  <c r="X40" i="12"/>
  <c r="Y40" i="12"/>
  <c r="X41" i="12"/>
  <c r="Y41" i="12"/>
  <c r="AD41" i="12"/>
  <c r="X42" i="12"/>
  <c r="Y42" i="12"/>
  <c r="L45" i="12"/>
  <c r="X46" i="12"/>
  <c r="L52" i="12"/>
  <c r="L53" i="12"/>
  <c r="X55" i="12"/>
  <c r="L59" i="12"/>
  <c r="G26" i="32"/>
  <c r="X61" i="12"/>
  <c r="L63" i="12"/>
  <c r="G30" i="32"/>
  <c r="K21" i="32"/>
  <c r="X67" i="12"/>
  <c r="X72" i="12"/>
  <c r="X76" i="12"/>
  <c r="Y76" i="12"/>
  <c r="X77" i="12"/>
  <c r="Y77" i="12"/>
  <c r="X43" i="12"/>
  <c r="Y43" i="12"/>
  <c r="G22" i="32"/>
  <c r="X45" i="12"/>
  <c r="X47" i="12"/>
  <c r="Y47" i="12"/>
  <c r="L50" i="12"/>
  <c r="X50" i="12"/>
  <c r="X51" i="12"/>
  <c r="L69" i="12"/>
  <c r="X69" i="12"/>
  <c r="X71" i="12"/>
  <c r="X81" i="12"/>
  <c r="L83" i="12"/>
  <c r="L86" i="12"/>
  <c r="L95" i="12"/>
  <c r="X95" i="12"/>
  <c r="X101" i="12"/>
  <c r="Y101" i="12"/>
  <c r="G40" i="32"/>
  <c r="Q105" i="12"/>
  <c r="U105" i="12"/>
  <c r="X15" i="12"/>
  <c r="Y15" i="12"/>
  <c r="X21" i="12"/>
  <c r="X25" i="12"/>
  <c r="X31" i="12"/>
  <c r="W105" i="12"/>
  <c r="X8" i="12"/>
  <c r="Y8" i="12"/>
  <c r="V105" i="12"/>
  <c r="X14" i="12"/>
  <c r="Y14" i="12"/>
  <c r="L16" i="12"/>
  <c r="L19" i="12"/>
  <c r="X19" i="12"/>
  <c r="L23" i="12"/>
  <c r="X30" i="12"/>
  <c r="Y30" i="12"/>
  <c r="AF30" i="12"/>
  <c r="X33" i="12"/>
  <c r="L38" i="12"/>
  <c r="X44" i="12"/>
  <c r="G25" i="32"/>
  <c r="X60" i="12"/>
  <c r="L62" i="12"/>
  <c r="L64" i="12"/>
  <c r="X64" i="12"/>
  <c r="L66" i="12"/>
  <c r="X66" i="12"/>
  <c r="L68" i="12"/>
  <c r="L70" i="12"/>
  <c r="L73" i="12"/>
  <c r="X73" i="12"/>
  <c r="L80" i="12"/>
  <c r="X80" i="12"/>
  <c r="L82" i="12"/>
  <c r="X82" i="12"/>
  <c r="X85" i="12"/>
  <c r="Y85" i="12"/>
  <c r="X89" i="12"/>
  <c r="X90" i="12"/>
  <c r="Y90" i="12"/>
  <c r="Y91" i="12"/>
  <c r="X92" i="12"/>
  <c r="Y92" i="12"/>
  <c r="L99" i="12"/>
  <c r="K39" i="32"/>
  <c r="X99" i="12"/>
  <c r="X100" i="12"/>
  <c r="Y100" i="12"/>
  <c r="AF100" i="12"/>
  <c r="G18" i="32"/>
  <c r="X35" i="12"/>
  <c r="Y35" i="12"/>
  <c r="M28" i="12"/>
  <c r="O28" i="12"/>
  <c r="X34" i="12"/>
  <c r="X6" i="12"/>
  <c r="Y6" i="12"/>
  <c r="X7" i="12"/>
  <c r="X10" i="12"/>
  <c r="Y10" i="12"/>
  <c r="X23" i="12"/>
  <c r="L25" i="12"/>
  <c r="X32" i="12"/>
  <c r="Y32" i="12"/>
  <c r="L39" i="12"/>
  <c r="S105" i="12"/>
  <c r="X48" i="12"/>
  <c r="Y48" i="12"/>
  <c r="X52" i="12"/>
  <c r="X58" i="12"/>
  <c r="L60" i="12"/>
  <c r="G27" i="32"/>
  <c r="X4" i="12"/>
  <c r="Y4" i="12"/>
  <c r="T105" i="12"/>
  <c r="P105" i="12"/>
  <c r="X53" i="12"/>
  <c r="X54" i="12"/>
  <c r="X56" i="12"/>
  <c r="X57" i="12"/>
  <c r="X62" i="12"/>
  <c r="R105" i="12"/>
  <c r="J77" i="24"/>
  <c r="K77" i="24"/>
  <c r="J88" i="24"/>
  <c r="K88" i="24"/>
  <c r="J78" i="24"/>
  <c r="K78" i="24"/>
  <c r="K37" i="32"/>
  <c r="K89" i="24"/>
  <c r="J89" i="24"/>
  <c r="K75" i="24"/>
  <c r="J75" i="24"/>
  <c r="K30" i="32"/>
  <c r="J30" i="32"/>
  <c r="K35" i="32"/>
  <c r="J70" i="24"/>
  <c r="K70" i="24"/>
  <c r="K40" i="32"/>
  <c r="J79" i="24"/>
  <c r="K79" i="24"/>
  <c r="K27" i="32"/>
  <c r="K13" i="32"/>
  <c r="J13" i="32"/>
  <c r="K33" i="32"/>
  <c r="J36" i="24"/>
  <c r="K36" i="24"/>
  <c r="K15" i="32"/>
  <c r="J96" i="24"/>
  <c r="K96" i="24"/>
  <c r="J32" i="24"/>
  <c r="K32" i="24"/>
  <c r="K80" i="24"/>
  <c r="J80" i="24"/>
  <c r="K28" i="32"/>
  <c r="K93" i="24"/>
  <c r="J93" i="24"/>
  <c r="J60" i="24"/>
  <c r="K60" i="24"/>
  <c r="K24" i="32"/>
  <c r="O8" i="12"/>
  <c r="F74" i="32"/>
  <c r="G74" i="32"/>
  <c r="G72" i="32"/>
  <c r="M87" i="12"/>
  <c r="K19" i="32"/>
  <c r="J63" i="24"/>
  <c r="K63" i="24"/>
  <c r="K17" i="32"/>
  <c r="J17" i="32"/>
  <c r="J14" i="24"/>
  <c r="K14" i="24"/>
  <c r="J33" i="24"/>
  <c r="K33" i="24"/>
  <c r="J31" i="24"/>
  <c r="K31" i="24"/>
  <c r="K27" i="24"/>
  <c r="J27" i="24"/>
  <c r="J29" i="24"/>
  <c r="K29" i="24"/>
  <c r="K21" i="24"/>
  <c r="J21" i="24"/>
  <c r="K31" i="32"/>
  <c r="K25" i="32"/>
  <c r="J62" i="24"/>
  <c r="K62" i="24"/>
  <c r="K101" i="24"/>
  <c r="J101" i="24"/>
  <c r="K26" i="32"/>
  <c r="K34" i="32"/>
  <c r="J73" i="24"/>
  <c r="K73" i="24"/>
  <c r="K23" i="24"/>
  <c r="J23" i="24"/>
  <c r="K59" i="24"/>
  <c r="J59" i="24"/>
  <c r="K18" i="32"/>
  <c r="K36" i="32"/>
  <c r="K32" i="32"/>
  <c r="K38" i="32"/>
  <c r="J61" i="24"/>
  <c r="K61" i="24"/>
  <c r="J34" i="24"/>
  <c r="K34" i="24"/>
  <c r="K95" i="24"/>
  <c r="J95" i="24"/>
  <c r="K82" i="24"/>
  <c r="J82" i="24"/>
  <c r="K20" i="32"/>
  <c r="Y75" i="12"/>
  <c r="N91" i="12"/>
  <c r="Y87" i="12"/>
  <c r="N12" i="12"/>
  <c r="M51" i="12"/>
  <c r="O51" i="12"/>
  <c r="M27" i="12"/>
  <c r="N27" i="12"/>
  <c r="M7" i="12"/>
  <c r="M56" i="12"/>
  <c r="O56" i="12"/>
  <c r="J28" i="32"/>
  <c r="J27" i="32"/>
  <c r="F32" i="32"/>
  <c r="F28" i="32"/>
  <c r="J22" i="32"/>
  <c r="F18" i="32"/>
  <c r="J35" i="32"/>
  <c r="J18" i="32"/>
  <c r="F40" i="32"/>
  <c r="F35" i="32"/>
  <c r="F12" i="32"/>
  <c r="F34" i="32"/>
  <c r="F19" i="32"/>
  <c r="F24" i="32"/>
  <c r="J20" i="32"/>
  <c r="F16" i="32"/>
  <c r="J21" i="32"/>
  <c r="F26" i="32"/>
  <c r="F37" i="32"/>
  <c r="F31" i="32"/>
  <c r="F13" i="32"/>
  <c r="F36" i="32"/>
  <c r="F15" i="32"/>
  <c r="F29" i="32"/>
  <c r="F39" i="32"/>
  <c r="F23" i="32"/>
  <c r="F25" i="32"/>
  <c r="F27" i="32"/>
  <c r="J39" i="32"/>
  <c r="F22" i="32"/>
  <c r="F30" i="32"/>
  <c r="J25" i="32"/>
  <c r="J167" i="32"/>
  <c r="F38" i="32"/>
  <c r="J33" i="32"/>
  <c r="N20" i="12"/>
  <c r="G105" i="32"/>
  <c r="Y88" i="12"/>
  <c r="M81" i="12"/>
  <c r="O81" i="12"/>
  <c r="Y7" i="12"/>
  <c r="AD7" i="12"/>
  <c r="Y56" i="12"/>
  <c r="AD56" i="12"/>
  <c r="N40" i="12"/>
  <c r="Y27" i="12"/>
  <c r="AF27" i="12"/>
  <c r="Y81" i="12"/>
  <c r="AF81" i="12"/>
  <c r="O87" i="12"/>
  <c r="N87" i="12"/>
  <c r="O90" i="12"/>
  <c r="K109" i="32"/>
  <c r="Y54" i="12"/>
  <c r="AF54" i="12"/>
  <c r="N100" i="12"/>
  <c r="Y98" i="12"/>
  <c r="AD98" i="12"/>
  <c r="K171" i="32"/>
  <c r="Y34" i="12"/>
  <c r="AD34" i="12"/>
  <c r="M98" i="12"/>
  <c r="O98" i="12"/>
  <c r="K193" i="32"/>
  <c r="M34" i="12"/>
  <c r="N34" i="12"/>
  <c r="K140" i="32"/>
  <c r="K23" i="32"/>
  <c r="Y96" i="12"/>
  <c r="AF96" i="12"/>
  <c r="Y78" i="12"/>
  <c r="AD78" i="12"/>
  <c r="M96" i="12"/>
  <c r="O96" i="12"/>
  <c r="D27" i="21"/>
  <c r="F27" i="21"/>
  <c r="E27" i="21"/>
  <c r="G169" i="32"/>
  <c r="K105" i="32"/>
  <c r="M36" i="12"/>
  <c r="O36" i="12"/>
  <c r="G20" i="32"/>
  <c r="M78" i="12"/>
  <c r="O78" i="12"/>
  <c r="K136" i="32"/>
  <c r="M79" i="12"/>
  <c r="O79" i="12"/>
  <c r="G33" i="32"/>
  <c r="Y63" i="12"/>
  <c r="AF63" i="12"/>
  <c r="K29" i="32"/>
  <c r="Y57" i="12"/>
  <c r="AF57" i="12"/>
  <c r="K11" i="32"/>
  <c r="M31" i="12"/>
  <c r="O31" i="12"/>
  <c r="G17" i="32"/>
  <c r="M57" i="12"/>
  <c r="O57" i="12"/>
  <c r="G138" i="32"/>
  <c r="J72" i="32"/>
  <c r="AF49" i="12"/>
  <c r="AD9" i="12"/>
  <c r="O77" i="12"/>
  <c r="AD93" i="12"/>
  <c r="K47" i="32"/>
  <c r="AD74" i="12"/>
  <c r="AD100" i="12"/>
  <c r="N18" i="12"/>
  <c r="AD13" i="12"/>
  <c r="Y89" i="12"/>
  <c r="AD89" i="12"/>
  <c r="O9" i="12"/>
  <c r="Y21" i="12"/>
  <c r="AF21" i="12"/>
  <c r="Y50" i="12"/>
  <c r="AF50" i="12"/>
  <c r="Y97" i="12"/>
  <c r="AD97" i="12"/>
  <c r="N48" i="12"/>
  <c r="AF41" i="12"/>
  <c r="Y58" i="12"/>
  <c r="AD58" i="12"/>
  <c r="N41" i="12"/>
  <c r="Y62" i="12"/>
  <c r="AD62" i="12"/>
  <c r="Y31" i="12"/>
  <c r="AD31" i="12"/>
  <c r="O101" i="12"/>
  <c r="N24" i="12"/>
  <c r="O15" i="12"/>
  <c r="N88" i="12"/>
  <c r="AF76" i="12"/>
  <c r="AD76" i="12"/>
  <c r="AD30" i="12"/>
  <c r="Y19" i="12"/>
  <c r="AD19" i="12"/>
  <c r="O54" i="12"/>
  <c r="O74" i="12"/>
  <c r="N6" i="12"/>
  <c r="O10" i="12"/>
  <c r="AD18" i="12"/>
  <c r="N84" i="12"/>
  <c r="N17" i="12"/>
  <c r="O5" i="12"/>
  <c r="O22" i="12"/>
  <c r="Y80" i="12"/>
  <c r="AF80" i="12"/>
  <c r="M80" i="12"/>
  <c r="N80" i="12"/>
  <c r="Y94" i="12"/>
  <c r="M94" i="12"/>
  <c r="O94" i="12"/>
  <c r="Y95" i="12"/>
  <c r="AF95" i="12"/>
  <c r="M95" i="12"/>
  <c r="N95" i="12"/>
  <c r="M75" i="12"/>
  <c r="O75" i="12"/>
  <c r="M69" i="12"/>
  <c r="N69" i="12"/>
  <c r="Y69" i="12"/>
  <c r="AF69" i="12"/>
  <c r="M50" i="12"/>
  <c r="N50" i="12"/>
  <c r="Y44" i="12"/>
  <c r="AD44" i="12"/>
  <c r="Y66" i="12"/>
  <c r="AF66" i="12"/>
  <c r="M53" i="12"/>
  <c r="N53" i="12"/>
  <c r="O92" i="12"/>
  <c r="N92" i="12"/>
  <c r="O76" i="12"/>
  <c r="N76" i="12"/>
  <c r="O85" i="12"/>
  <c r="M99" i="12"/>
  <c r="N99" i="12"/>
  <c r="Y39" i="12"/>
  <c r="AF39" i="12"/>
  <c r="M39" i="12"/>
  <c r="N39" i="12"/>
  <c r="M70" i="12"/>
  <c r="N70" i="12"/>
  <c r="Y70" i="12"/>
  <c r="AF70" i="12"/>
  <c r="Y59" i="12"/>
  <c r="AF59" i="12"/>
  <c r="Y16" i="12"/>
  <c r="AF16" i="12"/>
  <c r="M16" i="12"/>
  <c r="N16" i="12"/>
  <c r="AF20" i="12"/>
  <c r="AD20" i="12"/>
  <c r="Y102" i="12"/>
  <c r="AF102" i="12"/>
  <c r="Y86" i="12"/>
  <c r="AF86" i="12"/>
  <c r="M86" i="12"/>
  <c r="N86" i="12"/>
  <c r="M55" i="12"/>
  <c r="N55" i="12"/>
  <c r="N7" i="12"/>
  <c r="O7" i="12"/>
  <c r="AF91" i="12"/>
  <c r="AD91" i="12"/>
  <c r="Y73" i="12"/>
  <c r="AD73" i="12"/>
  <c r="M73" i="12"/>
  <c r="N73" i="12"/>
  <c r="N30" i="12"/>
  <c r="O30" i="12"/>
  <c r="Y28" i="12"/>
  <c r="AF28" i="12"/>
  <c r="N28" i="12"/>
  <c r="Y68" i="12"/>
  <c r="AA68" i="12"/>
  <c r="M68" i="12"/>
  <c r="N68" i="12"/>
  <c r="M64" i="12"/>
  <c r="O64" i="12"/>
  <c r="Y38" i="12"/>
  <c r="AF38" i="12"/>
  <c r="M38" i="12"/>
  <c r="O38" i="12"/>
  <c r="M23" i="12"/>
  <c r="N23" i="12"/>
  <c r="M72" i="12"/>
  <c r="O72" i="12"/>
  <c r="Y72" i="12"/>
  <c r="M61" i="12"/>
  <c r="N61" i="12"/>
  <c r="AF12" i="12"/>
  <c r="AD12" i="12"/>
  <c r="Y55" i="12"/>
  <c r="AF55" i="12"/>
  <c r="O42" i="12"/>
  <c r="N42" i="12"/>
  <c r="N4" i="12"/>
  <c r="O47" i="12"/>
  <c r="N47" i="12"/>
  <c r="M44" i="12"/>
  <c r="O44" i="12"/>
  <c r="M52" i="12"/>
  <c r="N52" i="12"/>
  <c r="M58" i="12"/>
  <c r="N58" i="12"/>
  <c r="M21" i="12"/>
  <c r="O21" i="12"/>
  <c r="N35" i="12"/>
  <c r="Y67" i="12"/>
  <c r="AD67" i="12"/>
  <c r="M60" i="12"/>
  <c r="N60" i="12"/>
  <c r="Y82" i="12"/>
  <c r="AF82" i="12"/>
  <c r="M82" i="12"/>
  <c r="O82" i="12"/>
  <c r="Y79" i="12"/>
  <c r="M62" i="12"/>
  <c r="N62" i="12"/>
  <c r="N51" i="12"/>
  <c r="Y83" i="12"/>
  <c r="AD83" i="12"/>
  <c r="M83" i="12"/>
  <c r="N83" i="12"/>
  <c r="Y46" i="12"/>
  <c r="AA46" i="12"/>
  <c r="M46" i="12"/>
  <c r="O46" i="12"/>
  <c r="M59" i="12"/>
  <c r="N59" i="12"/>
  <c r="Y36" i="12"/>
  <c r="AF36" i="12"/>
  <c r="M89" i="12"/>
  <c r="N89" i="12"/>
  <c r="O13" i="12"/>
  <c r="Y11" i="12"/>
  <c r="N11" i="12"/>
  <c r="M67" i="12"/>
  <c r="O67" i="12"/>
  <c r="O43" i="12"/>
  <c r="O32" i="12"/>
  <c r="N49" i="12"/>
  <c r="Y53" i="12"/>
  <c r="AD53" i="12"/>
  <c r="Y65" i="12"/>
  <c r="AF65" i="12"/>
  <c r="M25" i="12"/>
  <c r="N25" i="12"/>
  <c r="Y99" i="12"/>
  <c r="AF99" i="12"/>
  <c r="M66" i="12"/>
  <c r="N66" i="12"/>
  <c r="M19" i="12"/>
  <c r="N19" i="12"/>
  <c r="M63" i="12"/>
  <c r="N63" i="12"/>
  <c r="Y45" i="12"/>
  <c r="AF45" i="12"/>
  <c r="M45" i="12"/>
  <c r="N45" i="12"/>
  <c r="Y29" i="12"/>
  <c r="AD29" i="12"/>
  <c r="M102" i="12"/>
  <c r="N102" i="12"/>
  <c r="M97" i="12"/>
  <c r="O97" i="12"/>
  <c r="M33" i="12"/>
  <c r="N33" i="12"/>
  <c r="M71" i="12"/>
  <c r="O71" i="12"/>
  <c r="M29" i="12"/>
  <c r="O29" i="12"/>
  <c r="M26" i="12"/>
  <c r="O26" i="12"/>
  <c r="AF14" i="12"/>
  <c r="AD14" i="12"/>
  <c r="AD47" i="12"/>
  <c r="AF47" i="12"/>
  <c r="AD15" i="12"/>
  <c r="AF15" i="12"/>
  <c r="AF77" i="12"/>
  <c r="AD77" i="12"/>
  <c r="AD92" i="12"/>
  <c r="AF92" i="12"/>
  <c r="AF40" i="12"/>
  <c r="AD40" i="12"/>
  <c r="Y23" i="12"/>
  <c r="AD23" i="12"/>
  <c r="Y51" i="12"/>
  <c r="Y61" i="12"/>
  <c r="AF61" i="12"/>
  <c r="Y52" i="12"/>
  <c r="AD52" i="12"/>
  <c r="Y26" i="12"/>
  <c r="AA26" i="12"/>
  <c r="Y71" i="12"/>
  <c r="Y64" i="12"/>
  <c r="Y60" i="12"/>
  <c r="AF60" i="12"/>
  <c r="L105" i="12"/>
  <c r="Y33" i="12"/>
  <c r="AF33" i="12"/>
  <c r="AF4" i="12"/>
  <c r="AD4" i="12"/>
  <c r="AD10" i="12"/>
  <c r="AF10" i="12"/>
  <c r="AF84" i="12"/>
  <c r="AD84" i="12"/>
  <c r="AF22" i="12"/>
  <c r="AD22" i="12"/>
  <c r="AD32" i="12"/>
  <c r="AF32" i="12"/>
  <c r="AD88" i="12"/>
  <c r="AF88" i="12"/>
  <c r="Y25" i="12"/>
  <c r="AD101" i="12"/>
  <c r="AF101" i="12"/>
  <c r="X105" i="12"/>
  <c r="AF24" i="12"/>
  <c r="AD24" i="12"/>
  <c r="AD35" i="12"/>
  <c r="AF35" i="12"/>
  <c r="AF75" i="12"/>
  <c r="AD75" i="12"/>
  <c r="AF87" i="12"/>
  <c r="AD87" i="12"/>
  <c r="AA75" i="12"/>
  <c r="AF6" i="12"/>
  <c r="AD6" i="12"/>
  <c r="AF43" i="12"/>
  <c r="AD43" i="12"/>
  <c r="AF5" i="12"/>
  <c r="AD5" i="12"/>
  <c r="AF42" i="12"/>
  <c r="AD42" i="12"/>
  <c r="AF90" i="12"/>
  <c r="AD90" i="12"/>
  <c r="AD85" i="12"/>
  <c r="AF85" i="12"/>
  <c r="AF48" i="12"/>
  <c r="AD48" i="12"/>
  <c r="AD8" i="12"/>
  <c r="AF8" i="12"/>
  <c r="AF17" i="12"/>
  <c r="AD17" i="12"/>
  <c r="J34" i="32"/>
  <c r="J24" i="32"/>
  <c r="J40" i="32"/>
  <c r="J37" i="32"/>
  <c r="J32" i="32"/>
  <c r="J38" i="32"/>
  <c r="J19" i="32"/>
  <c r="J104" i="24"/>
  <c r="K104" i="24"/>
  <c r="N78" i="12"/>
  <c r="J85" i="24"/>
  <c r="K85" i="24"/>
  <c r="J40" i="24"/>
  <c r="K40" i="24"/>
  <c r="J87" i="24"/>
  <c r="K87" i="24"/>
  <c r="J66" i="24"/>
  <c r="K66" i="24"/>
  <c r="K69" i="24"/>
  <c r="J69" i="24"/>
  <c r="J38" i="24"/>
  <c r="K38" i="24"/>
  <c r="J26" i="32"/>
  <c r="J15" i="32"/>
  <c r="J36" i="32"/>
  <c r="J94" i="24"/>
  <c r="K94" i="24"/>
  <c r="J86" i="24"/>
  <c r="K86" i="24"/>
  <c r="J64" i="24"/>
  <c r="K64" i="24"/>
  <c r="J71" i="24"/>
  <c r="K71" i="24"/>
  <c r="J41" i="24"/>
  <c r="K41" i="24"/>
  <c r="J28" i="24"/>
  <c r="K28" i="24"/>
  <c r="J68" i="24"/>
  <c r="K68" i="24"/>
  <c r="J102" i="24"/>
  <c r="K102" i="24"/>
  <c r="J31" i="32"/>
  <c r="J105" i="24"/>
  <c r="K105" i="24"/>
  <c r="J103" i="24"/>
  <c r="K103" i="24"/>
  <c r="J67" i="24"/>
  <c r="K67" i="24"/>
  <c r="J76" i="24"/>
  <c r="K76" i="24"/>
  <c r="J65" i="24"/>
  <c r="K65" i="24"/>
  <c r="J30" i="24"/>
  <c r="K30" i="24"/>
  <c r="O27" i="12"/>
  <c r="AF34" i="12"/>
  <c r="AF56" i="12"/>
  <c r="G167" i="32"/>
  <c r="N57" i="12"/>
  <c r="G147" i="32"/>
  <c r="G136" i="32"/>
  <c r="AD39" i="12"/>
  <c r="N56" i="12"/>
  <c r="G43" i="32"/>
  <c r="J140" i="32"/>
  <c r="J171" i="32"/>
  <c r="F138" i="32"/>
  <c r="J11" i="32"/>
  <c r="F33" i="32"/>
  <c r="J105" i="32"/>
  <c r="J109" i="32"/>
  <c r="J47" i="32"/>
  <c r="F169" i="32"/>
  <c r="J23" i="32"/>
  <c r="J193" i="32"/>
  <c r="F17" i="32"/>
  <c r="J29" i="32"/>
  <c r="J136" i="32"/>
  <c r="F20" i="32"/>
  <c r="F136" i="32"/>
  <c r="F105" i="32"/>
  <c r="F72" i="32"/>
  <c r="AF7" i="12"/>
  <c r="AA86" i="12"/>
  <c r="AD81" i="12"/>
  <c r="N81" i="12"/>
  <c r="N36" i="12"/>
  <c r="G175" i="32"/>
  <c r="AD21" i="12"/>
  <c r="AD63" i="12"/>
  <c r="AF98" i="12"/>
  <c r="AD27" i="12"/>
  <c r="AA27" i="12"/>
  <c r="K162" i="32"/>
  <c r="N64" i="12"/>
  <c r="G61" i="32"/>
  <c r="K131" i="32"/>
  <c r="AD65" i="12"/>
  <c r="AD28" i="12"/>
  <c r="AD54" i="12"/>
  <c r="O34" i="12"/>
  <c r="K143" i="32"/>
  <c r="D11" i="21"/>
  <c r="G50" i="32"/>
  <c r="AF67" i="12"/>
  <c r="AA50" i="12"/>
  <c r="N96" i="12"/>
  <c r="G129" i="32"/>
  <c r="AF78" i="12"/>
  <c r="K69" i="32"/>
  <c r="AF58" i="12"/>
  <c r="N31" i="12"/>
  <c r="G48" i="32"/>
  <c r="N79" i="12"/>
  <c r="N98" i="12"/>
  <c r="G69" i="32"/>
  <c r="G174" i="32"/>
  <c r="G112" i="32"/>
  <c r="G52" i="32"/>
  <c r="G145" i="32"/>
  <c r="G176" i="32"/>
  <c r="G114" i="32"/>
  <c r="K63" i="32"/>
  <c r="K156" i="32"/>
  <c r="K187" i="32"/>
  <c r="K125" i="32"/>
  <c r="AD50" i="12"/>
  <c r="AF44" i="12"/>
  <c r="G195" i="32"/>
  <c r="G164" i="32"/>
  <c r="G133" i="32"/>
  <c r="G71" i="32"/>
  <c r="G153" i="32"/>
  <c r="G122" i="32"/>
  <c r="G184" i="32"/>
  <c r="G60" i="32"/>
  <c r="G144" i="32"/>
  <c r="G46" i="32"/>
  <c r="K178" i="32"/>
  <c r="K116" i="32"/>
  <c r="K147" i="32"/>
  <c r="K54" i="32"/>
  <c r="G66" i="32"/>
  <c r="G65" i="32"/>
  <c r="G158" i="32"/>
  <c r="G189" i="32"/>
  <c r="G127" i="32"/>
  <c r="G143" i="32"/>
  <c r="G57" i="32"/>
  <c r="G63" i="32"/>
  <c r="G125" i="32"/>
  <c r="G156" i="32"/>
  <c r="G187" i="32"/>
  <c r="AD96" i="12"/>
  <c r="AF31" i="12"/>
  <c r="G173" i="32"/>
  <c r="G142" i="32"/>
  <c r="G49" i="32"/>
  <c r="G59" i="32"/>
  <c r="G55" i="32"/>
  <c r="G58" i="32"/>
  <c r="G120" i="32"/>
  <c r="G151" i="32"/>
  <c r="G182" i="32"/>
  <c r="K129" i="32"/>
  <c r="K67" i="32"/>
  <c r="K191" i="32"/>
  <c r="K160" i="32"/>
  <c r="G70" i="32"/>
  <c r="G140" i="32"/>
  <c r="G171" i="32"/>
  <c r="G47" i="32"/>
  <c r="AD57" i="12"/>
  <c r="AD70" i="12"/>
  <c r="AD45" i="12"/>
  <c r="G149" i="32"/>
  <c r="G180" i="32"/>
  <c r="G56" i="32"/>
  <c r="G62" i="32"/>
  <c r="K107" i="32"/>
  <c r="K169" i="32"/>
  <c r="K138" i="32"/>
  <c r="K45" i="32"/>
  <c r="G11" i="32"/>
  <c r="K10" i="32"/>
  <c r="G107" i="32"/>
  <c r="K144" i="32"/>
  <c r="K113" i="32"/>
  <c r="K51" i="32"/>
  <c r="K175" i="32"/>
  <c r="AD68" i="12"/>
  <c r="AF53" i="12"/>
  <c r="AD55" i="12"/>
  <c r="AA16" i="12"/>
  <c r="AD33" i="12"/>
  <c r="AD16" i="12"/>
  <c r="AF97" i="12"/>
  <c r="AF89" i="12"/>
  <c r="AD99" i="12"/>
  <c r="G45" i="32"/>
  <c r="K43" i="32"/>
  <c r="AD26" i="12"/>
  <c r="AD60" i="12"/>
  <c r="O70" i="12"/>
  <c r="AF46" i="12"/>
  <c r="AF62" i="12"/>
  <c r="N38" i="12"/>
  <c r="O61" i="12"/>
  <c r="AD82" i="12"/>
  <c r="AD61" i="12"/>
  <c r="AF83" i="12"/>
  <c r="O33" i="12"/>
  <c r="O102" i="12"/>
  <c r="O55" i="12"/>
  <c r="O16" i="12"/>
  <c r="AF73" i="12"/>
  <c r="AD69" i="12"/>
  <c r="O63" i="12"/>
  <c r="AF52" i="12"/>
  <c r="AF19" i="12"/>
  <c r="AD95" i="12"/>
  <c r="O25" i="12"/>
  <c r="N72" i="12"/>
  <c r="AF23" i="12"/>
  <c r="O39" i="12"/>
  <c r="N82" i="12"/>
  <c r="N44" i="12"/>
  <c r="O19" i="12"/>
  <c r="AD38" i="12"/>
  <c r="AD102" i="12"/>
  <c r="O89" i="12"/>
  <c r="N26" i="12"/>
  <c r="N75" i="12"/>
  <c r="AD36" i="12"/>
  <c r="N21" i="12"/>
  <c r="AD59" i="12"/>
  <c r="AD46" i="12"/>
  <c r="O45" i="12"/>
  <c r="O23" i="12"/>
  <c r="O95" i="12"/>
  <c r="N94" i="12"/>
  <c r="AF68" i="12"/>
  <c r="O66" i="12"/>
  <c r="O83" i="12"/>
  <c r="O62" i="12"/>
  <c r="O69" i="12"/>
  <c r="AA94" i="12"/>
  <c r="AD94" i="12"/>
  <c r="AF94" i="12"/>
  <c r="AF26" i="12"/>
  <c r="AD80" i="12"/>
  <c r="AD86" i="12"/>
  <c r="N71" i="12"/>
  <c r="AF11" i="12"/>
  <c r="AA11" i="12"/>
  <c r="AD11" i="12"/>
  <c r="O59" i="12"/>
  <c r="N46" i="12"/>
  <c r="O60" i="12"/>
  <c r="O58" i="12"/>
  <c r="O52" i="12"/>
  <c r="N67" i="12"/>
  <c r="O68" i="12"/>
  <c r="O73" i="12"/>
  <c r="O86" i="12"/>
  <c r="O99" i="12"/>
  <c r="AD66" i="12"/>
  <c r="AA66" i="12"/>
  <c r="O50" i="12"/>
  <c r="O80" i="12"/>
  <c r="AA29" i="12"/>
  <c r="AF29" i="12"/>
  <c r="N29" i="12"/>
  <c r="AF79" i="12"/>
  <c r="AD79" i="12"/>
  <c r="N97" i="12"/>
  <c r="AF72" i="12"/>
  <c r="AD72" i="12"/>
  <c r="O53" i="12"/>
  <c r="AD64" i="12"/>
  <c r="AF64" i="12"/>
  <c r="AA51" i="12"/>
  <c r="AD51" i="12"/>
  <c r="AF51" i="12"/>
  <c r="AF71" i="12"/>
  <c r="AA71" i="12"/>
  <c r="AD71" i="12"/>
  <c r="AD25" i="12"/>
  <c r="AF25" i="12"/>
  <c r="Y105" i="12"/>
  <c r="G51" i="32"/>
  <c r="F51" i="32"/>
  <c r="J10" i="32"/>
  <c r="F167" i="32"/>
  <c r="G162" i="32"/>
  <c r="G178" i="32"/>
  <c r="F178" i="32"/>
  <c r="G193" i="32"/>
  <c r="G54" i="32"/>
  <c r="F43" i="32"/>
  <c r="F45" i="32"/>
  <c r="J113" i="32"/>
  <c r="G10" i="32"/>
  <c r="J107" i="32"/>
  <c r="F62" i="32"/>
  <c r="F56" i="32"/>
  <c r="F47" i="32"/>
  <c r="J160" i="32"/>
  <c r="F182" i="32"/>
  <c r="F49" i="32"/>
  <c r="F125" i="32"/>
  <c r="F127" i="32"/>
  <c r="J54" i="32"/>
  <c r="F144" i="32"/>
  <c r="F60" i="32"/>
  <c r="F71" i="32"/>
  <c r="J156" i="32"/>
  <c r="F145" i="32"/>
  <c r="F69" i="32"/>
  <c r="J69" i="32"/>
  <c r="F129" i="32"/>
  <c r="J162" i="32"/>
  <c r="J144" i="32"/>
  <c r="J45" i="32"/>
  <c r="F162" i="32"/>
  <c r="F180" i="32"/>
  <c r="J191" i="32"/>
  <c r="F151" i="32"/>
  <c r="F142" i="32"/>
  <c r="F63" i="32"/>
  <c r="F57" i="32"/>
  <c r="F189" i="32"/>
  <c r="J147" i="32"/>
  <c r="F184" i="32"/>
  <c r="F133" i="32"/>
  <c r="J63" i="32"/>
  <c r="F52" i="32"/>
  <c r="J143" i="32"/>
  <c r="J131" i="32"/>
  <c r="F54" i="32"/>
  <c r="J175" i="32"/>
  <c r="F107" i="32"/>
  <c r="J138" i="32"/>
  <c r="F48" i="32"/>
  <c r="F171" i="32"/>
  <c r="F70" i="32"/>
  <c r="J67" i="32"/>
  <c r="F120" i="32"/>
  <c r="F59" i="32"/>
  <c r="F187" i="32"/>
  <c r="F158" i="32"/>
  <c r="F66" i="32"/>
  <c r="J116" i="32"/>
  <c r="F122" i="32"/>
  <c r="F164" i="32"/>
  <c r="J125" i="32"/>
  <c r="F114" i="32"/>
  <c r="F112" i="32"/>
  <c r="J43" i="32"/>
  <c r="J51" i="32"/>
  <c r="J169" i="32"/>
  <c r="F149" i="32"/>
  <c r="F140" i="32"/>
  <c r="J129" i="32"/>
  <c r="F58" i="32"/>
  <c r="F55" i="32"/>
  <c r="F173" i="32"/>
  <c r="F156" i="32"/>
  <c r="F143" i="32"/>
  <c r="F65" i="32"/>
  <c r="J178" i="32"/>
  <c r="F46" i="32"/>
  <c r="F175" i="32"/>
  <c r="F153" i="32"/>
  <c r="F195" i="32"/>
  <c r="J187" i="32"/>
  <c r="F147" i="32"/>
  <c r="F176" i="32"/>
  <c r="F174" i="32"/>
  <c r="F50" i="32"/>
  <c r="F61" i="32"/>
  <c r="G131" i="32"/>
  <c r="G123" i="32"/>
  <c r="G154" i="32"/>
  <c r="G185" i="32"/>
  <c r="K174" i="32"/>
  <c r="K50" i="32"/>
  <c r="K112" i="32"/>
  <c r="G160" i="32"/>
  <c r="G67" i="32"/>
  <c r="G191" i="32"/>
  <c r="F11" i="32"/>
  <c r="G188" i="32"/>
  <c r="G64" i="32"/>
  <c r="K180" i="32"/>
  <c r="K56" i="32"/>
  <c r="K118" i="32"/>
  <c r="K149" i="32"/>
  <c r="G126" i="32"/>
  <c r="K185" i="32"/>
  <c r="G109" i="32"/>
  <c r="K110" i="32"/>
  <c r="K115" i="32"/>
  <c r="G68" i="32"/>
  <c r="K133" i="32"/>
  <c r="K71" i="32"/>
  <c r="K195" i="32"/>
  <c r="K164" i="32"/>
  <c r="G110" i="32"/>
  <c r="K161" i="32"/>
  <c r="K123" i="32"/>
  <c r="K106" i="32"/>
  <c r="K126" i="32"/>
  <c r="G117" i="32"/>
  <c r="G111" i="32"/>
  <c r="G150" i="32"/>
  <c r="K172" i="32"/>
  <c r="G128" i="32"/>
  <c r="K53" i="32"/>
  <c r="K130" i="32"/>
  <c r="K44" i="32"/>
  <c r="G183" i="32"/>
  <c r="G44" i="32"/>
  <c r="G53" i="32"/>
  <c r="K173" i="32"/>
  <c r="K111" i="32"/>
  <c r="K49" i="32"/>
  <c r="K142" i="32"/>
  <c r="K120" i="32"/>
  <c r="K182" i="32"/>
  <c r="K151" i="32"/>
  <c r="K58" i="32"/>
  <c r="G186" i="32"/>
  <c r="G172" i="32"/>
  <c r="K192" i="32"/>
  <c r="K61" i="32"/>
  <c r="K168" i="32"/>
  <c r="K188" i="32"/>
  <c r="D12" i="21"/>
  <c r="G132" i="32"/>
  <c r="G121" i="32"/>
  <c r="G119" i="32"/>
  <c r="K141" i="32"/>
  <c r="G159" i="32"/>
  <c r="G139" i="32"/>
  <c r="K177" i="32"/>
  <c r="K114" i="32"/>
  <c r="K145" i="32"/>
  <c r="K52" i="32"/>
  <c r="K176" i="32"/>
  <c r="G155" i="32"/>
  <c r="G118" i="32"/>
  <c r="K157" i="32"/>
  <c r="G194" i="32"/>
  <c r="G148" i="32"/>
  <c r="G170" i="32"/>
  <c r="G113" i="32"/>
  <c r="G116" i="32"/>
  <c r="K127" i="32"/>
  <c r="K158" i="32"/>
  <c r="K189" i="32"/>
  <c r="K65" i="32"/>
  <c r="K60" i="32"/>
  <c r="K122" i="32"/>
  <c r="K184" i="32"/>
  <c r="K153" i="32"/>
  <c r="G124" i="32"/>
  <c r="G157" i="32"/>
  <c r="G141" i="32"/>
  <c r="K68" i="32"/>
  <c r="K154" i="32"/>
  <c r="K137" i="32"/>
  <c r="K64" i="32"/>
  <c r="G163" i="32"/>
  <c r="G179" i="32"/>
  <c r="G152" i="32"/>
  <c r="G181" i="32"/>
  <c r="G190" i="32"/>
  <c r="G108" i="32"/>
  <c r="K146" i="32"/>
  <c r="U106" i="12"/>
  <c r="W106" i="12"/>
  <c r="V106" i="12"/>
  <c r="Q106" i="12"/>
  <c r="S106" i="12"/>
  <c r="T106" i="12"/>
  <c r="P106" i="12"/>
  <c r="R106" i="12"/>
  <c r="L106" i="12"/>
  <c r="X106" i="12"/>
  <c r="I106" i="12"/>
  <c r="F193" i="32"/>
  <c r="F157" i="32"/>
  <c r="F154" i="32"/>
  <c r="J154" i="32"/>
  <c r="F155" i="32"/>
  <c r="J173" i="32"/>
  <c r="J146" i="32"/>
  <c r="F181" i="32"/>
  <c r="F163" i="32"/>
  <c r="J68" i="32"/>
  <c r="J153" i="32"/>
  <c r="J65" i="32"/>
  <c r="F116" i="32"/>
  <c r="F194" i="32"/>
  <c r="J176" i="32"/>
  <c r="J177" i="32"/>
  <c r="F123" i="32"/>
  <c r="F132" i="32"/>
  <c r="J61" i="32"/>
  <c r="J58" i="32"/>
  <c r="J142" i="32"/>
  <c r="F183" i="32"/>
  <c r="F128" i="32"/>
  <c r="J123" i="32"/>
  <c r="J195" i="32"/>
  <c r="J110" i="32"/>
  <c r="J149" i="32"/>
  <c r="F64" i="32"/>
  <c r="F67" i="32"/>
  <c r="J174" i="32"/>
  <c r="F131" i="32"/>
  <c r="J137" i="32"/>
  <c r="F179" i="32"/>
  <c r="J60" i="32"/>
  <c r="J127" i="32"/>
  <c r="F148" i="32"/>
  <c r="J141" i="32"/>
  <c r="F121" i="32"/>
  <c r="J168" i="32"/>
  <c r="F186" i="32"/>
  <c r="F108" i="32"/>
  <c r="J64" i="32"/>
  <c r="F141" i="32"/>
  <c r="J184" i="32"/>
  <c r="J189" i="32"/>
  <c r="F113" i="32"/>
  <c r="J157" i="32"/>
  <c r="J52" i="32"/>
  <c r="F139" i="32"/>
  <c r="F119" i="32"/>
  <c r="J192" i="32"/>
  <c r="J151" i="32"/>
  <c r="J49" i="32"/>
  <c r="J44" i="32"/>
  <c r="J172" i="32"/>
  <c r="F117" i="32"/>
  <c r="J161" i="32"/>
  <c r="J71" i="32"/>
  <c r="F109" i="32"/>
  <c r="J118" i="32"/>
  <c r="F188" i="32"/>
  <c r="F160" i="32"/>
  <c r="F185" i="32"/>
  <c r="F190" i="32"/>
  <c r="J122" i="32"/>
  <c r="J158" i="32"/>
  <c r="F170" i="32"/>
  <c r="F118" i="32"/>
  <c r="J145" i="32"/>
  <c r="F159" i="32"/>
  <c r="J188" i="32"/>
  <c r="F172" i="32"/>
  <c r="J182" i="32"/>
  <c r="J111" i="32"/>
  <c r="F44" i="32"/>
  <c r="J130" i="32"/>
  <c r="F150" i="32"/>
  <c r="J126" i="32"/>
  <c r="F110" i="32"/>
  <c r="J133" i="32"/>
  <c r="J185" i="32"/>
  <c r="J56" i="32"/>
  <c r="F10" i="32"/>
  <c r="J112" i="32"/>
  <c r="F152" i="32"/>
  <c r="F124" i="32"/>
  <c r="J114" i="32"/>
  <c r="J120" i="32"/>
  <c r="F53" i="32"/>
  <c r="J53" i="32"/>
  <c r="F111" i="32"/>
  <c r="J106" i="32"/>
  <c r="J164" i="32"/>
  <c r="F68" i="32"/>
  <c r="J115" i="32"/>
  <c r="F126" i="32"/>
  <c r="J180" i="32"/>
  <c r="F191" i="32"/>
  <c r="J50" i="32"/>
  <c r="K163" i="32"/>
  <c r="G166" i="32"/>
  <c r="D56" i="21"/>
  <c r="G177" i="32"/>
  <c r="K150" i="32"/>
  <c r="K55" i="32"/>
  <c r="K183" i="32"/>
  <c r="G104" i="32"/>
  <c r="D35" i="21"/>
  <c r="K186" i="32"/>
  <c r="K70" i="32"/>
  <c r="G146" i="32"/>
  <c r="G137" i="32"/>
  <c r="K170" i="32"/>
  <c r="K119" i="32"/>
  <c r="K190" i="32"/>
  <c r="K148" i="32"/>
  <c r="K121" i="32"/>
  <c r="G168" i="32"/>
  <c r="G192" i="32"/>
  <c r="K124" i="32"/>
  <c r="K194" i="32"/>
  <c r="G115" i="32"/>
  <c r="K108" i="32"/>
  <c r="K181" i="32"/>
  <c r="K159" i="32"/>
  <c r="K117" i="32"/>
  <c r="G130" i="32"/>
  <c r="K59" i="32"/>
  <c r="K62" i="32"/>
  <c r="K46" i="32"/>
  <c r="K66" i="32"/>
  <c r="G42" i="32"/>
  <c r="K155" i="32"/>
  <c r="K132" i="32"/>
  <c r="G106" i="32"/>
  <c r="K139" i="32"/>
  <c r="K57" i="32"/>
  <c r="G135" i="32"/>
  <c r="D42" i="21"/>
  <c r="K128" i="32"/>
  <c r="K179" i="32"/>
  <c r="G161" i="32"/>
  <c r="K152" i="32"/>
  <c r="Y106" i="12"/>
  <c r="F135" i="32"/>
  <c r="F137" i="32"/>
  <c r="F146" i="32"/>
  <c r="F161" i="32"/>
  <c r="F134" i="32"/>
  <c r="J66" i="32"/>
  <c r="J194" i="32"/>
  <c r="F177" i="32"/>
  <c r="J57" i="32"/>
  <c r="J46" i="32"/>
  <c r="J117" i="32"/>
  <c r="J124" i="32"/>
  <c r="J139" i="32"/>
  <c r="G41" i="32"/>
  <c r="J62" i="32"/>
  <c r="J159" i="32"/>
  <c r="J108" i="32"/>
  <c r="F192" i="32"/>
  <c r="J148" i="32"/>
  <c r="J119" i="32"/>
  <c r="F166" i="32"/>
  <c r="J128" i="32"/>
  <c r="J186" i="32"/>
  <c r="J155" i="32"/>
  <c r="J179" i="32"/>
  <c r="F106" i="32"/>
  <c r="J59" i="32"/>
  <c r="F115" i="32"/>
  <c r="F168" i="32"/>
  <c r="J190" i="32"/>
  <c r="J170" i="32"/>
  <c r="J70" i="32"/>
  <c r="J183" i="32"/>
  <c r="J150" i="32"/>
  <c r="J163" i="32"/>
  <c r="J132" i="32"/>
  <c r="F130" i="32"/>
  <c r="J121" i="32"/>
  <c r="J55" i="32"/>
  <c r="J152" i="32"/>
  <c r="J181" i="32"/>
  <c r="G103" i="32"/>
  <c r="K166" i="32"/>
  <c r="D57" i="21"/>
  <c r="K48" i="32"/>
  <c r="D18" i="21"/>
  <c r="K135" i="32"/>
  <c r="D43" i="21"/>
  <c r="F43" i="21"/>
  <c r="E43" i="21"/>
  <c r="G165" i="32"/>
  <c r="K42" i="32"/>
  <c r="F35" i="21"/>
  <c r="K104" i="32"/>
  <c r="D36" i="21"/>
  <c r="F36" i="21"/>
  <c r="E36" i="21"/>
  <c r="F42" i="21"/>
  <c r="G134" i="32"/>
  <c r="F42" i="32"/>
  <c r="F104" i="32"/>
  <c r="F56" i="21"/>
  <c r="F165" i="32"/>
  <c r="F103" i="32"/>
  <c r="F41" i="32"/>
  <c r="K103" i="32"/>
  <c r="K134" i="32"/>
  <c r="J48" i="32"/>
  <c r="K165" i="32"/>
  <c r="K41" i="32"/>
  <c r="G9" i="32"/>
  <c r="G8" i="32"/>
  <c r="J104" i="32"/>
  <c r="E42" i="21"/>
  <c r="J42" i="32"/>
  <c r="J135" i="32"/>
  <c r="F57" i="21"/>
  <c r="D19" i="21"/>
  <c r="J166" i="32"/>
  <c r="E56" i="21"/>
  <c r="E35" i="21"/>
  <c r="K9" i="32"/>
  <c r="K8" i="32"/>
  <c r="F9" i="32"/>
  <c r="F8" i="32"/>
  <c r="J165" i="32"/>
  <c r="J103" i="32"/>
  <c r="J41" i="32"/>
  <c r="J134" i="32"/>
  <c r="E57" i="21"/>
  <c r="J9" i="32"/>
  <c r="J8" i="32"/>
  <c r="E32" i="31"/>
  <c r="F32" i="31"/>
  <c r="G32" i="31"/>
  <c r="F29" i="31"/>
  <c r="G29" i="31"/>
  <c r="F28" i="31"/>
  <c r="G28" i="31"/>
  <c r="F27" i="31"/>
  <c r="F26" i="31"/>
  <c r="G26" i="31"/>
  <c r="F23" i="31"/>
  <c r="G23" i="31"/>
  <c r="F22" i="31"/>
  <c r="G22" i="31"/>
  <c r="C21" i="31"/>
  <c r="F21" i="31"/>
  <c r="G21" i="31"/>
  <c r="F17" i="31"/>
  <c r="G17" i="31"/>
  <c r="F16" i="31"/>
  <c r="G16" i="31"/>
  <c r="F15" i="31"/>
  <c r="G15" i="31"/>
  <c r="F11" i="31"/>
  <c r="G11" i="31"/>
  <c r="F10" i="31"/>
  <c r="G10" i="31"/>
  <c r="F9" i="31"/>
  <c r="G9" i="31"/>
  <c r="F8" i="31"/>
  <c r="G8" i="31"/>
  <c r="F30" i="31"/>
  <c r="G27" i="31"/>
  <c r="G30" i="31"/>
  <c r="F18" i="31"/>
  <c r="G18" i="31"/>
  <c r="G24" i="31"/>
  <c r="F12" i="31"/>
  <c r="G12" i="31"/>
  <c r="F24" i="31"/>
  <c r="F34" i="31"/>
  <c r="F36" i="31"/>
  <c r="F37" i="31"/>
  <c r="F38" i="31"/>
  <c r="G34" i="31"/>
  <c r="G36" i="31"/>
  <c r="G37" i="31"/>
  <c r="G38" i="31"/>
  <c r="D10" i="33"/>
  <c r="F10" i="33"/>
  <c r="E10" i="33"/>
  <c r="B20" i="13"/>
  <c r="C20" i="13"/>
  <c r="F20" i="23"/>
  <c r="G20" i="23"/>
  <c r="F19" i="23"/>
  <c r="G19" i="23"/>
  <c r="F15" i="23"/>
  <c r="G15" i="23"/>
  <c r="F14" i="23"/>
  <c r="F11" i="23"/>
  <c r="F10" i="23"/>
  <c r="G10" i="23"/>
  <c r="F9" i="23"/>
  <c r="G9" i="23"/>
  <c r="F8" i="23"/>
  <c r="G8" i="23"/>
  <c r="G21" i="23"/>
  <c r="G12" i="23"/>
  <c r="F16" i="23"/>
  <c r="G14" i="23"/>
  <c r="G16" i="23"/>
  <c r="D20" i="13"/>
  <c r="F21" i="23"/>
  <c r="F12" i="23"/>
  <c r="G22" i="23"/>
  <c r="G23" i="23"/>
  <c r="G24" i="23"/>
  <c r="G25" i="23"/>
  <c r="G26" i="23"/>
  <c r="D9" i="33"/>
  <c r="F22" i="23"/>
  <c r="F23" i="23"/>
  <c r="F24" i="23"/>
  <c r="F9" i="33"/>
  <c r="C19" i="13"/>
  <c r="F25" i="23"/>
  <c r="F26" i="23"/>
  <c r="E9" i="33"/>
  <c r="B19" i="13"/>
  <c r="D19" i="13"/>
  <c r="E11" i="30"/>
  <c r="K106" i="24"/>
  <c r="K90" i="24"/>
  <c r="K74" i="24"/>
  <c r="K58" i="24"/>
  <c r="K42" i="24"/>
  <c r="D14" i="33"/>
  <c r="F14" i="33"/>
  <c r="C24" i="13"/>
  <c r="J46" i="24"/>
  <c r="J48" i="24"/>
  <c r="J56" i="24"/>
  <c r="G19" i="24"/>
  <c r="F19" i="24"/>
  <c r="F21" i="24"/>
  <c r="G21" i="24"/>
  <c r="J11" i="24"/>
  <c r="K11" i="24"/>
  <c r="G80" i="24"/>
  <c r="F80" i="24"/>
  <c r="F78" i="24"/>
  <c r="G78" i="24"/>
  <c r="F41" i="24"/>
  <c r="G41" i="24"/>
  <c r="F20" i="24"/>
  <c r="G20" i="24"/>
  <c r="F95" i="24"/>
  <c r="G95" i="24"/>
  <c r="G11" i="24"/>
  <c r="F11" i="24"/>
  <c r="F22" i="24"/>
  <c r="G22" i="24"/>
  <c r="F23" i="24"/>
  <c r="G23" i="24"/>
  <c r="E14" i="33"/>
  <c r="B24" i="13"/>
  <c r="D24" i="13"/>
  <c r="J55" i="24"/>
  <c r="J51" i="24"/>
  <c r="J44" i="24"/>
  <c r="J54" i="24"/>
  <c r="J50" i="24"/>
  <c r="J45" i="24"/>
  <c r="J53" i="24"/>
  <c r="J49" i="24"/>
  <c r="G105" i="24"/>
  <c r="F105" i="24"/>
  <c r="G27" i="24"/>
  <c r="F27" i="24"/>
  <c r="G75" i="24"/>
  <c r="F75" i="24"/>
  <c r="G76" i="24"/>
  <c r="F76" i="24"/>
  <c r="F101" i="24"/>
  <c r="G101" i="24"/>
  <c r="G85" i="24"/>
  <c r="F85" i="24"/>
  <c r="F100" i="24"/>
  <c r="G100" i="24"/>
  <c r="G92" i="24"/>
  <c r="F92" i="24"/>
  <c r="G79" i="24"/>
  <c r="F79" i="24"/>
  <c r="G96" i="24"/>
  <c r="F96" i="24"/>
  <c r="K10" i="24"/>
  <c r="F94" i="24"/>
  <c r="G94" i="24"/>
  <c r="G89" i="24"/>
  <c r="F89" i="24"/>
  <c r="G84" i="24"/>
  <c r="F84" i="24"/>
  <c r="J57" i="24"/>
  <c r="J52" i="24"/>
  <c r="J47" i="24"/>
  <c r="G97" i="24"/>
  <c r="F97" i="24"/>
  <c r="F91" i="24"/>
  <c r="G91" i="24"/>
  <c r="F86" i="24"/>
  <c r="G86" i="24"/>
  <c r="G88" i="24"/>
  <c r="F88" i="24"/>
  <c r="F102" i="24"/>
  <c r="G102" i="24"/>
  <c r="G99" i="24"/>
  <c r="F99" i="24"/>
  <c r="G93" i="24"/>
  <c r="F93" i="24"/>
  <c r="G98" i="24"/>
  <c r="F98" i="24"/>
  <c r="G83" i="24"/>
  <c r="F83" i="24"/>
  <c r="G87" i="24"/>
  <c r="F87" i="24"/>
  <c r="G43" i="24"/>
  <c r="F43" i="24"/>
  <c r="G81" i="24"/>
  <c r="F81" i="24"/>
  <c r="F103" i="24"/>
  <c r="G103" i="24"/>
  <c r="F35" i="24"/>
  <c r="G35" i="24"/>
  <c r="G104" i="24"/>
  <c r="F104" i="24"/>
  <c r="G59" i="24"/>
  <c r="F59" i="24"/>
  <c r="G77" i="24"/>
  <c r="F77" i="24"/>
  <c r="F82" i="24"/>
  <c r="G82" i="24"/>
  <c r="D51" i="21"/>
  <c r="F51" i="21"/>
  <c r="D44" i="21"/>
  <c r="F44" i="21"/>
  <c r="E51" i="21"/>
  <c r="G74" i="24"/>
  <c r="G90" i="24"/>
  <c r="G58" i="24"/>
  <c r="G42" i="24"/>
  <c r="F74" i="24"/>
  <c r="F58" i="24"/>
  <c r="F42" i="24"/>
  <c r="F90" i="24"/>
  <c r="D29" i="21"/>
  <c r="F29" i="21"/>
  <c r="E29" i="21"/>
  <c r="D37" i="21"/>
  <c r="F37" i="21"/>
  <c r="J42" i="24"/>
  <c r="D30" i="21"/>
  <c r="D38" i="21"/>
  <c r="F38" i="21"/>
  <c r="E38" i="21"/>
  <c r="D45" i="21"/>
  <c r="F45" i="21"/>
  <c r="E45" i="21"/>
  <c r="D58" i="21"/>
  <c r="F58" i="21"/>
  <c r="D52" i="21"/>
  <c r="F52" i="21"/>
  <c r="E52" i="21"/>
  <c r="K26" i="24"/>
  <c r="K9" i="24"/>
  <c r="D41" i="21"/>
  <c r="E44" i="21"/>
  <c r="E41" i="21"/>
  <c r="B15" i="13"/>
  <c r="F41" i="21"/>
  <c r="C15" i="13"/>
  <c r="E37" i="21"/>
  <c r="E34" i="21"/>
  <c r="B14" i="13"/>
  <c r="F34" i="21"/>
  <c r="E58" i="21"/>
  <c r="F48" i="21"/>
  <c r="C16" i="13"/>
  <c r="G106" i="24"/>
  <c r="F106" i="24"/>
  <c r="J74" i="24"/>
  <c r="J90" i="24"/>
  <c r="J58" i="24"/>
  <c r="E48" i="21"/>
  <c r="B16" i="13"/>
  <c r="D34" i="21"/>
  <c r="D48" i="21"/>
  <c r="D59" i="21"/>
  <c r="F59" i="21"/>
  <c r="E59" i="21"/>
  <c r="F55" i="21"/>
  <c r="C17" i="13"/>
  <c r="C14" i="13"/>
  <c r="J106" i="24"/>
  <c r="D55" i="21"/>
  <c r="D33" i="21"/>
  <c r="E55" i="21"/>
  <c r="F33" i="21"/>
  <c r="C13" i="13"/>
  <c r="E33" i="21"/>
  <c r="B17" i="13"/>
  <c r="B13" i="13"/>
  <c r="D13" i="13"/>
  <c r="G23" i="10"/>
  <c r="G28" i="10"/>
  <c r="I28" i="10"/>
  <c r="G27" i="10"/>
  <c r="I27" i="10"/>
  <c r="G26" i="10"/>
  <c r="I26" i="10"/>
  <c r="G25" i="10"/>
  <c r="I25" i="10"/>
  <c r="G24" i="10"/>
  <c r="I24" i="10"/>
  <c r="G21" i="10"/>
  <c r="I21" i="10"/>
  <c r="G20" i="10"/>
  <c r="I20" i="10"/>
  <c r="G19" i="10"/>
  <c r="I19" i="10"/>
  <c r="G18" i="10"/>
  <c r="I18" i="10"/>
  <c r="G17" i="10"/>
  <c r="I17" i="10"/>
  <c r="G16" i="10"/>
  <c r="I16" i="10"/>
  <c r="G15" i="10"/>
  <c r="I15" i="10"/>
  <c r="G14" i="10"/>
  <c r="I14" i="10"/>
  <c r="G13" i="10"/>
  <c r="I13" i="10"/>
  <c r="G12" i="10"/>
  <c r="I12" i="10"/>
  <c r="G11" i="10"/>
  <c r="I11" i="10"/>
  <c r="G16" i="4"/>
  <c r="D7" i="34"/>
  <c r="E7" i="34"/>
  <c r="D5" i="34"/>
  <c r="C13" i="34"/>
  <c r="G18" i="24"/>
  <c r="F18" i="24"/>
  <c r="F24" i="24"/>
  <c r="G24" i="24"/>
  <c r="D13" i="34"/>
  <c r="E5" i="34"/>
  <c r="E13" i="34"/>
  <c r="K8" i="24"/>
  <c r="F40" i="24"/>
  <c r="G40" i="24"/>
  <c r="F37" i="24"/>
  <c r="G37" i="24"/>
  <c r="F28" i="24"/>
  <c r="G28" i="24"/>
  <c r="F29" i="24"/>
  <c r="G29" i="24"/>
  <c r="F16" i="24"/>
  <c r="G16" i="24"/>
  <c r="F12" i="24"/>
  <c r="F13" i="24"/>
  <c r="F14" i="24"/>
  <c r="F15" i="24"/>
  <c r="F17" i="24"/>
  <c r="F10" i="24"/>
  <c r="G12" i="24"/>
  <c r="G14" i="24"/>
  <c r="F31" i="24"/>
  <c r="G31" i="24"/>
  <c r="G30" i="24"/>
  <c r="F30" i="24"/>
  <c r="F36" i="24"/>
  <c r="G36" i="24"/>
  <c r="G17" i="24"/>
  <c r="G15" i="24"/>
  <c r="F32" i="24"/>
  <c r="G32" i="24"/>
  <c r="F33" i="24"/>
  <c r="G33" i="24"/>
  <c r="G38" i="24"/>
  <c r="F38" i="24"/>
  <c r="G13" i="24"/>
  <c r="E14" i="34"/>
  <c r="E15" i="34"/>
  <c r="D11" i="33"/>
  <c r="J10" i="24"/>
  <c r="F11" i="33"/>
  <c r="E11" i="33"/>
  <c r="C21" i="13"/>
  <c r="C18" i="13"/>
  <c r="F39" i="24"/>
  <c r="G39" i="24"/>
  <c r="G34" i="24"/>
  <c r="F34" i="24"/>
  <c r="G10" i="24"/>
  <c r="D8" i="33"/>
  <c r="D13" i="21"/>
  <c r="D14" i="21"/>
  <c r="F8" i="33"/>
  <c r="D21" i="21"/>
  <c r="F21" i="21"/>
  <c r="E21" i="21"/>
  <c r="D20" i="21"/>
  <c r="F20" i="21"/>
  <c r="E20" i="21"/>
  <c r="F14" i="21"/>
  <c r="E14" i="21"/>
  <c r="F13" i="21"/>
  <c r="E13" i="21"/>
  <c r="G26" i="24"/>
  <c r="G9" i="24"/>
  <c r="G8" i="24"/>
  <c r="E8" i="33"/>
  <c r="B21" i="13"/>
  <c r="F26" i="24"/>
  <c r="F9" i="24"/>
  <c r="J26" i="24"/>
  <c r="J9" i="24"/>
  <c r="B18" i="13"/>
  <c r="D21" i="13"/>
  <c r="J8" i="24"/>
  <c r="F8" i="24"/>
  <c r="E30" i="21"/>
  <c r="F19" i="21"/>
  <c r="E19" i="21"/>
  <c r="E28" i="21"/>
  <c r="F12" i="21"/>
  <c r="E12" i="21"/>
  <c r="D17" i="13"/>
  <c r="G27" i="4"/>
  <c r="F27" i="4"/>
  <c r="G26" i="4"/>
  <c r="F26" i="4"/>
  <c r="E20" i="4"/>
  <c r="G20" i="4"/>
  <c r="E18" i="4"/>
  <c r="G18" i="4"/>
  <c r="E15" i="4"/>
  <c r="E12" i="4"/>
  <c r="G12" i="4"/>
  <c r="E11" i="4"/>
  <c r="E19" i="4"/>
  <c r="G19" i="4"/>
  <c r="M28" i="10"/>
  <c r="N28" i="10"/>
  <c r="P28" i="10"/>
  <c r="M27" i="10"/>
  <c r="N27" i="10"/>
  <c r="P27" i="10"/>
  <c r="M26" i="10"/>
  <c r="N26" i="10"/>
  <c r="P26" i="10"/>
  <c r="M25" i="10"/>
  <c r="N25" i="10"/>
  <c r="P25" i="10"/>
  <c r="M24" i="10"/>
  <c r="N24" i="10"/>
  <c r="P24" i="10"/>
  <c r="N23" i="10"/>
  <c r="M21" i="10"/>
  <c r="N21" i="10"/>
  <c r="M20" i="10"/>
  <c r="N20" i="10"/>
  <c r="M19" i="10"/>
  <c r="N19" i="10"/>
  <c r="M18" i="10"/>
  <c r="N18" i="10"/>
  <c r="M17" i="10"/>
  <c r="N17" i="10"/>
  <c r="P17" i="10"/>
  <c r="M16" i="10"/>
  <c r="N16" i="10"/>
  <c r="M15" i="10"/>
  <c r="N15" i="10"/>
  <c r="P15" i="10"/>
  <c r="M14" i="10"/>
  <c r="N14" i="10"/>
  <c r="P14" i="10"/>
  <c r="M13" i="10"/>
  <c r="N13" i="10"/>
  <c r="P13" i="10"/>
  <c r="M12" i="10"/>
  <c r="M11" i="10"/>
  <c r="N11" i="10"/>
  <c r="P16" i="10"/>
  <c r="O16" i="10"/>
  <c r="O20" i="10"/>
  <c r="P20" i="10"/>
  <c r="O18" i="10"/>
  <c r="P18" i="10"/>
  <c r="P11" i="10"/>
  <c r="O11" i="10"/>
  <c r="P19" i="10"/>
  <c r="O19" i="10"/>
  <c r="P21" i="10"/>
  <c r="O21" i="10"/>
  <c r="G17" i="4"/>
  <c r="E17" i="4"/>
  <c r="E13" i="4"/>
  <c r="F10" i="4"/>
  <c r="E10" i="4"/>
  <c r="M10" i="10"/>
  <c r="N12" i="10"/>
  <c r="O12" i="10"/>
  <c r="P12" i="10"/>
  <c r="P23" i="10"/>
  <c r="P10" i="10"/>
  <c r="G15" i="4"/>
  <c r="G13" i="4"/>
  <c r="F13" i="4"/>
  <c r="G11" i="4"/>
  <c r="G10" i="4"/>
  <c r="N10" i="10"/>
  <c r="E9" i="4"/>
  <c r="O10" i="10"/>
  <c r="G9" i="4"/>
  <c r="F9" i="4"/>
  <c r="D26" i="21"/>
  <c r="F18" i="21"/>
  <c r="E18" i="21"/>
  <c r="E17" i="21"/>
  <c r="B10" i="13"/>
  <c r="D17" i="21"/>
  <c r="F17" i="21"/>
  <c r="C10" i="13"/>
  <c r="D10" i="13"/>
  <c r="F26" i="21"/>
  <c r="C12" i="13"/>
  <c r="E26" i="21"/>
  <c r="B12" i="13"/>
  <c r="D12" i="13"/>
  <c r="D14" i="13"/>
  <c r="E8" i="4"/>
  <c r="E21" i="4"/>
  <c r="F8" i="4"/>
  <c r="F21" i="4"/>
  <c r="B26" i="13"/>
  <c r="G8" i="4"/>
  <c r="G21" i="4"/>
  <c r="C26" i="13"/>
  <c r="D26" i="13"/>
  <c r="D15" i="13"/>
  <c r="D16" i="13"/>
  <c r="D18" i="13"/>
  <c r="F11" i="21"/>
  <c r="F10" i="21"/>
  <c r="C9" i="13"/>
  <c r="D10" i="21"/>
  <c r="D9" i="21"/>
  <c r="D8" i="21"/>
  <c r="F9" i="21"/>
  <c r="F8" i="21"/>
  <c r="E11" i="21"/>
  <c r="E10" i="21"/>
  <c r="B9" i="13"/>
  <c r="E9" i="21"/>
  <c r="E8" i="21"/>
  <c r="B8" i="13"/>
  <c r="B7" i="13"/>
  <c r="C8" i="13"/>
  <c r="C7" i="13"/>
  <c r="D9" i="13"/>
  <c r="D8" i="13"/>
  <c r="D7" i="13"/>
  <c r="E28" i="4"/>
  <c r="F28" i="4"/>
  <c r="B27" i="13"/>
  <c r="B28" i="13"/>
  <c r="G25" i="4"/>
  <c r="G28" i="4"/>
  <c r="C27" i="13"/>
  <c r="D27" i="13"/>
  <c r="D28" i="13"/>
  <c r="C28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Pedro</author>
  </authors>
  <commentList>
    <comment ref="F16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Pedro:</t>
        </r>
        <r>
          <rPr>
            <sz val="9"/>
            <color indexed="81"/>
            <rFont val="Tahoma"/>
            <family val="2"/>
          </rPr>
          <t xml:space="preserve">
se añadio mas especialistas</t>
        </r>
      </text>
    </comment>
  </commentList>
</comments>
</file>

<file path=xl/sharedStrings.xml><?xml version="1.0" encoding="utf-8"?>
<sst xmlns="http://schemas.openxmlformats.org/spreadsheetml/2006/main" count="2113" uniqueCount="734">
  <si>
    <t>Programa Integral de Agua y Saneamiento Rural (PIASAR I)</t>
  </si>
  <si>
    <t>PE-L 1226</t>
  </si>
  <si>
    <t>Cuadro de Desembolso (US$)</t>
  </si>
  <si>
    <t>COMPONENTES</t>
  </si>
  <si>
    <t>BID</t>
  </si>
  <si>
    <t>PNSR</t>
  </si>
  <si>
    <t>TOTAL</t>
  </si>
  <si>
    <t>Componente 1. Proyectos de Agua y Saneamiento</t>
  </si>
  <si>
    <t>Estudios y Obras</t>
  </si>
  <si>
    <t>Obras de Agua Potable y Saneamiento</t>
  </si>
  <si>
    <t>Supervisión</t>
  </si>
  <si>
    <t>Estudios Definitivos</t>
  </si>
  <si>
    <t>Monitoreo Arqueológico</t>
  </si>
  <si>
    <t>Gestión Social y del Servicio</t>
  </si>
  <si>
    <t>Implementación de educación sanitaria y ambiental a población beneficiaria</t>
  </si>
  <si>
    <t>Regularización, capacitación a JASS e Institucionalización de las ATM y capacitación.</t>
  </si>
  <si>
    <t>Conformacion y capacitación de Nucleros Ejecutores</t>
  </si>
  <si>
    <t>Supervisión de la Intervención Social y gestión del servicio</t>
  </si>
  <si>
    <t>Componente 2. Gestión de la sostenibilidad de los servicios y fortalecimiento de las entidades del sector</t>
  </si>
  <si>
    <t>Fortalecimiento de Competencias y equipamiento a los Gobiernos Regionales</t>
  </si>
  <si>
    <t>Fortalecimiento de Competencias y equipamiento a los Gobiernos Locales</t>
  </si>
  <si>
    <t>Equipamiento para las JASS</t>
  </si>
  <si>
    <t>Supervisión y Seguimiento de la gestión de sostenibilidad</t>
  </si>
  <si>
    <t>Plan de Comunicaciones y Difusión</t>
  </si>
  <si>
    <t>Fortalecimiento de competencias del PNSR</t>
  </si>
  <si>
    <t xml:space="preserve">Operación asistida </t>
  </si>
  <si>
    <t>Administración del Programa</t>
  </si>
  <si>
    <t>Evaluación y Auditoria</t>
  </si>
  <si>
    <t>COMPONENTE 1 / PROGRAMA PE-L 1226 - BID</t>
  </si>
  <si>
    <t>Soles/US$=</t>
  </si>
  <si>
    <t>Unidad</t>
  </si>
  <si>
    <t>Total
(USD)</t>
  </si>
  <si>
    <t>Fuente</t>
  </si>
  <si>
    <t>Componente 1 - Proyectos de agua y sanemiento</t>
  </si>
  <si>
    <t>1.1.1</t>
  </si>
  <si>
    <t>Obras de 100 proyectos de Agua Potable y Saneamiento</t>
  </si>
  <si>
    <t>1.1.1.1</t>
  </si>
  <si>
    <t>30 proyectos de Agua Potable vía Contrata (muestra)</t>
  </si>
  <si>
    <t>Suma alzada</t>
  </si>
  <si>
    <t>1.1.1.2</t>
  </si>
  <si>
    <t>30 proyectos de Saneamiento vía Contrata (muestra)</t>
  </si>
  <si>
    <t>1.1.1.3</t>
  </si>
  <si>
    <t>15 proyectos de Agua Potable vía Núcleo Ejecutor (muestra)</t>
  </si>
  <si>
    <t>1.1.1.4</t>
  </si>
  <si>
    <t>15 proyectos de Saneamiento vía Núcleo Ejecutor (muestra)</t>
  </si>
  <si>
    <t>1.1.1.5</t>
  </si>
  <si>
    <t>55 proyectos de Agua Potable</t>
  </si>
  <si>
    <t>1.1.1.6</t>
  </si>
  <si>
    <t xml:space="preserve">55 proyectos de Saneamiento </t>
  </si>
  <si>
    <t>1.1.2</t>
  </si>
  <si>
    <t>Supervisión de 100 proyectos de Agua Potable y Saneamiento</t>
  </si>
  <si>
    <t>1.1.2.1</t>
  </si>
  <si>
    <t>1.1.2.2</t>
  </si>
  <si>
    <t>1.1.2.3</t>
  </si>
  <si>
    <t>1.1.2.4</t>
  </si>
  <si>
    <t>1.1.2.5</t>
  </si>
  <si>
    <t>1.1.2.6</t>
  </si>
  <si>
    <t>1.1.3</t>
  </si>
  <si>
    <t>1.1.3.1</t>
  </si>
  <si>
    <t>1.1.4</t>
  </si>
  <si>
    <t>Monitoreo Arqueológico de 100 proyectos de Agua Potable y Saneamiento</t>
  </si>
  <si>
    <t>1.1.4.1</t>
  </si>
  <si>
    <t>1.1.4.2</t>
  </si>
  <si>
    <t>1.1.4.3</t>
  </si>
  <si>
    <t>1.1.4.4</t>
  </si>
  <si>
    <t>1.1.4.5</t>
  </si>
  <si>
    <t>1.1.4.6</t>
  </si>
  <si>
    <t>1.2.1</t>
  </si>
  <si>
    <t>Educación Sanitaria</t>
  </si>
  <si>
    <t>1.2.1.1</t>
  </si>
  <si>
    <t>1.2.1.2</t>
  </si>
  <si>
    <t>1.2.1.3</t>
  </si>
  <si>
    <t>1.2.1.4</t>
  </si>
  <si>
    <t>1.2.1.5</t>
  </si>
  <si>
    <t>1.2.1.6</t>
  </si>
  <si>
    <t>1.2.2</t>
  </si>
  <si>
    <t xml:space="preserve">Capacitación a JASS y ATM </t>
  </si>
  <si>
    <t>1.2.2.1</t>
  </si>
  <si>
    <t>1.2.2.2</t>
  </si>
  <si>
    <t>1.2.2.3</t>
  </si>
  <si>
    <t>1.2.2.4</t>
  </si>
  <si>
    <t>1.2.2.5</t>
  </si>
  <si>
    <t>1.2.2.6</t>
  </si>
  <si>
    <t>1.2.3</t>
  </si>
  <si>
    <t>Conformación y capacitación de Nucleos Ejecutores</t>
  </si>
  <si>
    <t>1.2.3.1</t>
  </si>
  <si>
    <t>1.2.3.2</t>
  </si>
  <si>
    <t>1.2.3.3</t>
  </si>
  <si>
    <t>1.2.3.4</t>
  </si>
  <si>
    <t>1.2.3.5</t>
  </si>
  <si>
    <t>1.2.3.6</t>
  </si>
  <si>
    <t>1.2.4</t>
  </si>
  <si>
    <t xml:space="preserve">Supervisión de la Gestión Social </t>
  </si>
  <si>
    <t>1.2.4.1</t>
  </si>
  <si>
    <t>1.2.4.2</t>
  </si>
  <si>
    <t>1.2.4.3</t>
  </si>
  <si>
    <t>1.2.4.4</t>
  </si>
  <si>
    <t>1.2.4.5</t>
  </si>
  <si>
    <t>1.2.4.6</t>
  </si>
  <si>
    <t>COMPONENTE 2 / PROGRAMA PE-L 1226 - BID</t>
  </si>
  <si>
    <t>Componente 2 - Gestión de la sostenibilidad de los servicios y fortalecimiento de las entidades del sector</t>
  </si>
  <si>
    <t>COMPONENTES / PROGRAMA PE-L 1226 - Contrata (US$)</t>
  </si>
  <si>
    <t>Costo Agua Potable</t>
  </si>
  <si>
    <t>Costo Saneamiento</t>
  </si>
  <si>
    <t>Soles</t>
  </si>
  <si>
    <t>US$</t>
  </si>
  <si>
    <t>Componente 1 - Obras de Agua Potable y Saneamiento</t>
  </si>
  <si>
    <t>MUESTRA de 30 Proyectos por Contrata</t>
  </si>
  <si>
    <t>Obras - Contrata</t>
  </si>
  <si>
    <t>Cadmalca Alto, Cajamarca</t>
  </si>
  <si>
    <t>Lanchepata, Cajamarca</t>
  </si>
  <si>
    <t>Cadmalca Bajo, Cajamarca</t>
  </si>
  <si>
    <t>Alto Cañafisto, Cajamarca</t>
  </si>
  <si>
    <t>Santa Rosa del  Tingo, Cajamarca</t>
  </si>
  <si>
    <t>Palma Conchud. Cajamarca</t>
  </si>
  <si>
    <t>1.1.1.7</t>
  </si>
  <si>
    <t>Buenos Aires, Cajamarca</t>
  </si>
  <si>
    <t>1.1.1.8</t>
  </si>
  <si>
    <t>San Pablo, Cajamarca</t>
  </si>
  <si>
    <t>1.1.1.9</t>
  </si>
  <si>
    <t>San Juan Pampa, Cajamarca</t>
  </si>
  <si>
    <t>1.1.1.10</t>
  </si>
  <si>
    <t>Bajo Chalamarca, Cajamarca</t>
  </si>
  <si>
    <t>1.1.1.20</t>
  </si>
  <si>
    <t>San Martin, Cajamarca</t>
  </si>
  <si>
    <t>1.1.1.11</t>
  </si>
  <si>
    <t>Shevoja, Junin</t>
  </si>
  <si>
    <t>1.1.1.12</t>
  </si>
  <si>
    <t>San Martin de Pajonal, Piura</t>
  </si>
  <si>
    <t>1.1.1.13</t>
  </si>
  <si>
    <t>Sucha, Piura</t>
  </si>
  <si>
    <t>1.1.1.14</t>
  </si>
  <si>
    <t>Monte Grande Alto, Piura</t>
  </si>
  <si>
    <t>1.1.1.15</t>
  </si>
  <si>
    <t>Trigal, Piura</t>
  </si>
  <si>
    <t>1.1.1.16</t>
  </si>
  <si>
    <t>Sahuatirca, Piura</t>
  </si>
  <si>
    <t>1.1.1.17</t>
  </si>
  <si>
    <t>Pirga, Piura</t>
  </si>
  <si>
    <t>1.1.1.18</t>
  </si>
  <si>
    <t>Tierra Negra, Piura</t>
  </si>
  <si>
    <t>1.1.1.19</t>
  </si>
  <si>
    <t>Cruz de  Piedra, Piura</t>
  </si>
  <si>
    <t>1.1.1.21</t>
  </si>
  <si>
    <t>Tupac Amaru II. Puno</t>
  </si>
  <si>
    <t>1.1.1.22</t>
  </si>
  <si>
    <t>Nuevo Horizonte,  San Martin</t>
  </si>
  <si>
    <t>1.1.1.23</t>
  </si>
  <si>
    <t>Vista Alegre, San Martin</t>
  </si>
  <si>
    <t>1.1.1.24</t>
  </si>
  <si>
    <t>Alto Cutervo, San Martin</t>
  </si>
  <si>
    <t>1.1.1.25</t>
  </si>
  <si>
    <t>Caserío Las Américas, Uyacali</t>
  </si>
  <si>
    <t>1.1.1.26</t>
  </si>
  <si>
    <t>Caserío Tierra Buena, Uyacali</t>
  </si>
  <si>
    <t>1.1.1.27</t>
  </si>
  <si>
    <t>Caserío Virgen del Carmen, Uyacali</t>
  </si>
  <si>
    <t>1.1.1.28</t>
  </si>
  <si>
    <t>Centro Poblado Esperanza, Uyacali</t>
  </si>
  <si>
    <t>1.1.1.29</t>
  </si>
  <si>
    <t>Santa Isabel de Bahuanisho, Uyacali</t>
  </si>
  <si>
    <t>1.1.1.30</t>
  </si>
  <si>
    <t>Nueva Esperanza de Panaillo. Uyacali</t>
  </si>
  <si>
    <t>Supervisión de Obras - Contrata</t>
  </si>
  <si>
    <t>1.1.2.7</t>
  </si>
  <si>
    <t>1.1.2.8</t>
  </si>
  <si>
    <t>1.1.2.9</t>
  </si>
  <si>
    <t>1.1.2.10</t>
  </si>
  <si>
    <t>1.1.2.20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</si>
  <si>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</si>
  <si>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</si>
  <si>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</si>
  <si>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</si>
  <si>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</si>
  <si>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</si>
  <si>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</si>
  <si>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</si>
  <si>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1.1.2.19</t>
  </si>
  <si>
    <t>1.1.2.21</t>
  </si>
  <si>
    <t>1.1.2.22</t>
  </si>
  <si>
    <t>1.1.2.23</t>
  </si>
  <si>
    <t>1.1.2.24</t>
  </si>
  <si>
    <t>1.1.2.25</t>
  </si>
  <si>
    <t>1.1.2.26</t>
  </si>
  <si>
    <t>1.1.2.27</t>
  </si>
  <si>
    <t>1.1.2.28</t>
  </si>
  <si>
    <t>1.1.2.29</t>
  </si>
  <si>
    <t>1.1.2.30</t>
  </si>
  <si>
    <t>Monitoreo Arquelógico - Contrata</t>
  </si>
  <si>
    <t>1.1.3.2</t>
  </si>
  <si>
    <t>1.1.3.3</t>
  </si>
  <si>
    <t>1.1.3.4</t>
  </si>
  <si>
    <t>1.1.3.5</t>
  </si>
  <si>
    <t>1.1.3.6</t>
  </si>
  <si>
    <t>1.1.3.7</t>
  </si>
  <si>
    <t>1.1.3.8</t>
  </si>
  <si>
    <t>1.1.3.9</t>
  </si>
  <si>
    <t>1.1.3.10</t>
  </si>
  <si>
    <t>1.1.3.20</t>
  </si>
  <si>
    <t>1.1.3.11</t>
  </si>
  <si>
    <t>1.1.3.12</t>
  </si>
  <si>
    <t>1.1.3.13</t>
  </si>
  <si>
    <t>1.1.3.14</t>
  </si>
  <si>
    <t>1.1.3.15</t>
  </si>
  <si>
    <t>1.1.3.16</t>
  </si>
  <si>
    <t>1.1.3.17</t>
  </si>
  <si>
    <t>1.1.3.18</t>
  </si>
  <si>
    <t>1.1.3.19</t>
  </si>
  <si>
    <t>1.1.3.21</t>
  </si>
  <si>
    <t>1.1.3.22</t>
  </si>
  <si>
    <t>1.1.3.23</t>
  </si>
  <si>
    <t>1.1.3.24</t>
  </si>
  <si>
    <t>1.1.3.25</t>
  </si>
  <si>
    <t>1.1.3.26</t>
  </si>
  <si>
    <t>1.1.3.27</t>
  </si>
  <si>
    <t>1.1.3.28</t>
  </si>
  <si>
    <t>1.1.3.29</t>
  </si>
  <si>
    <t>1.1.3.30</t>
  </si>
  <si>
    <t>Educación Sanitaria - Contrata</t>
  </si>
  <si>
    <t>1.1.4.7</t>
  </si>
  <si>
    <t>1.1.4.8</t>
  </si>
  <si>
    <t>1.1.4.9</t>
  </si>
  <si>
    <t>1.1.4.10</t>
  </si>
  <si>
    <t>1.1.4.20</t>
  </si>
  <si>
    <t>1.1.4.11</t>
  </si>
  <si>
    <t>1.1.4.12</t>
  </si>
  <si>
    <t>1.1.4.13</t>
  </si>
  <si>
    <t>1.1.4.14</t>
  </si>
  <si>
    <t>1.1.4.15</t>
  </si>
  <si>
    <t>1.1.4.16</t>
  </si>
  <si>
    <t>1.1.4.17</t>
  </si>
  <si>
    <t>1.1.4.18</t>
  </si>
  <si>
    <t>1.1.4.19</t>
  </si>
  <si>
    <t>1.1.4.21</t>
  </si>
  <si>
    <t>1.1.4.22</t>
  </si>
  <si>
    <t>1.1.4.23</t>
  </si>
  <si>
    <t>1.1.4.24</t>
  </si>
  <si>
    <t>1.1.4.25</t>
  </si>
  <si>
    <t>1.1.4.26</t>
  </si>
  <si>
    <t>1.1.4.27</t>
  </si>
  <si>
    <t>1.1.4.28</t>
  </si>
  <si>
    <t>1.1.4.29</t>
  </si>
  <si>
    <t>1.1.4.30</t>
  </si>
  <si>
    <t>1.1.5</t>
  </si>
  <si>
    <t>Capacitación a JASS y ATM - Contrata</t>
  </si>
  <si>
    <t>1.1.5.1</t>
  </si>
  <si>
    <t>1.1.5.2</t>
  </si>
  <si>
    <t>1.1.5.3</t>
  </si>
  <si>
    <t>1.1.5.4</t>
  </si>
  <si>
    <t>1.1.5.5</t>
  </si>
  <si>
    <t>1.1.5.6</t>
  </si>
  <si>
    <t>1.1.5.7</t>
  </si>
  <si>
    <t>1.1.5.8</t>
  </si>
  <si>
    <t>1.1.5.9</t>
  </si>
  <si>
    <t>1.1.5.10</t>
  </si>
  <si>
    <t>1.1.5.20</t>
  </si>
  <si>
    <t>1.1.5.11</t>
  </si>
  <si>
    <t>1.1.5.12</t>
  </si>
  <si>
    <t>1.1.5.13</t>
  </si>
  <si>
    <t>1.1.5.14</t>
  </si>
  <si>
    <t>1.1.5.15</t>
  </si>
  <si>
    <t>1.1.5.16</t>
  </si>
  <si>
    <t>1.1.5.17</t>
  </si>
  <si>
    <t>1.1.5.18</t>
  </si>
  <si>
    <t>1.1.5.19</t>
  </si>
  <si>
    <t>1.1.5.21</t>
  </si>
  <si>
    <t>1.1.5.22</t>
  </si>
  <si>
    <t>1.1.5.23</t>
  </si>
  <si>
    <t>1.1.5.24</t>
  </si>
  <si>
    <t>1.1.5.25</t>
  </si>
  <si>
    <t>1.1.5.26</t>
  </si>
  <si>
    <t>1.1.5.27</t>
  </si>
  <si>
    <t>1.1.5.28</t>
  </si>
  <si>
    <t>1.1.5.29</t>
  </si>
  <si>
    <t>1.1.5.30</t>
  </si>
  <si>
    <t>1.1.6</t>
  </si>
  <si>
    <t>Supervisión de la Gestión Social - Contrata</t>
  </si>
  <si>
    <t>1.1.6.1</t>
  </si>
  <si>
    <t>1.1.6.2</t>
  </si>
  <si>
    <t>1.1.6.3</t>
  </si>
  <si>
    <t>1.1.6.4</t>
  </si>
  <si>
    <t>1.1.6.5</t>
  </si>
  <si>
    <t>1.1.6.6</t>
  </si>
  <si>
    <t>1.1.6.7</t>
  </si>
  <si>
    <t>1.1.6.8</t>
  </si>
  <si>
    <t>1.1.6.9</t>
  </si>
  <si>
    <t>1.1.6.10</t>
  </si>
  <si>
    <t>1.1.6.20</t>
  </si>
  <si>
    <t>1.1.6.11</t>
  </si>
  <si>
    <t>1.1.6.12</t>
  </si>
  <si>
    <t>1.1.6.13</t>
  </si>
  <si>
    <t>1.1.6.14</t>
  </si>
  <si>
    <t>1.1.6.15</t>
  </si>
  <si>
    <t>1.1.6.16</t>
  </si>
  <si>
    <t>1.1.6.17</t>
  </si>
  <si>
    <t>1.1.6.18</t>
  </si>
  <si>
    <t>1.1.6.19</t>
  </si>
  <si>
    <t>1.1.6.21</t>
  </si>
  <si>
    <t>1.1.6.22</t>
  </si>
  <si>
    <t>1.1.6.23</t>
  </si>
  <si>
    <t>1.1.6.24</t>
  </si>
  <si>
    <t>1.1.6.25</t>
  </si>
  <si>
    <t>1.1.6.26</t>
  </si>
  <si>
    <t>1.1.6.27</t>
  </si>
  <si>
    <t>1.1.6.28</t>
  </si>
  <si>
    <t>1.1.6.29</t>
  </si>
  <si>
    <t>1.1.6.30</t>
  </si>
  <si>
    <t>COMPONENTES / PROGRAMA PE-L 1226 - Núcleo Ejecutores (US$)</t>
  </si>
  <si>
    <t>MUESTRA de 18 Proyectos de Agua Potable y Saneamiento por Núcleo Ejecutor</t>
  </si>
  <si>
    <t>Obras  - Núcleo Ejecutor</t>
  </si>
  <si>
    <t>El Triunfo, Amazonas</t>
  </si>
  <si>
    <t>Selva Verde, Amazonas</t>
  </si>
  <si>
    <t>Peña Blanca, Amazonas</t>
  </si>
  <si>
    <t>El Convento, Cajamarca</t>
  </si>
  <si>
    <t>Suro Antivo, Cajamarca</t>
  </si>
  <si>
    <t>Shumaya, Cajamarca</t>
  </si>
  <si>
    <t>San Sebastian, Junin</t>
  </si>
  <si>
    <t>Santa Martha, Junin</t>
  </si>
  <si>
    <t>Campa Pauriali, Junin</t>
  </si>
  <si>
    <t>Alto Huahuari, Junin</t>
  </si>
  <si>
    <t>San Jose de Pauriali, Junin</t>
  </si>
  <si>
    <t>Urcopata, San Martin</t>
  </si>
  <si>
    <t>Machungo, San Martin</t>
  </si>
  <si>
    <t>Pampas Verdes, Ucayaly</t>
  </si>
  <si>
    <t>San Pedro de Lagarto, Ucayaly</t>
  </si>
  <si>
    <t>Supervisión de Obras - Núcleo Ejecutor</t>
  </si>
  <si>
    <t>Monitoreo Arquelógico - Nucleo Ejecutor</t>
  </si>
  <si>
    <t>Educación Sanitaria - Nucleo Ejecutor</t>
  </si>
  <si>
    <t>Capacitación a JASS y ATM</t>
  </si>
  <si>
    <t>1.1.7</t>
  </si>
  <si>
    <t>Gestión Nucleo Ejecutores</t>
  </si>
  <si>
    <t>1.1.71.1</t>
  </si>
  <si>
    <t>1.1.71.2</t>
  </si>
  <si>
    <t>1.1.71.3</t>
  </si>
  <si>
    <t>1.1.71.4</t>
  </si>
  <si>
    <t>1.1.71.5</t>
  </si>
  <si>
    <t>1.1.71.6</t>
  </si>
  <si>
    <t>1.1.71.7</t>
  </si>
  <si>
    <t>1.1.71.8</t>
  </si>
  <si>
    <t>1.1.71.9</t>
  </si>
  <si>
    <t>1.1.71.10</t>
  </si>
  <si>
    <t>1.1.71.11</t>
  </si>
  <si>
    <t>1.1.71.12</t>
  </si>
  <si>
    <t>1.1.71.13</t>
  </si>
  <si>
    <t>1.1.71.14</t>
  </si>
  <si>
    <t>1.1.71.15</t>
  </si>
  <si>
    <t>Supervisión de la Gestión Social - Nucleo Ejecutores</t>
  </si>
  <si>
    <t>ADMINISTRACION - UGP PIASAR / PROGRAMA PE-L 1226 - BID</t>
  </si>
  <si>
    <t>ADMINISTRACIÓN</t>
  </si>
  <si>
    <t>Costo Unitario (US$)</t>
  </si>
  <si>
    <t>N° Unidades</t>
  </si>
  <si>
    <t>Recursos Humanos</t>
  </si>
  <si>
    <t xml:space="preserve">Recursos Humanos </t>
  </si>
  <si>
    <t>Bienes</t>
  </si>
  <si>
    <t>Equipamiento de oficina</t>
  </si>
  <si>
    <t>Equipamiento informatico</t>
  </si>
  <si>
    <t>Gastos Operativos</t>
  </si>
  <si>
    <t>Alquiler de oficina</t>
  </si>
  <si>
    <t>US$/mes</t>
  </si>
  <si>
    <t>Suministros</t>
  </si>
  <si>
    <t>Viaticos</t>
  </si>
  <si>
    <t>Servicios Básicos</t>
  </si>
  <si>
    <t xml:space="preserve"> Luz, agua, internet, telefono fijo y movil, cable</t>
  </si>
  <si>
    <t>Limpieza</t>
  </si>
  <si>
    <t>Vigilancia</t>
  </si>
  <si>
    <t>Total Administración del Prrograma</t>
  </si>
  <si>
    <t>AUDITORIA, MONITOREO Y EVALUACION</t>
  </si>
  <si>
    <t>Costo Unitario</t>
  </si>
  <si>
    <t>Financiamiento</t>
  </si>
  <si>
    <t>Auditorias administrativas/financieras</t>
  </si>
  <si>
    <t>US$/año</t>
  </si>
  <si>
    <t>Evaluación Intermedia del Programa</t>
  </si>
  <si>
    <t>Evaluación Final del Programa (inlcuye Expost)</t>
  </si>
  <si>
    <t>Total Auditoria, Monitoreo y Evaluación</t>
  </si>
  <si>
    <t>Planilla Honorarios PNSR</t>
  </si>
  <si>
    <t>Planilla Honorarios PIASAR</t>
  </si>
  <si>
    <t>Costo Unitario (Soles)</t>
  </si>
  <si>
    <t>BONIFICACIONES</t>
  </si>
  <si>
    <t>HONORARIO TOTAL</t>
  </si>
  <si>
    <t>Difenrencia
PNSR/PIASAR</t>
  </si>
  <si>
    <t>Duración</t>
  </si>
  <si>
    <t>Total
(Soles)</t>
  </si>
  <si>
    <t>AGUINALDOS (JUL - DIC)</t>
  </si>
  <si>
    <t>ESSALUD (2017)</t>
  </si>
  <si>
    <t>Meses</t>
  </si>
  <si>
    <t>Años</t>
  </si>
  <si>
    <t>MINAM</t>
  </si>
  <si>
    <t>Coordinador UGP PIASAR</t>
  </si>
  <si>
    <t>Soles/mes</t>
  </si>
  <si>
    <t>Especialista Técnico</t>
  </si>
  <si>
    <t>Coordinador Administrativo</t>
  </si>
  <si>
    <t>Especialista M&amp;E</t>
  </si>
  <si>
    <t>Especialista Planificación y Presupuesto</t>
  </si>
  <si>
    <t>Especialista Financiero – Contable</t>
  </si>
  <si>
    <t>Tesorero</t>
  </si>
  <si>
    <t>Especialista en Adquisiciones</t>
  </si>
  <si>
    <t>Especialista en Gestión Social</t>
  </si>
  <si>
    <t>Especialista Institucional</t>
  </si>
  <si>
    <t>Especialista Ambiental</t>
  </si>
  <si>
    <t>Apoyo Liquidación de Obras</t>
  </si>
  <si>
    <t>Suma Alzada</t>
  </si>
  <si>
    <t>Administradores de Contratos</t>
  </si>
  <si>
    <t>Apoyo técnico</t>
  </si>
  <si>
    <t>Apoyo Contrataciones</t>
  </si>
  <si>
    <t>Apoyo Tesorería</t>
  </si>
  <si>
    <t>Apoyo M&amp;E</t>
  </si>
  <si>
    <t>Asistente Coordinador UGP</t>
  </si>
  <si>
    <t>N°</t>
  </si>
  <si>
    <t>TIPO</t>
  </si>
  <si>
    <t>Código SNIP</t>
  </si>
  <si>
    <t>Región</t>
  </si>
  <si>
    <t>Localidad</t>
  </si>
  <si>
    <t>Región Natural</t>
  </si>
  <si>
    <t>Obras de Agua Potable</t>
  </si>
  <si>
    <t>Obras de Saneamiento</t>
  </si>
  <si>
    <t>TOTAL PROYECTOS</t>
  </si>
  <si>
    <t>Estudios Definitivos y Expedientes Técnicos</t>
  </si>
  <si>
    <t>Supervisión de Obras</t>
  </si>
  <si>
    <t>Monitoreo arqueológico</t>
  </si>
  <si>
    <t>Componente Social</t>
  </si>
  <si>
    <t>Inversión Total  (S/)</t>
  </si>
  <si>
    <t>Inversión Total  Precios Sociales</t>
  </si>
  <si>
    <t>F.C</t>
  </si>
  <si>
    <t>Situación</t>
  </si>
  <si>
    <t xml:space="preserve">Costo Directo de Obras, GG y UU </t>
  </si>
  <si>
    <t>IGV</t>
  </si>
  <si>
    <t>Costo Total AP</t>
  </si>
  <si>
    <t>Costo Directo de Obras, GG y UU</t>
  </si>
  <si>
    <t>Costo Total UBS</t>
  </si>
  <si>
    <t>% AP</t>
  </si>
  <si>
    <t>% UBS</t>
  </si>
  <si>
    <t>Supervisión de la Gestión Social</t>
  </si>
  <si>
    <t>Gestión del proyecto en Fase de Inversión</t>
  </si>
  <si>
    <t>Gastos de Núcleo ejecutor</t>
  </si>
  <si>
    <t>Total Social</t>
  </si>
  <si>
    <t>Núcleo Ejecutor</t>
  </si>
  <si>
    <t>Muestra</t>
  </si>
  <si>
    <t>Amazonas</t>
  </si>
  <si>
    <t>El Triunfo</t>
  </si>
  <si>
    <t>S.A</t>
  </si>
  <si>
    <t>EXP RD</t>
  </si>
  <si>
    <t>Selva Verde</t>
  </si>
  <si>
    <t>Peña Blanca</t>
  </si>
  <si>
    <t>San Antonio</t>
  </si>
  <si>
    <t>Isla Grande</t>
  </si>
  <si>
    <t>EXISTE UN VARIACIÓN CON F16</t>
  </si>
  <si>
    <t>Perla de Imaza</t>
  </si>
  <si>
    <t>Duelac</t>
  </si>
  <si>
    <t>Achu</t>
  </si>
  <si>
    <t>S.B</t>
  </si>
  <si>
    <t>PIP con Perfil</t>
  </si>
  <si>
    <t>Alto Pajakus</t>
  </si>
  <si>
    <t>Hebrón</t>
  </si>
  <si>
    <t>Seasme</t>
  </si>
  <si>
    <t>Kayamas</t>
  </si>
  <si>
    <t>Tutin</t>
  </si>
  <si>
    <t>TIENE F16</t>
  </si>
  <si>
    <t>Ayacucho</t>
  </si>
  <si>
    <t>Tambocucho</t>
  </si>
  <si>
    <t>S</t>
  </si>
  <si>
    <t>Ccatus Urcus</t>
  </si>
  <si>
    <t>Cajamarca</t>
  </si>
  <si>
    <t>Cadmalca Alto</t>
  </si>
  <si>
    <t>Lanchepata</t>
  </si>
  <si>
    <t>Cadmalca Bajo</t>
  </si>
  <si>
    <t>Alto Cañafisto</t>
  </si>
  <si>
    <t>Santa Rosa del Tingo</t>
  </si>
  <si>
    <t>Palma Conchud</t>
  </si>
  <si>
    <t>Namo</t>
  </si>
  <si>
    <t>Huangashanga Alta</t>
  </si>
  <si>
    <t>Tauripampa</t>
  </si>
  <si>
    <t>Vista Alegre de Camse</t>
  </si>
  <si>
    <t>TIENE F15 y F16</t>
  </si>
  <si>
    <t>Shitabamba</t>
  </si>
  <si>
    <t>El Convento</t>
  </si>
  <si>
    <t>Buenos Aires</t>
  </si>
  <si>
    <t>Suro Antivo</t>
  </si>
  <si>
    <t>San Pablo</t>
  </si>
  <si>
    <t>San Juan Pampa</t>
  </si>
  <si>
    <t>Shumaya</t>
  </si>
  <si>
    <t>Bajo Chalamarca</t>
  </si>
  <si>
    <t>Piura</t>
  </si>
  <si>
    <t>Santa Rosa</t>
  </si>
  <si>
    <t>Monterrico</t>
  </si>
  <si>
    <t>Junín</t>
  </si>
  <si>
    <t>San Sebastián</t>
  </si>
  <si>
    <t>Santa Martha</t>
  </si>
  <si>
    <t>Campa Pauriali</t>
  </si>
  <si>
    <t>Alto Huahuari</t>
  </si>
  <si>
    <t>San José de Pauriali</t>
  </si>
  <si>
    <t>Shevoja</t>
  </si>
  <si>
    <t>Centro Huahuari</t>
  </si>
  <si>
    <t>TIENE F15 (RECIBIDO)</t>
  </si>
  <si>
    <t>Anapate</t>
  </si>
  <si>
    <t>Bajo Celendín</t>
  </si>
  <si>
    <t>San Vicente de Cañete</t>
  </si>
  <si>
    <t>Centro Piotoa</t>
  </si>
  <si>
    <t>San Miguel de Cuviriaki</t>
  </si>
  <si>
    <t>Alto Capirushari</t>
  </si>
  <si>
    <t>Bella Durmiente</t>
  </si>
  <si>
    <t>Rio Santa</t>
  </si>
  <si>
    <t>Loreto</t>
  </si>
  <si>
    <t>Atahualpa</t>
  </si>
  <si>
    <t>Pijuayal</t>
  </si>
  <si>
    <t>Sachapapa</t>
  </si>
  <si>
    <t>San Martin de Pajonal</t>
  </si>
  <si>
    <t>C</t>
  </si>
  <si>
    <t>Succha</t>
  </si>
  <si>
    <t>Monte Grande Alto</t>
  </si>
  <si>
    <t>Trigal</t>
  </si>
  <si>
    <t>Sahuatirca</t>
  </si>
  <si>
    <t>Pirga</t>
  </si>
  <si>
    <t>Tierra Negra</t>
  </si>
  <si>
    <t>Cruz de Piedra</t>
  </si>
  <si>
    <t>San Luis</t>
  </si>
  <si>
    <t>Yangua</t>
  </si>
  <si>
    <t>Cataluco</t>
  </si>
  <si>
    <t>Pampa de los Silva</t>
  </si>
  <si>
    <t>Puno</t>
  </si>
  <si>
    <t>Tupac Amaru II</t>
  </si>
  <si>
    <t>Phusca</t>
  </si>
  <si>
    <t>Caracara</t>
  </si>
  <si>
    <t>Central Sorapa</t>
  </si>
  <si>
    <t>Cascada Muñani Chico</t>
  </si>
  <si>
    <t>Iguara</t>
  </si>
  <si>
    <t>Umachullo</t>
  </si>
  <si>
    <t>San Martín</t>
  </si>
  <si>
    <t>Urcopata</t>
  </si>
  <si>
    <t>Machungo</t>
  </si>
  <si>
    <t>Nuevo Horizonte</t>
  </si>
  <si>
    <t xml:space="preserve">Vista Alegre </t>
  </si>
  <si>
    <t>Alto Cutervo</t>
  </si>
  <si>
    <t>Nueva Esperanza</t>
  </si>
  <si>
    <t>Santa Rosillo de Upaquihua</t>
  </si>
  <si>
    <t>Santa Ana de Rio Mayo</t>
  </si>
  <si>
    <t>Bagazan</t>
  </si>
  <si>
    <t>TIENE F15 (EXCEL RECIBIDO TIENE EL F16 CON INVERSIÓN S/ 2,166,156.98)</t>
  </si>
  <si>
    <t>Limabamba</t>
  </si>
  <si>
    <t>Doncel</t>
  </si>
  <si>
    <t>Nueva Vida</t>
  </si>
  <si>
    <t>Nueva Florida</t>
  </si>
  <si>
    <t>San Andrés</t>
  </si>
  <si>
    <t>Valle Hermoso</t>
  </si>
  <si>
    <t>NO TIENE F15 (EXISTE UN VARIACIÓN CON F16 S/ 3,605,676.24)</t>
  </si>
  <si>
    <t>El Mirador</t>
  </si>
  <si>
    <t xml:space="preserve">NO TIENE F15 (EXISTE UN VARIACIÓN CON F16 S/ 2,530,347.3) </t>
  </si>
  <si>
    <t>Puerto Bermudez</t>
  </si>
  <si>
    <t>Ucayali</t>
  </si>
  <si>
    <t>Caserío Las Américas</t>
  </si>
  <si>
    <t>Caserío Tierra Buena</t>
  </si>
  <si>
    <t>Caserío Virgen del Carmen</t>
  </si>
  <si>
    <t>Centro Poblado Esperanza</t>
  </si>
  <si>
    <t>Santa Isabel de Bahuanisho</t>
  </si>
  <si>
    <t>Pampas Verdes</t>
  </si>
  <si>
    <t>San Pedro de Lagarto</t>
  </si>
  <si>
    <t>Nueva Esperanza de Panaillo</t>
  </si>
  <si>
    <t>Expediente Técnico aprobado con RD (62 PIPs) con F15, F16 y F17</t>
  </si>
  <si>
    <t>Expediente Técnico sin aprobar (26 PIPs)con F15 y F16 Registrado en Banco de Proyectos</t>
  </si>
  <si>
    <t>PIP con Perfil (12 PIPs)</t>
  </si>
  <si>
    <t>Componente 2 - Fortalecimiento de Competencias y Capacidades a los Gobiernos Regionales</t>
  </si>
  <si>
    <t xml:space="preserve">Descripcion </t>
  </si>
  <si>
    <t>Cantidad</t>
  </si>
  <si>
    <t>Tiempo</t>
  </si>
  <si>
    <t>Costo Unitario (S/mes)</t>
  </si>
  <si>
    <t>Costo Total (S/)</t>
  </si>
  <si>
    <t>Costo Total (US$)</t>
  </si>
  <si>
    <t>Honorarios (Preparacion y Exposicion de Talleres)</t>
  </si>
  <si>
    <t xml:space="preserve">Especialista en Planeamiento Estrategico y Organizacional </t>
  </si>
  <si>
    <t>Especialista en aspectos administrativos y financieros</t>
  </si>
  <si>
    <t>Especialista en Supervision y Fiscalizacion de Servicios de Saneamiento</t>
  </si>
  <si>
    <t>Sub Total</t>
  </si>
  <si>
    <t>Gastos de Capacitacion de Personal</t>
  </si>
  <si>
    <t>Elaboración de manuales operativos para la asistencia técnica y monitoreo</t>
  </si>
  <si>
    <t>Materiales de Capacitacion (carpeta)</t>
  </si>
  <si>
    <t>Otros Gastos</t>
  </si>
  <si>
    <t>Transporte de consultores a GOREs</t>
  </si>
  <si>
    <t>Alojamiento y Alimentacion</t>
  </si>
  <si>
    <t>Total 1</t>
  </si>
  <si>
    <t>Gastos Generales y Utilidad (18%)</t>
  </si>
  <si>
    <t>IGV (18%)</t>
  </si>
  <si>
    <t>Componente 2 - Fortalecimiento de Competencias y Capacidades a los Gobiernos Locales</t>
  </si>
  <si>
    <t>Especialista en operación y mantenimiento de sistema de AP</t>
  </si>
  <si>
    <t>Especialista Socioambiental</t>
  </si>
  <si>
    <t>Personal de ATM de los municipios distritales</t>
  </si>
  <si>
    <t>Materiales de Capacitacion</t>
  </si>
  <si>
    <t>Elaboración de elaboración de manuales operativos para la asistencia técnica y monitoreo</t>
  </si>
  <si>
    <t>Transporte GR/GL (distritos)</t>
  </si>
  <si>
    <t>Transporte Local</t>
  </si>
  <si>
    <t>Equipos y Muebles</t>
  </si>
  <si>
    <t>Comparador de Cloro y PH (incluye reactivos) para ATM</t>
  </si>
  <si>
    <t>Fondo rotatorio para provisión de cloro</t>
  </si>
  <si>
    <t>kg</t>
  </si>
  <si>
    <t>Equipos de oficina</t>
  </si>
  <si>
    <t>Motocicleta</t>
  </si>
  <si>
    <t>Fondo para consultor de apoyo a las ATM</t>
  </si>
  <si>
    <t>FORTALECIMIENTO A LAS JASS</t>
  </si>
  <si>
    <t>SOLES</t>
  </si>
  <si>
    <t>KIT JASS</t>
  </si>
  <si>
    <t>Total</t>
  </si>
  <si>
    <t>Kit de Herramientas O&amp;M</t>
  </si>
  <si>
    <t>Kit de seguridad para Operadores</t>
  </si>
  <si>
    <t>Kit mobiliario para oficinas</t>
  </si>
  <si>
    <t>Megametro</t>
  </si>
  <si>
    <t>Pinza amperimetrica</t>
  </si>
  <si>
    <t>Comparador de Cloro y PH</t>
  </si>
  <si>
    <t>Reactivos para 100 muestras</t>
  </si>
  <si>
    <t>Turbidimetros</t>
  </si>
  <si>
    <t>Subtotal</t>
  </si>
  <si>
    <t>Flete para entrega de Kit en lugar destino</t>
  </si>
  <si>
    <t>KIT DE HERRAMIENTAS PARA OPERACIÓN Y MANTENIMIENTO - JASS</t>
  </si>
  <si>
    <t xml:space="preserve">Descripción </t>
  </si>
  <si>
    <t>Med.</t>
  </si>
  <si>
    <t>Cant.</t>
  </si>
  <si>
    <t>Monto</t>
  </si>
  <si>
    <r>
      <t xml:space="preserve">GPS </t>
    </r>
    <r>
      <rPr>
        <i/>
        <sz val="10"/>
        <color rgb="FFFF0000"/>
        <rFont val="Calibri"/>
        <family val="2"/>
        <scheme val="minor"/>
      </rPr>
      <t>(de mano)</t>
    </r>
  </si>
  <si>
    <t>und</t>
  </si>
  <si>
    <t>Garmin Perú pag web</t>
  </si>
  <si>
    <t>Cronometro</t>
  </si>
  <si>
    <r>
      <t xml:space="preserve">WINCHA STANLEY 20M </t>
    </r>
    <r>
      <rPr>
        <i/>
        <sz val="10"/>
        <rFont val="Calibri"/>
        <family val="2"/>
        <scheme val="minor"/>
      </rPr>
      <t>(60M)</t>
    </r>
  </si>
  <si>
    <t>Sodimac pag web</t>
  </si>
  <si>
    <r>
      <t xml:space="preserve">Comparador de Cloro digital </t>
    </r>
    <r>
      <rPr>
        <i/>
        <sz val="10"/>
        <rFont val="Calibri"/>
        <family val="2"/>
        <scheme val="minor"/>
      </rPr>
      <t>(colorímetro: incluye 400 unid de reactivo)</t>
    </r>
  </si>
  <si>
    <t>o/c 037-2015</t>
  </si>
  <si>
    <r>
      <t xml:space="preserve">Pastilla DPD1 </t>
    </r>
    <r>
      <rPr>
        <i/>
        <sz val="10"/>
        <rFont val="Calibri"/>
        <family val="2"/>
        <scheme val="minor"/>
      </rPr>
      <t>(caja de 1000 tabletas)</t>
    </r>
  </si>
  <si>
    <t>Caja</t>
  </si>
  <si>
    <t>o/c 116-2015</t>
  </si>
  <si>
    <t>Hipoclorito de calcio al 70%</t>
  </si>
  <si>
    <r>
      <t xml:space="preserve">BARRETA DE 5/8 </t>
    </r>
    <r>
      <rPr>
        <i/>
        <sz val="10"/>
        <rFont val="Calibri"/>
        <family val="2"/>
        <scheme val="minor"/>
      </rPr>
      <t>(barra de acero 5/8")</t>
    </r>
  </si>
  <si>
    <r>
      <t xml:space="preserve">LIMA NICHOLSON 14" </t>
    </r>
    <r>
      <rPr>
        <i/>
        <sz val="10"/>
        <rFont val="Calibri"/>
        <family val="2"/>
        <scheme val="minor"/>
      </rPr>
      <t>(12")</t>
    </r>
  </si>
  <si>
    <t>LLAVE STILSON 12"</t>
  </si>
  <si>
    <t>LLAVE STILSON 18"</t>
  </si>
  <si>
    <t>LLAVE INGLESA 12"</t>
  </si>
  <si>
    <r>
      <t xml:space="preserve">CINCEL STANLEY 1" X 12" </t>
    </r>
    <r>
      <rPr>
        <i/>
        <sz val="10"/>
        <rFont val="Calibri"/>
        <family val="2"/>
        <scheme val="minor"/>
      </rPr>
      <t>(punta 12" con empuñadura)</t>
    </r>
  </si>
  <si>
    <t>Promart pag web</t>
  </si>
  <si>
    <r>
      <t xml:space="preserve">ZAPAPICO BELLOTA CON MANGO </t>
    </r>
    <r>
      <rPr>
        <i/>
        <sz val="10"/>
        <rFont val="Calibri"/>
        <family val="2"/>
        <scheme val="minor"/>
      </rPr>
      <t>(81.5cm)</t>
    </r>
  </si>
  <si>
    <t>DESARMADOR PLANO GRANDE STANLEY</t>
  </si>
  <si>
    <t>DESARMADOR PLANO MEDIANO STANLEY</t>
  </si>
  <si>
    <t>DESARMADOR  ESTRELLA DE 8", 10" DE LARGO</t>
  </si>
  <si>
    <t>APLICADOR DE ACEITE</t>
  </si>
  <si>
    <r>
      <t xml:space="preserve">MARTILLO STANLEY 1/2 KG </t>
    </r>
    <r>
      <rPr>
        <i/>
        <sz val="10"/>
        <rFont val="Calibri"/>
        <family val="2"/>
        <scheme val="minor"/>
      </rPr>
      <t>(0.5lb.)</t>
    </r>
  </si>
  <si>
    <t>MANGUERA REFORZADA</t>
  </si>
  <si>
    <t>50 mts.</t>
  </si>
  <si>
    <t>BROCHAS DE 4" Y 2"</t>
  </si>
  <si>
    <t>ALICATE STANLEY 8"</t>
  </si>
  <si>
    <t>BALDES  CON TAPA DE 18 LITROS</t>
  </si>
  <si>
    <r>
      <t xml:space="preserve">ARCO DE SIERRA STANLEY + 5 HOJAS </t>
    </r>
    <r>
      <rPr>
        <i/>
        <sz val="10"/>
        <rFont val="Calibri"/>
        <family val="2"/>
        <scheme val="minor"/>
      </rPr>
      <t>(25+5c/u)</t>
    </r>
  </si>
  <si>
    <t>BADILEJO NICHOLSON 6"</t>
  </si>
  <si>
    <r>
      <t>SOGA DE 1/2"</t>
    </r>
    <r>
      <rPr>
        <i/>
        <sz val="10"/>
        <rFont val="Calibri"/>
        <family val="2"/>
        <scheme val="minor"/>
      </rPr>
      <t xml:space="preserve"> (soga manila retorcida)</t>
    </r>
  </si>
  <si>
    <t>mts.</t>
  </si>
  <si>
    <t>ESPATULA DE 4"</t>
  </si>
  <si>
    <t>ESCOBILLA DE FIERRO 4 X 14</t>
  </si>
  <si>
    <t>Tubo de repuesto</t>
  </si>
  <si>
    <t>Llave de agua para repuesto</t>
  </si>
  <si>
    <t>PEGAMENTO PLASTICO PVC  32 onzas</t>
  </si>
  <si>
    <t>CINTA TEFLON</t>
  </si>
  <si>
    <t>PALANA BELLOTA LIVIANA (CUCHARA)</t>
  </si>
  <si>
    <t>PALANA BELLOTA LIVIANA (RECTA)</t>
  </si>
  <si>
    <r>
      <t xml:space="preserve">CARRETILLA TIPO BUGGI </t>
    </r>
    <r>
      <rPr>
        <i/>
        <sz val="10"/>
        <rFont val="Calibri"/>
        <family val="2"/>
        <scheme val="minor"/>
      </rPr>
      <t>(10 kg)</t>
    </r>
  </si>
  <si>
    <t>LLANTA DE REPUESTO PARA CARRETILLA</t>
  </si>
  <si>
    <t>LINTERNA DE 2 PILAS</t>
  </si>
  <si>
    <t>BALANZA DE MESA 5 KG</t>
  </si>
  <si>
    <t>CAJA PARA HERRAMIENTAS D´WALT 24" PLASTICA</t>
  </si>
  <si>
    <r>
      <t xml:space="preserve">Rastrillo con mango </t>
    </r>
    <r>
      <rPr>
        <i/>
        <sz val="10"/>
        <rFont val="Calibri"/>
        <family val="2"/>
        <scheme val="minor"/>
      </rPr>
      <t>(120cm)</t>
    </r>
  </si>
  <si>
    <r>
      <t xml:space="preserve">GRIFO TIPO TOMPITO 1/2" </t>
    </r>
    <r>
      <rPr>
        <i/>
        <sz val="10"/>
        <rFont val="Calibri"/>
        <family val="2"/>
        <scheme val="minor"/>
      </rPr>
      <t>(para lavadero manija T)</t>
    </r>
  </si>
  <si>
    <r>
      <t>TROMPITOS Y EMPAQUETADURAS</t>
    </r>
    <r>
      <rPr>
        <i/>
        <sz val="10"/>
        <rFont val="Calibri"/>
        <family val="2"/>
        <scheme val="minor"/>
      </rPr>
      <t xml:space="preserve"> (5unidades)</t>
    </r>
  </si>
  <si>
    <r>
      <t xml:space="preserve"> PICO CON MANGO</t>
    </r>
    <r>
      <rPr>
        <i/>
        <sz val="10"/>
        <rFont val="Calibri"/>
        <family val="2"/>
        <scheme val="minor"/>
      </rPr>
      <t xml:space="preserve"> (90cm)</t>
    </r>
  </si>
  <si>
    <r>
      <t xml:space="preserve">escoba grande </t>
    </r>
    <r>
      <rPr>
        <i/>
        <sz val="10"/>
        <rFont val="Calibri"/>
        <family val="2"/>
        <scheme val="minor"/>
      </rPr>
      <t>(plastico)</t>
    </r>
  </si>
  <si>
    <t>escoba pequeña</t>
  </si>
  <si>
    <r>
      <t xml:space="preserve">escobilla de mano </t>
    </r>
    <r>
      <rPr>
        <i/>
        <sz val="10"/>
        <rFont val="Calibri"/>
        <family val="2"/>
        <scheme val="minor"/>
      </rPr>
      <t>(tipo plancha)</t>
    </r>
  </si>
  <si>
    <t>recogedor</t>
  </si>
  <si>
    <t>KIT DE SEGURIDAD PARA OPERADORES - JASS</t>
  </si>
  <si>
    <t>Guantes de Jebe (industrial)</t>
  </si>
  <si>
    <t>LENTES PROTECTORES</t>
  </si>
  <si>
    <t>ARNES DE SEGURIDAD con linea de vida</t>
  </si>
  <si>
    <t xml:space="preserve">RESPIRADOR DE 2 VIAS CON FILTRO </t>
  </si>
  <si>
    <t xml:space="preserve">BOTAS DE JEBE </t>
  </si>
  <si>
    <t xml:space="preserve">TRAJE IMPERMEABLE (0.35 mm) </t>
  </si>
  <si>
    <t xml:space="preserve">CASCO PROTECTOR </t>
  </si>
  <si>
    <t>KIT MOBILIARIO PARA OFICINA DE LA JASS (*)</t>
  </si>
  <si>
    <r>
      <t xml:space="preserve">ESCRITORIO </t>
    </r>
    <r>
      <rPr>
        <i/>
        <sz val="10"/>
        <rFont val="Calibri"/>
        <family val="2"/>
        <scheme val="minor"/>
      </rPr>
      <t>(1.50m x 1.50m x 65 cm. X 75 cm)</t>
    </r>
  </si>
  <si>
    <t>o/c 147-2015</t>
  </si>
  <si>
    <r>
      <t xml:space="preserve">SILLAS DE MADERA </t>
    </r>
    <r>
      <rPr>
        <i/>
        <sz val="10"/>
        <rFont val="Calibri"/>
        <family val="2"/>
        <scheme val="minor"/>
      </rPr>
      <t>(silla fija metal 0.82x0.49)</t>
    </r>
  </si>
  <si>
    <t>o/c 146-2016</t>
  </si>
  <si>
    <r>
      <t xml:space="preserve">ARMARIO METÁLICO </t>
    </r>
    <r>
      <rPr>
        <i/>
        <sz val="10"/>
        <rFont val="Calibri"/>
        <family val="2"/>
        <scheme val="minor"/>
      </rPr>
      <t>(0.82 largo x 0.38 fondo x 1.80 alto)</t>
    </r>
  </si>
  <si>
    <t>Angulos metalcom pag web</t>
  </si>
  <si>
    <t xml:space="preserve">COMPUTADORA </t>
  </si>
  <si>
    <t>o/c 060-2016</t>
  </si>
  <si>
    <t xml:space="preserve">IMPRESORA </t>
  </si>
  <si>
    <t>o/c 098-2015</t>
  </si>
  <si>
    <r>
      <t xml:space="preserve">TINTA PARA IMPRESORA </t>
    </r>
    <r>
      <rPr>
        <i/>
        <sz val="10"/>
        <rFont val="Calibri"/>
        <family val="2"/>
        <scheme val="minor"/>
      </rPr>
      <t>(toner)</t>
    </r>
  </si>
  <si>
    <t>sav</t>
  </si>
  <si>
    <t>(*) Para JASS que cuenten con local.</t>
  </si>
  <si>
    <t>Supervision y Seguimiento de la gestion de sostenibilidad</t>
  </si>
  <si>
    <t>Honorarios</t>
  </si>
  <si>
    <t>Ingeniero Sanitario general</t>
  </si>
  <si>
    <t>Especialista en Aspectos Financieros y Comerciales</t>
  </si>
  <si>
    <t>Otros profesionales</t>
  </si>
  <si>
    <t>Gastos Directos</t>
  </si>
  <si>
    <t>Transporte a las localidades</t>
  </si>
  <si>
    <t>Plan de Comunicación y Difusión</t>
  </si>
  <si>
    <t>Descripcion</t>
  </si>
  <si>
    <t>Costo Unitario (S/)</t>
  </si>
  <si>
    <t>Elaboración del Plan de Comunicaciones y Difusión</t>
  </si>
  <si>
    <t xml:space="preserve">Eventos con autoridades del sector saneamiento (central y regional)del ámbito de acción regional del PIASAR </t>
  </si>
  <si>
    <t>Eventos con autoridades del sector saneamiento (central y regional)del ámbito de acción regional del PIASAR (Sede Lima)</t>
  </si>
  <si>
    <t xml:space="preserve">Eventos con medios de comunicación </t>
  </si>
  <si>
    <t>Producción de material impreso de difusión y promoción (millares)</t>
  </si>
  <si>
    <t>Producción de material audiovisual de difusión y promoción</t>
  </si>
  <si>
    <t>Difusión del PIASAR por radios locales - Spots publicitarios</t>
  </si>
  <si>
    <t>Mapeo de potenciales situaciones de conflictos y  crisis.</t>
  </si>
  <si>
    <t>Elaboración de Manual de Crisis</t>
  </si>
  <si>
    <t> Acciones de mitigación</t>
  </si>
  <si>
    <t>Eventos de comunicación sobre el estado del avance de la Implementación del PIASAR</t>
  </si>
  <si>
    <t>Producción de material impreso de difusión y promoción - conflictos (millares)</t>
  </si>
  <si>
    <t>Producción y difusión mensajes por  radio (conflictos)</t>
  </si>
  <si>
    <t xml:space="preserve">Sistematización de las Lecciones Aprendidas del PIASAR </t>
  </si>
  <si>
    <t>Reunión presentación sistematización de las Lecciones Aprendidas del PIASAR a  las Direcciones y Programas  del MVCS</t>
  </si>
  <si>
    <t>Componente 2 - Fortalecimiento de Competencias del MVCS</t>
  </si>
  <si>
    <t>Diseño, desarrollo e implementación de un tablero control para la gestión de Programas en el PNSR</t>
  </si>
  <si>
    <t>Actualización de un modelo de intervención en el área rural y formulación de reglamentos, procedimientos e instrumentos para su institucionalización.</t>
  </si>
  <si>
    <t>Actualización de la Metodología para el cálculo y aplicación de la cuota familiar por la prestación de los servicios de saneamiento en el ámbito rural</t>
  </si>
  <si>
    <t>Plan de Capacitación al PNSR</t>
  </si>
  <si>
    <t>Sistematización y reporte de línea de base de los sistemas rurales de saneamiento</t>
  </si>
  <si>
    <t>Detalle item 2</t>
  </si>
  <si>
    <t>Costo Total (S/mes)</t>
  </si>
  <si>
    <t>Especialista Legal</t>
  </si>
  <si>
    <t>Otros Profesionales</t>
  </si>
  <si>
    <t>Taller de Trabajo</t>
  </si>
  <si>
    <t>Detalle item 3</t>
  </si>
  <si>
    <t>Especialistas en Costos de O&amp;M</t>
  </si>
  <si>
    <t>Gastos Generales y Utilidad (19%)</t>
  </si>
  <si>
    <t>Operación asistida a las JASS</t>
  </si>
  <si>
    <t>Ingeniero Sanitario- Especialista en PTAP</t>
  </si>
  <si>
    <t>Ingeniero Electromecanico</t>
  </si>
  <si>
    <t>Tecnicos den Operación y Mantenimiento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</si>
</sst>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_-* #,##0_-;\-* #,##0_-;_-* &quot;-&quot;??_-;_-@_-"/>
    <numFmt numFmtId="169" formatCode="_-* #,##0.00\ _€_-;\-* #,##0.00\ _€_-;_-* &quot;-&quot;??\ _€_-;_-@_-"/>
    <numFmt numFmtId="170" formatCode="0.000%"/>
    <numFmt numFmtId="171" formatCode="0.0%"/>
    <numFmt numFmtId="172" formatCode="#,##0.00;[Red]#,##0.00"/>
    <numFmt numFmtId="173" formatCode="0.0"/>
    <numFmt numFmtId="174" formatCode="#,##0.0_);\-#,##0.0"/>
    <numFmt numFmtId="175" formatCode="_-* #,##0.00_-;\-* #,##0.00_-;_-* &quot;-&quot;_-;_-@_-"/>
    <numFmt numFmtId="176" formatCode="0.00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7.5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7" fillId="0" borderId="0"/>
  </cellStyleXfs>
  <cellXfs count="36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2" applyFont="1" applyAlignment="1">
      <alignment vertical="center"/>
    </xf>
    <xf numFmtId="43" fontId="4" fillId="4" borderId="1" xfId="2" applyFont="1" applyFill="1" applyBorder="1" applyAlignment="1">
      <alignment vertical="center"/>
    </xf>
    <xf numFmtId="0" fontId="3" fillId="0" borderId="0" xfId="0" applyFont="1"/>
    <xf numFmtId="41" fontId="6" fillId="4" borderId="1" xfId="1" applyFont="1" applyFill="1" applyBorder="1" applyAlignment="1">
      <alignment horizontal="left"/>
    </xf>
    <xf numFmtId="0" fontId="6" fillId="0" borderId="0" xfId="0" applyFont="1"/>
    <xf numFmtId="41" fontId="3" fillId="5" borderId="1" xfId="1" applyFont="1" applyFill="1" applyBorder="1"/>
    <xf numFmtId="0" fontId="3" fillId="5" borderId="0" xfId="0" applyFont="1" applyFill="1"/>
    <xf numFmtId="0" fontId="3" fillId="0" borderId="1" xfId="0" applyFont="1" applyBorder="1" applyAlignment="1">
      <alignment horizontal="center"/>
    </xf>
    <xf numFmtId="41" fontId="3" fillId="0" borderId="1" xfId="1" applyFont="1" applyBorder="1"/>
    <xf numFmtId="41" fontId="8" fillId="0" borderId="1" xfId="1" applyFont="1" applyBorder="1"/>
    <xf numFmtId="0" fontId="8" fillId="0" borderId="0" xfId="0" applyFont="1"/>
    <xf numFmtId="41" fontId="3" fillId="0" borderId="0" xfId="0" applyNumberFormat="1" applyFont="1"/>
    <xf numFmtId="49" fontId="8" fillId="0" borderId="1" xfId="0" applyNumberFormat="1" applyFont="1" applyBorder="1" applyAlignment="1">
      <alignment horizontal="center" wrapText="1"/>
    </xf>
    <xf numFmtId="41" fontId="7" fillId="0" borderId="1" xfId="1" applyFont="1" applyBorder="1" applyAlignment="1">
      <alignment wrapText="1"/>
    </xf>
    <xf numFmtId="49" fontId="8" fillId="0" borderId="1" xfId="0" applyNumberFormat="1" applyFont="1" applyBorder="1" applyAlignment="1"/>
    <xf numFmtId="0" fontId="8" fillId="5" borderId="0" xfId="0" applyFont="1" applyFill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49" fontId="8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0" fillId="0" borderId="0" xfId="0"/>
    <xf numFmtId="164" fontId="9" fillId="0" borderId="0" xfId="0" applyNumberFormat="1" applyFont="1"/>
    <xf numFmtId="164" fontId="9" fillId="0" borderId="0" xfId="4" applyFont="1"/>
    <xf numFmtId="164" fontId="10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8" fontId="3" fillId="0" borderId="1" xfId="1" applyNumberFormat="1" applyFont="1" applyBorder="1"/>
    <xf numFmtId="49" fontId="8" fillId="0" borderId="1" xfId="0" applyNumberFormat="1" applyFont="1" applyFill="1" applyBorder="1" applyAlignment="1">
      <alignment horizontal="left" indent="1"/>
    </xf>
    <xf numFmtId="49" fontId="7" fillId="0" borderId="1" xfId="0" applyNumberFormat="1" applyFont="1" applyBorder="1" applyAlignment="1"/>
    <xf numFmtId="0" fontId="3" fillId="5" borderId="1" xfId="0" applyFont="1" applyFill="1" applyBorder="1" applyAlignment="1">
      <alignment horizontal="center"/>
    </xf>
    <xf numFmtId="41" fontId="6" fillId="3" borderId="1" xfId="0" applyNumberFormat="1" applyFont="1" applyFill="1" applyBorder="1" applyAlignment="1"/>
    <xf numFmtId="41" fontId="8" fillId="0" borderId="1" xfId="1" applyFont="1" applyBorder="1" applyAlignment="1">
      <alignment wrapText="1"/>
    </xf>
    <xf numFmtId="43" fontId="3" fillId="0" borderId="0" xfId="2" applyFont="1"/>
    <xf numFmtId="170" fontId="3" fillId="0" borderId="0" xfId="3" applyNumberFormat="1" applyFont="1" applyBorder="1" applyAlignment="1">
      <alignment horizontal="center"/>
    </xf>
    <xf numFmtId="0" fontId="0" fillId="0" borderId="1" xfId="0" applyBorder="1"/>
    <xf numFmtId="168" fontId="8" fillId="0" borderId="1" xfId="1" applyNumberFormat="1" applyFont="1" applyBorder="1"/>
    <xf numFmtId="49" fontId="8" fillId="5" borderId="1" xfId="0" applyNumberFormat="1" applyFont="1" applyFill="1" applyBorder="1" applyAlignment="1">
      <alignment horizontal="left" indent="1"/>
    </xf>
    <xf numFmtId="0" fontId="0" fillId="0" borderId="0" xfId="0" applyAlignment="1">
      <alignment horizontal="center"/>
    </xf>
    <xf numFmtId="0" fontId="0" fillId="0" borderId="3" xfId="0" applyBorder="1"/>
    <xf numFmtId="167" fontId="3" fillId="0" borderId="1" xfId="2" applyNumberFormat="1" applyFont="1" applyBorder="1"/>
    <xf numFmtId="0" fontId="6" fillId="10" borderId="1" xfId="0" applyFont="1" applyFill="1" applyBorder="1" applyAlignment="1">
      <alignment horizontal="left"/>
    </xf>
    <xf numFmtId="0" fontId="6" fillId="11" borderId="1" xfId="0" applyFont="1" applyFill="1" applyBorder="1" applyAlignment="1">
      <alignment horizontal="left"/>
    </xf>
    <xf numFmtId="164" fontId="6" fillId="4" borderId="1" xfId="4" applyFont="1" applyFill="1" applyBorder="1" applyAlignment="1">
      <alignment horizontal="left"/>
    </xf>
    <xf numFmtId="164" fontId="3" fillId="0" borderId="1" xfId="4" applyFont="1" applyBorder="1"/>
    <xf numFmtId="164" fontId="8" fillId="0" borderId="1" xfId="4" applyFont="1" applyBorder="1"/>
    <xf numFmtId="164" fontId="8" fillId="0" borderId="1" xfId="4" applyFont="1" applyFill="1" applyBorder="1"/>
    <xf numFmtId="49" fontId="16" fillId="0" borderId="1" xfId="0" applyNumberFormat="1" applyFont="1" applyBorder="1" applyAlignment="1">
      <alignment horizontal="left" wrapText="1" indent="1"/>
    </xf>
    <xf numFmtId="164" fontId="13" fillId="0" borderId="1" xfId="4" applyFont="1" applyFill="1" applyBorder="1"/>
    <xf numFmtId="164" fontId="12" fillId="0" borderId="1" xfId="4" applyFont="1" applyBorder="1"/>
    <xf numFmtId="165" fontId="3" fillId="0" borderId="0" xfId="0" applyNumberFormat="1" applyFont="1"/>
    <xf numFmtId="168" fontId="6" fillId="3" borderId="1" xfId="0" applyNumberFormat="1" applyFont="1" applyFill="1" applyBorder="1" applyAlignment="1"/>
    <xf numFmtId="167" fontId="6" fillId="11" borderId="1" xfId="0" applyNumberFormat="1" applyFont="1" applyFill="1" applyBorder="1" applyAlignment="1">
      <alignment horizontal="left"/>
    </xf>
    <xf numFmtId="0" fontId="0" fillId="11" borderId="1" xfId="0" applyFill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4" fillId="11" borderId="1" xfId="0" applyFont="1" applyFill="1" applyBorder="1" applyAlignment="1">
      <alignment horizontal="center"/>
    </xf>
    <xf numFmtId="167" fontId="6" fillId="10" borderId="1" xfId="0" applyNumberFormat="1" applyFont="1" applyFill="1" applyBorder="1" applyAlignment="1">
      <alignment horizontal="left"/>
    </xf>
    <xf numFmtId="167" fontId="6" fillId="4" borderId="1" xfId="0" applyNumberFormat="1" applyFont="1" applyFill="1" applyBorder="1" applyAlignment="1"/>
    <xf numFmtId="41" fontId="6" fillId="4" borderId="1" xfId="1" applyFont="1" applyFill="1" applyBorder="1" applyAlignment="1"/>
    <xf numFmtId="0" fontId="0" fillId="0" borderId="1" xfId="0" applyFont="1" applyBorder="1"/>
    <xf numFmtId="43" fontId="4" fillId="4" borderId="0" xfId="2" applyFont="1" applyFill="1" applyBorder="1" applyAlignment="1">
      <alignment vertical="center"/>
    </xf>
    <xf numFmtId="0" fontId="11" fillId="0" borderId="0" xfId="0" applyFont="1"/>
    <xf numFmtId="0" fontId="0" fillId="0" borderId="0" xfId="0" applyFont="1"/>
    <xf numFmtId="0" fontId="18" fillId="12" borderId="1" xfId="0" applyFont="1" applyFill="1" applyBorder="1" applyAlignment="1">
      <alignment horizontal="center"/>
    </xf>
    <xf numFmtId="0" fontId="18" fillId="12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center" vertical="center"/>
    </xf>
    <xf numFmtId="173" fontId="19" fillId="5" borderId="1" xfId="0" applyNumberFormat="1" applyFont="1" applyFill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174" fontId="19" fillId="5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5" borderId="1" xfId="0" applyNumberFormat="1" applyFont="1" applyFill="1" applyBorder="1" applyAlignment="1" applyProtection="1">
      <alignment vertical="center"/>
    </xf>
    <xf numFmtId="0" fontId="19" fillId="5" borderId="1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174" fontId="19" fillId="0" borderId="0" xfId="0" applyNumberFormat="1" applyFont="1" applyFill="1" applyBorder="1" applyAlignment="1">
      <alignment horizontal="center" vertical="center"/>
    </xf>
    <xf numFmtId="172" fontId="9" fillId="0" borderId="0" xfId="0" applyNumberFormat="1" applyFont="1" applyFill="1" applyBorder="1" applyAlignment="1">
      <alignment horizontal="center" vertical="center"/>
    </xf>
    <xf numFmtId="4" fontId="18" fillId="12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0" fillId="0" borderId="0" xfId="0" applyFont="1" applyFill="1"/>
    <xf numFmtId="0" fontId="9" fillId="0" borderId="0" xfId="0" applyFont="1" applyFill="1" applyAlignment="1">
      <alignment horizontal="center" vertical="center"/>
    </xf>
    <xf numFmtId="172" fontId="9" fillId="0" borderId="0" xfId="0" applyNumberFormat="1" applyFont="1" applyFill="1" applyAlignment="1">
      <alignment horizontal="center" vertical="center"/>
    </xf>
    <xf numFmtId="0" fontId="18" fillId="12" borderId="3" xfId="0" applyFont="1" applyFill="1" applyBorder="1" applyAlignment="1">
      <alignment horizontal="center"/>
    </xf>
    <xf numFmtId="0" fontId="19" fillId="5" borderId="1" xfId="0" applyNumberFormat="1" applyFont="1" applyFill="1" applyBorder="1" applyAlignment="1" applyProtection="1">
      <alignment vertical="center"/>
    </xf>
    <xf numFmtId="0" fontId="19" fillId="5" borderId="1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>
      <alignment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172" fontId="9" fillId="0" borderId="16" xfId="0" applyNumberFormat="1" applyFont="1" applyFill="1" applyBorder="1" applyAlignment="1">
      <alignment horizontal="center" vertical="center"/>
    </xf>
    <xf numFmtId="0" fontId="9" fillId="0" borderId="0" xfId="0" applyFont="1" applyFill="1"/>
    <xf numFmtId="172" fontId="9" fillId="0" borderId="7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18" fillId="12" borderId="3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16" xfId="0" applyFont="1" applyFill="1" applyBorder="1"/>
    <xf numFmtId="0" fontId="9" fillId="0" borderId="16" xfId="0" applyFont="1" applyBorder="1" applyAlignment="1">
      <alignment horizontal="center" vertical="center"/>
    </xf>
    <xf numFmtId="172" fontId="9" fillId="0" borderId="0" xfId="0" applyNumberFormat="1" applyFont="1" applyAlignment="1">
      <alignment horizontal="center" vertical="center"/>
    </xf>
    <xf numFmtId="167" fontId="4" fillId="0" borderId="0" xfId="2" applyNumberFormat="1" applyFont="1" applyAlignment="1">
      <alignment vertical="center"/>
    </xf>
    <xf numFmtId="164" fontId="10" fillId="0" borderId="1" xfId="4" applyNumberFormat="1" applyFont="1" applyBorder="1"/>
    <xf numFmtId="0" fontId="24" fillId="0" borderId="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15" borderId="0" xfId="0" applyFont="1" applyFill="1" applyBorder="1" applyAlignment="1">
      <alignment horizontal="center" vertical="center" wrapText="1"/>
    </xf>
    <xf numFmtId="0" fontId="25" fillId="16" borderId="2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vertical="center"/>
    </xf>
    <xf numFmtId="3" fontId="24" fillId="0" borderId="2" xfId="0" applyNumberFormat="1" applyFont="1" applyFill="1" applyBorder="1" applyAlignment="1">
      <alignment vertical="center"/>
    </xf>
    <xf numFmtId="0" fontId="26" fillId="0" borderId="1" xfId="0" applyFont="1" applyFill="1" applyBorder="1" applyAlignment="1">
      <alignment horizontal="left" vertical="center" wrapText="1"/>
    </xf>
    <xf numFmtId="3" fontId="24" fillId="0" borderId="0" xfId="0" applyNumberFormat="1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3" fontId="24" fillId="0" borderId="0" xfId="0" applyNumberFormat="1" applyFont="1" applyAlignment="1">
      <alignment horizontal="center" vertical="center"/>
    </xf>
    <xf numFmtId="176" fontId="24" fillId="0" borderId="1" xfId="0" applyNumberFormat="1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vertical="center"/>
    </xf>
    <xf numFmtId="0" fontId="28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14" borderId="2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2" xfId="0" applyNumberFormat="1" applyFont="1" applyFill="1" applyBorder="1" applyAlignment="1">
      <alignment vertical="center"/>
    </xf>
    <xf numFmtId="0" fontId="24" fillId="16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/>
    </xf>
    <xf numFmtId="176" fontId="25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7" borderId="1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16" borderId="0" xfId="0" applyFont="1" applyFill="1" applyAlignment="1">
      <alignment vertical="center"/>
    </xf>
    <xf numFmtId="3" fontId="24" fillId="0" borderId="1" xfId="0" applyNumberFormat="1" applyFont="1" applyBorder="1" applyAlignment="1">
      <alignment vertical="center"/>
    </xf>
    <xf numFmtId="0" fontId="24" fillId="7" borderId="0" xfId="0" applyFont="1" applyFill="1" applyAlignment="1">
      <alignment vertical="center"/>
    </xf>
    <xf numFmtId="171" fontId="24" fillId="11" borderId="0" xfId="3" applyNumberFormat="1" applyFont="1" applyFill="1" applyAlignment="1">
      <alignment vertical="center"/>
    </xf>
    <xf numFmtId="171" fontId="24" fillId="0" borderId="0" xfId="3" applyNumberFormat="1" applyFont="1" applyAlignment="1">
      <alignment vertical="center"/>
    </xf>
    <xf numFmtId="171" fontId="24" fillId="0" borderId="0" xfId="0" applyNumberFormat="1" applyFont="1" applyFill="1" applyAlignment="1">
      <alignment vertical="center"/>
    </xf>
    <xf numFmtId="0" fontId="24" fillId="14" borderId="0" xfId="0" applyFont="1" applyFill="1" applyAlignment="1">
      <alignment vertical="center"/>
    </xf>
    <xf numFmtId="167" fontId="3" fillId="5" borderId="1" xfId="2" applyNumberFormat="1" applyFont="1" applyFill="1" applyBorder="1"/>
    <xf numFmtId="9" fontId="24" fillId="0" borderId="1" xfId="3" applyFont="1" applyFill="1" applyBorder="1" applyAlignment="1">
      <alignment vertical="center"/>
    </xf>
    <xf numFmtId="0" fontId="29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0" fontId="30" fillId="0" borderId="13" xfId="0" applyFont="1" applyBorder="1"/>
    <xf numFmtId="0" fontId="29" fillId="0" borderId="13" xfId="0" applyFont="1" applyBorder="1"/>
    <xf numFmtId="0" fontId="30" fillId="0" borderId="13" xfId="0" applyFont="1" applyBorder="1" applyAlignment="1">
      <alignment horizontal="center" vertical="center" wrapText="1"/>
    </xf>
    <xf numFmtId="4" fontId="30" fillId="0" borderId="13" xfId="0" applyNumberFormat="1" applyFont="1" applyBorder="1"/>
    <xf numFmtId="4" fontId="29" fillId="0" borderId="13" xfId="0" applyNumberFormat="1" applyFont="1" applyBorder="1"/>
    <xf numFmtId="0" fontId="30" fillId="0" borderId="0" xfId="0" applyFont="1"/>
    <xf numFmtId="4" fontId="29" fillId="0" borderId="1" xfId="0" applyNumberFormat="1" applyFont="1" applyBorder="1"/>
    <xf numFmtId="0" fontId="31" fillId="0" borderId="1" xfId="0" applyFont="1" applyBorder="1" applyAlignment="1">
      <alignment horizontal="left" vertical="center" wrapText="1"/>
    </xf>
    <xf numFmtId="3" fontId="0" fillId="0" borderId="1" xfId="0" applyNumberFormat="1" applyBorder="1"/>
    <xf numFmtId="3" fontId="14" fillId="0" borderId="1" xfId="0" applyNumberFormat="1" applyFont="1" applyBorder="1"/>
    <xf numFmtId="0" fontId="29" fillId="0" borderId="22" xfId="0" applyFont="1" applyBorder="1"/>
    <xf numFmtId="0" fontId="30" fillId="0" borderId="4" xfId="0" applyFont="1" applyBorder="1" applyAlignment="1">
      <alignment horizontal="center" vertical="center" wrapText="1"/>
    </xf>
    <xf numFmtId="0" fontId="30" fillId="0" borderId="22" xfId="0" applyFont="1" applyBorder="1"/>
    <xf numFmtId="0" fontId="30" fillId="0" borderId="6" xfId="0" applyFont="1" applyBorder="1"/>
    <xf numFmtId="4" fontId="30" fillId="0" borderId="6" xfId="0" applyNumberFormat="1" applyFont="1" applyBorder="1"/>
    <xf numFmtId="0" fontId="30" fillId="0" borderId="1" xfId="0" applyFont="1" applyBorder="1"/>
    <xf numFmtId="0" fontId="30" fillId="0" borderId="0" xfId="0" applyFont="1" applyBorder="1"/>
    <xf numFmtId="0" fontId="29" fillId="0" borderId="0" xfId="0" applyFont="1" applyBorder="1"/>
    <xf numFmtId="4" fontId="29" fillId="0" borderId="0" xfId="0" applyNumberFormat="1" applyFont="1"/>
    <xf numFmtId="43" fontId="30" fillId="0" borderId="0" xfId="2" applyFont="1"/>
    <xf numFmtId="3" fontId="24" fillId="13" borderId="2" xfId="0" applyNumberFormat="1" applyFont="1" applyFill="1" applyBorder="1" applyAlignment="1">
      <alignment vertical="center"/>
    </xf>
    <xf numFmtId="3" fontId="24" fillId="0" borderId="6" xfId="0" applyNumberFormat="1" applyFont="1" applyFill="1" applyBorder="1" applyAlignment="1">
      <alignment vertical="center"/>
    </xf>
    <xf numFmtId="176" fontId="24" fillId="0" borderId="6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" fontId="8" fillId="0" borderId="0" xfId="0" applyNumberFormat="1" applyFont="1"/>
    <xf numFmtId="3" fontId="24" fillId="7" borderId="2" xfId="0" applyNumberFormat="1" applyFont="1" applyFill="1" applyBorder="1" applyAlignment="1">
      <alignment vertical="center"/>
    </xf>
    <xf numFmtId="0" fontId="6" fillId="4" borderId="1" xfId="0" applyFont="1" applyFill="1" applyBorder="1" applyAlignment="1"/>
    <xf numFmtId="0" fontId="6" fillId="4" borderId="1" xfId="0" applyFont="1" applyFill="1" applyBorder="1" applyAlignment="1">
      <alignment wrapText="1"/>
    </xf>
    <xf numFmtId="0" fontId="30" fillId="0" borderId="0" xfId="0" applyFont="1" applyBorder="1" applyAlignment="1">
      <alignment horizontal="center" vertical="center" wrapText="1"/>
    </xf>
    <xf numFmtId="4" fontId="30" fillId="0" borderId="0" xfId="0" applyNumberFormat="1" applyFont="1" applyBorder="1"/>
    <xf numFmtId="4" fontId="29" fillId="0" borderId="0" xfId="0" applyNumberFormat="1" applyFont="1" applyBorder="1"/>
    <xf numFmtId="43" fontId="30" fillId="0" borderId="13" xfId="2" applyFont="1" applyBorder="1"/>
    <xf numFmtId="167" fontId="0" fillId="0" borderId="1" xfId="2" applyNumberFormat="1" applyFont="1" applyBorder="1"/>
    <xf numFmtId="167" fontId="0" fillId="11" borderId="1" xfId="2" applyNumberFormat="1" applyFont="1" applyFill="1" applyBorder="1"/>
    <xf numFmtId="167" fontId="0" fillId="5" borderId="1" xfId="2" applyNumberFormat="1" applyFont="1" applyFill="1" applyBorder="1"/>
    <xf numFmtId="0" fontId="29" fillId="0" borderId="0" xfId="0" applyFont="1"/>
    <xf numFmtId="0" fontId="33" fillId="0" borderId="0" xfId="0" applyFont="1"/>
    <xf numFmtId="0" fontId="34" fillId="0" borderId="13" xfId="0" applyFont="1" applyBorder="1"/>
    <xf numFmtId="0" fontId="34" fillId="0" borderId="13" xfId="0" applyFont="1" applyBorder="1" applyAlignment="1">
      <alignment horizontal="left" indent="1"/>
    </xf>
    <xf numFmtId="0" fontId="34" fillId="0" borderId="0" xfId="0" applyFont="1"/>
    <xf numFmtId="4" fontId="34" fillId="0" borderId="13" xfId="0" applyNumberFormat="1" applyFont="1" applyBorder="1"/>
    <xf numFmtId="3" fontId="30" fillId="0" borderId="13" xfId="0" applyNumberFormat="1" applyFont="1" applyBorder="1"/>
    <xf numFmtId="3" fontId="29" fillId="0" borderId="13" xfId="0" applyNumberFormat="1" applyFont="1" applyBorder="1"/>
    <xf numFmtId="3" fontId="29" fillId="0" borderId="1" xfId="0" applyNumberFormat="1" applyFont="1" applyBorder="1"/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33" fillId="0" borderId="4" xfId="0" applyFont="1" applyBorder="1"/>
    <xf numFmtId="0" fontId="33" fillId="0" borderId="34" xfId="0" applyFont="1" applyBorder="1" applyAlignment="1">
      <alignment horizontal="left" vertical="center" wrapText="1"/>
    </xf>
    <xf numFmtId="3" fontId="33" fillId="0" borderId="1" xfId="0" applyNumberFormat="1" applyFont="1" applyBorder="1"/>
    <xf numFmtId="3" fontId="33" fillId="0" borderId="0" xfId="0" applyNumberFormat="1" applyFont="1"/>
    <xf numFmtId="3" fontId="33" fillId="0" borderId="4" xfId="0" applyNumberFormat="1" applyFont="1" applyBorder="1"/>
    <xf numFmtId="3" fontId="35" fillId="0" borderId="1" xfId="0" applyNumberFormat="1" applyFont="1" applyBorder="1"/>
    <xf numFmtId="0" fontId="30" fillId="0" borderId="4" xfId="0" applyFont="1" applyBorder="1"/>
    <xf numFmtId="4" fontId="30" fillId="0" borderId="0" xfId="0" applyNumberFormat="1" applyFont="1"/>
    <xf numFmtId="3" fontId="30" fillId="0" borderId="6" xfId="0" applyNumberFormat="1" applyFont="1" applyBorder="1"/>
    <xf numFmtId="0" fontId="0" fillId="5" borderId="0" xfId="0" applyFill="1"/>
    <xf numFmtId="164" fontId="10" fillId="5" borderId="1" xfId="4" applyNumberFormat="1" applyFont="1" applyFill="1" applyBorder="1"/>
    <xf numFmtId="0" fontId="30" fillId="5" borderId="13" xfId="0" applyFont="1" applyFill="1" applyBorder="1"/>
    <xf numFmtId="4" fontId="30" fillId="5" borderId="13" xfId="0" applyNumberFormat="1" applyFont="1" applyFill="1" applyBorder="1"/>
    <xf numFmtId="0" fontId="30" fillId="5" borderId="0" xfId="0" applyFont="1" applyFill="1"/>
    <xf numFmtId="4" fontId="30" fillId="5" borderId="0" xfId="0" applyNumberFormat="1" applyFont="1" applyFill="1" applyBorder="1"/>
    <xf numFmtId="0" fontId="29" fillId="5" borderId="13" xfId="0" applyFont="1" applyFill="1" applyBorder="1"/>
    <xf numFmtId="0" fontId="30" fillId="5" borderId="0" xfId="0" applyFont="1" applyFill="1" applyBorder="1"/>
    <xf numFmtId="4" fontId="29" fillId="5" borderId="0" xfId="0" applyNumberFormat="1" applyFont="1" applyFill="1" applyBorder="1"/>
    <xf numFmtId="4" fontId="29" fillId="5" borderId="13" xfId="0" applyNumberFormat="1" applyFont="1" applyFill="1" applyBorder="1"/>
    <xf numFmtId="0" fontId="29" fillId="5" borderId="0" xfId="0" applyFont="1" applyFill="1" applyBorder="1"/>
    <xf numFmtId="0" fontId="30" fillId="5" borderId="13" xfId="0" applyFont="1" applyFill="1" applyBorder="1" applyAlignment="1">
      <alignment horizontal="center" vertical="center" wrapText="1"/>
    </xf>
    <xf numFmtId="0" fontId="30" fillId="5" borderId="22" xfId="0" applyFont="1" applyFill="1" applyBorder="1"/>
    <xf numFmtId="0" fontId="29" fillId="5" borderId="22" xfId="0" applyFont="1" applyFill="1" applyBorder="1"/>
    <xf numFmtId="3" fontId="0" fillId="5" borderId="1" xfId="0" applyNumberFormat="1" applyFill="1" applyBorder="1"/>
    <xf numFmtId="3" fontId="24" fillId="5" borderId="2" xfId="0" applyNumberFormat="1" applyFont="1" applyFill="1" applyBorder="1" applyAlignment="1">
      <alignment vertical="center"/>
    </xf>
    <xf numFmtId="0" fontId="24" fillId="5" borderId="0" xfId="0" applyFont="1" applyFill="1" applyAlignment="1">
      <alignment vertical="center"/>
    </xf>
    <xf numFmtId="0" fontId="24" fillId="5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4" fillId="5" borderId="1" xfId="0" applyNumberFormat="1" applyFont="1" applyFill="1" applyBorder="1" applyAlignment="1">
      <alignment horizontal="center" vertical="center" wrapText="1"/>
    </xf>
    <xf numFmtId="3" fontId="24" fillId="5" borderId="1" xfId="0" applyNumberFormat="1" applyFont="1" applyFill="1" applyBorder="1" applyAlignment="1">
      <alignment vertical="center"/>
    </xf>
    <xf numFmtId="0" fontId="24" fillId="5" borderId="0" xfId="0" applyFont="1" applyFill="1" applyBorder="1" applyAlignment="1">
      <alignment vertical="center"/>
    </xf>
    <xf numFmtId="0" fontId="24" fillId="5" borderId="1" xfId="0" applyFont="1" applyFill="1" applyBorder="1" applyAlignment="1">
      <alignment vertical="center"/>
    </xf>
    <xf numFmtId="167" fontId="24" fillId="5" borderId="1" xfId="2" applyNumberFormat="1" applyFont="1" applyFill="1" applyBorder="1" applyAlignment="1">
      <alignment vertical="center"/>
    </xf>
    <xf numFmtId="168" fontId="3" fillId="0" borderId="0" xfId="0" applyNumberFormat="1" applyFont="1"/>
    <xf numFmtId="9" fontId="0" fillId="0" borderId="1" xfId="3" applyFont="1" applyBorder="1"/>
    <xf numFmtId="0" fontId="0" fillId="0" borderId="0" xfId="0" applyAlignment="1">
      <alignment wrapText="1"/>
    </xf>
    <xf numFmtId="0" fontId="10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5" fillId="5" borderId="1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wrapText="1"/>
    </xf>
    <xf numFmtId="164" fontId="9" fillId="0" borderId="0" xfId="4" applyFont="1" applyAlignment="1">
      <alignment wrapText="1"/>
    </xf>
    <xf numFmtId="49" fontId="8" fillId="0" borderId="1" xfId="0" applyNumberFormat="1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12" fillId="0" borderId="1" xfId="0" applyFont="1" applyBorder="1" applyAlignment="1">
      <alignment horizontal="center"/>
    </xf>
    <xf numFmtId="168" fontId="12" fillId="0" borderId="1" xfId="1" applyNumberFormat="1" applyFont="1" applyBorder="1"/>
    <xf numFmtId="41" fontId="12" fillId="0" borderId="1" xfId="1" applyFont="1" applyBorder="1"/>
    <xf numFmtId="0" fontId="38" fillId="0" borderId="0" xfId="0" applyFont="1"/>
    <xf numFmtId="0" fontId="12" fillId="0" borderId="0" xfId="0" applyFont="1"/>
    <xf numFmtId="0" fontId="13" fillId="0" borderId="0" xfId="0" applyFont="1"/>
    <xf numFmtId="164" fontId="15" fillId="0" borderId="1" xfId="4" applyNumberFormat="1" applyFont="1" applyBorder="1" applyAlignment="1">
      <alignment horizontal="left" indent="1"/>
    </xf>
    <xf numFmtId="164" fontId="15" fillId="0" borderId="1" xfId="4" applyNumberFormat="1" applyFont="1" applyBorder="1"/>
    <xf numFmtId="164" fontId="15" fillId="5" borderId="1" xfId="4" applyNumberFormat="1" applyFont="1" applyFill="1" applyBorder="1"/>
    <xf numFmtId="164" fontId="39" fillId="0" borderId="1" xfId="4" applyNumberFormat="1" applyFont="1" applyBorder="1"/>
    <xf numFmtId="0" fontId="15" fillId="0" borderId="0" xfId="0" applyFont="1" applyAlignment="1">
      <alignment horizontal="left" indent="1"/>
    </xf>
    <xf numFmtId="0" fontId="9" fillId="0" borderId="0" xfId="0" applyFont="1"/>
    <xf numFmtId="0" fontId="10" fillId="0" borderId="0" xfId="0" applyFont="1"/>
    <xf numFmtId="0" fontId="15" fillId="0" borderId="0" xfId="0" applyFont="1"/>
    <xf numFmtId="0" fontId="9" fillId="5" borderId="0" xfId="0" applyFont="1" applyFill="1"/>
    <xf numFmtId="0" fontId="40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2" fillId="5" borderId="0" xfId="0" applyFont="1" applyFill="1"/>
    <xf numFmtId="0" fontId="41" fillId="5" borderId="0" xfId="0" applyFont="1" applyFill="1"/>
    <xf numFmtId="0" fontId="6" fillId="4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4" borderId="1" xfId="0" applyFont="1" applyFill="1" applyBorder="1" applyAlignment="1">
      <alignment horizontal="left"/>
    </xf>
    <xf numFmtId="0" fontId="5" fillId="6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/>
    </xf>
    <xf numFmtId="0" fontId="22" fillId="4" borderId="33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 wrapText="1"/>
    </xf>
    <xf numFmtId="0" fontId="22" fillId="4" borderId="23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2" fillId="4" borderId="33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/>
    </xf>
    <xf numFmtId="0" fontId="10" fillId="9" borderId="7" xfId="0" applyFont="1" applyFill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33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165" fontId="4" fillId="0" borderId="0" xfId="5" applyFont="1" applyAlignment="1">
      <alignment vertical="center"/>
    </xf>
    <xf numFmtId="165" fontId="4" fillId="4" borderId="1" xfId="5" applyFont="1" applyFill="1" applyBorder="1" applyAlignment="1">
      <alignment vertical="center"/>
    </xf>
    <xf numFmtId="165" fontId="4" fillId="4" borderId="0" xfId="5" applyFont="1" applyFill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65" fontId="4" fillId="0" borderId="28" xfId="5" applyFont="1" applyBorder="1" applyAlignment="1">
      <alignment horizontal="center" vertical="center"/>
    </xf>
    <xf numFmtId="165" fontId="4" fillId="0" borderId="29" xfId="5" applyFont="1" applyBorder="1" applyAlignment="1">
      <alignment horizontal="center" vertical="center"/>
    </xf>
    <xf numFmtId="165" fontId="4" fillId="0" borderId="30" xfId="5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/>
    <xf numFmtId="0" fontId="6" fillId="4" borderId="36" xfId="0" applyFont="1" applyFill="1" applyBorder="1" applyAlignment="1"/>
    <xf numFmtId="0" fontId="6" fillId="4" borderId="37" xfId="0" applyFont="1" applyFill="1" applyBorder="1" applyAlignment="1"/>
    <xf numFmtId="0" fontId="6" fillId="4" borderId="31" xfId="0" applyFont="1" applyFill="1" applyBorder="1" applyAlignment="1"/>
    <xf numFmtId="0" fontId="6" fillId="4" borderId="31" xfId="0" applyFont="1" applyFill="1" applyBorder="1" applyAlignment="1">
      <alignment horizontal="left"/>
    </xf>
    <xf numFmtId="0" fontId="6" fillId="4" borderId="9" xfId="0" applyFont="1" applyFill="1" applyBorder="1" applyAlignment="1">
      <alignment horizontal="left"/>
    </xf>
    <xf numFmtId="164" fontId="6" fillId="4" borderId="9" xfId="4" applyFont="1" applyFill="1" applyBorder="1" applyAlignment="1">
      <alignment horizontal="left"/>
    </xf>
    <xf numFmtId="164" fontId="6" fillId="4" borderId="10" xfId="4" applyFont="1" applyFill="1" applyBorder="1" applyAlignment="1">
      <alignment horizontal="left"/>
    </xf>
    <xf numFmtId="0" fontId="6" fillId="5" borderId="25" xfId="0" applyFont="1" applyFill="1" applyBorder="1" applyAlignment="1">
      <alignment horizontal="left"/>
    </xf>
    <xf numFmtId="164" fontId="6" fillId="5" borderId="21" xfId="4" applyFont="1" applyFill="1" applyBorder="1"/>
    <xf numFmtId="164" fontId="6" fillId="5" borderId="25" xfId="4" applyFont="1" applyFill="1" applyBorder="1"/>
    <xf numFmtId="164" fontId="6" fillId="5" borderId="6" xfId="4" applyFont="1" applyFill="1" applyBorder="1"/>
    <xf numFmtId="175" fontId="6" fillId="5" borderId="6" xfId="4" applyNumberFormat="1" applyFont="1" applyFill="1" applyBorder="1"/>
    <xf numFmtId="164" fontId="6" fillId="5" borderId="27" xfId="4" applyFont="1" applyFill="1" applyBorder="1"/>
    <xf numFmtId="164" fontId="6" fillId="5" borderId="1" xfId="4" applyFont="1" applyFill="1" applyBorder="1"/>
    <xf numFmtId="164" fontId="6" fillId="0" borderId="1" xfId="4" applyFont="1" applyBorder="1"/>
    <xf numFmtId="164" fontId="6" fillId="0" borderId="12" xfId="4" applyFont="1" applyBorder="1"/>
    <xf numFmtId="0" fontId="6" fillId="5" borderId="11" xfId="0" applyFont="1" applyFill="1" applyBorder="1" applyAlignment="1">
      <alignment horizontal="left"/>
    </xf>
    <xf numFmtId="164" fontId="6" fillId="5" borderId="3" xfId="4" applyFont="1" applyFill="1" applyBorder="1"/>
    <xf numFmtId="164" fontId="6" fillId="5" borderId="11" xfId="4" applyFont="1" applyFill="1" applyBorder="1"/>
    <xf numFmtId="175" fontId="6" fillId="5" borderId="1" xfId="4" applyNumberFormat="1" applyFont="1" applyFill="1" applyBorder="1"/>
    <xf numFmtId="164" fontId="6" fillId="5" borderId="12" xfId="4" applyFont="1" applyFill="1" applyBorder="1"/>
    <xf numFmtId="0" fontId="3" fillId="5" borderId="11" xfId="0" applyFont="1" applyFill="1" applyBorder="1" applyAlignment="1">
      <alignment horizontal="left"/>
    </xf>
    <xf numFmtId="164" fontId="3" fillId="5" borderId="3" xfId="4" applyFont="1" applyFill="1" applyBorder="1"/>
    <xf numFmtId="164" fontId="3" fillId="5" borderId="11" xfId="4" applyFont="1" applyFill="1" applyBorder="1"/>
    <xf numFmtId="164" fontId="3" fillId="5" borderId="1" xfId="4" applyFont="1" applyFill="1" applyBorder="1"/>
    <xf numFmtId="175" fontId="3" fillId="5" borderId="1" xfId="4" applyNumberFormat="1" applyFont="1" applyFill="1" applyBorder="1"/>
    <xf numFmtId="164" fontId="3" fillId="5" borderId="12" xfId="4" applyFont="1" applyFill="1" applyBorder="1"/>
    <xf numFmtId="164" fontId="3" fillId="0" borderId="12" xfId="4" applyFont="1" applyBorder="1"/>
    <xf numFmtId="0" fontId="8" fillId="5" borderId="11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164" fontId="6" fillId="11" borderId="12" xfId="4" applyFont="1" applyFill="1" applyBorder="1"/>
    <xf numFmtId="0" fontId="5" fillId="0" borderId="0" xfId="0" applyFont="1" applyAlignment="1">
      <alignment vertical="center"/>
    </xf>
    <xf numFmtId="164" fontId="3" fillId="11" borderId="12" xfId="4" applyFont="1" applyFill="1" applyBorder="1"/>
    <xf numFmtId="0" fontId="3" fillId="5" borderId="17" xfId="0" applyFont="1" applyFill="1" applyBorder="1" applyAlignment="1">
      <alignment horizontal="left"/>
    </xf>
    <xf numFmtId="164" fontId="3" fillId="5" borderId="20" xfId="4" applyFont="1" applyFill="1" applyBorder="1"/>
    <xf numFmtId="164" fontId="3" fillId="5" borderId="17" xfId="4" applyFont="1" applyFill="1" applyBorder="1"/>
    <xf numFmtId="164" fontId="3" fillId="5" borderId="18" xfId="4" applyFont="1" applyFill="1" applyBorder="1"/>
    <xf numFmtId="175" fontId="3" fillId="5" borderId="18" xfId="4" applyNumberFormat="1" applyFont="1" applyFill="1" applyBorder="1"/>
    <xf numFmtId="164" fontId="3" fillId="11" borderId="24" xfId="4" applyFont="1" applyFill="1" applyBorder="1"/>
    <xf numFmtId="164" fontId="3" fillId="0" borderId="18" xfId="4" applyFont="1" applyBorder="1"/>
    <xf numFmtId="164" fontId="3" fillId="0" borderId="24" xfId="4" applyFont="1" applyBorder="1"/>
    <xf numFmtId="164" fontId="3" fillId="0" borderId="0" xfId="0" applyNumberFormat="1" applyFont="1"/>
  </cellXfs>
  <cellStyles count="9">
    <cellStyle name="Comma" xfId="2" builtinId="3"/>
    <cellStyle name="Comma [0]" xfId="1" builtinId="6"/>
    <cellStyle name="Millares [0] 2" xfId="4" xr:uid="{00000000-0005-0000-0000-000002000000}"/>
    <cellStyle name="Millares 2" xfId="5" xr:uid="{00000000-0005-0000-0000-000003000000}"/>
    <cellStyle name="Millares 2 3" xfId="6" xr:uid="{00000000-0005-0000-0000-000004000000}"/>
    <cellStyle name="Millares 3" xfId="7" xr:uid="{00000000-0005-0000-0000-000005000000}"/>
    <cellStyle name="Normal" xfId="0" builtinId="0"/>
    <cellStyle name="Normal 2 2" xfId="8" xr:uid="{00000000-0005-0000-0000-000007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PATRICIA/Desktop/Patricia_160624/PERU_PNSR_PEL1226_Anexos/Mision%20de%20Analisis/Version%20ajustada%20post%20mision%20analisis_170917/Cuadro%20de%20Costos%20PE-L1226_1709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Pedro/AppData/Local/Microsoft/Windows/INetCache/Content.Outlook/CDG1NAHJ/Inversi&#243;n%20PIPs%20PIASAR%20v.9_modificado%20P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Resumen C1"/>
      <sheetName val="Resumen C2"/>
      <sheetName val="C1_Contrata"/>
      <sheetName val="C1_Nucleo Ejecutores"/>
      <sheetName val="Datos de los PIPS"/>
      <sheetName val="C2_Gob Regionales"/>
      <sheetName val="C2_Gob Locales"/>
      <sheetName val="C2-Equi JASS"/>
      <sheetName val="C2-Super Sostenib"/>
      <sheetName val="C2-Comunicacion"/>
      <sheetName val="C2 - PNSR"/>
      <sheetName val="C2-Oper Asistida"/>
      <sheetName val="Administración_ME_Auditoria"/>
      <sheetName val="Costos RRHH"/>
    </sheetNames>
    <sheetDataSet>
      <sheetData sheetId="0"/>
      <sheetData sheetId="1"/>
      <sheetData sheetId="2"/>
      <sheetData sheetId="3"/>
      <sheetData sheetId="4"/>
      <sheetData sheetId="5">
        <row r="4">
          <cell r="I4">
            <v>533706.53735849087</v>
          </cell>
          <cell r="L4">
            <v>1374277.1473705275</v>
          </cell>
          <cell r="N4">
            <v>0.27972279932482264</v>
          </cell>
          <cell r="O4">
            <v>0.72027720067517742</v>
          </cell>
          <cell r="Q4">
            <v>69300</v>
          </cell>
          <cell r="R4">
            <v>22800</v>
          </cell>
          <cell r="S4">
            <v>131427.9</v>
          </cell>
          <cell r="T4">
            <v>26846.799999999999</v>
          </cell>
          <cell r="U4">
            <v>61750</v>
          </cell>
          <cell r="W4">
            <v>33962</v>
          </cell>
        </row>
        <row r="5">
          <cell r="I5">
            <v>315764.07065622695</v>
          </cell>
          <cell r="L5">
            <v>800138.71071982605</v>
          </cell>
          <cell r="N5">
            <v>0.28296736590874771</v>
          </cell>
          <cell r="O5">
            <v>0.71703263409125217</v>
          </cell>
          <cell r="Q5">
            <v>57000</v>
          </cell>
          <cell r="R5">
            <v>7800</v>
          </cell>
          <cell r="S5">
            <v>120163.45</v>
          </cell>
          <cell r="T5">
            <v>30647.0593220339</v>
          </cell>
          <cell r="U5">
            <v>57375</v>
          </cell>
          <cell r="W5">
            <v>38074.9</v>
          </cell>
        </row>
        <row r="6">
          <cell r="I6">
            <v>967718.45717213582</v>
          </cell>
          <cell r="L6">
            <v>966799.24282786413</v>
          </cell>
          <cell r="N6">
            <v>0.50023758230391779</v>
          </cell>
          <cell r="O6">
            <v>0.49976241769608215</v>
          </cell>
          <cell r="Q6">
            <v>71100</v>
          </cell>
          <cell r="R6">
            <v>23800</v>
          </cell>
          <cell r="S6">
            <v>36150.379999999997</v>
          </cell>
          <cell r="T6">
            <v>47443.199999999997</v>
          </cell>
          <cell r="U6">
            <v>38500</v>
          </cell>
          <cell r="W6">
            <v>20222.5</v>
          </cell>
        </row>
        <row r="19">
          <cell r="I19">
            <v>2107461.863579527</v>
          </cell>
          <cell r="L19">
            <v>2949734.0042204731</v>
          </cell>
          <cell r="N19">
            <v>0.41672537878117083</v>
          </cell>
          <cell r="O19">
            <v>0.58327462121882911</v>
          </cell>
          <cell r="Q19">
            <v>192883.98</v>
          </cell>
          <cell r="R19">
            <v>24050</v>
          </cell>
          <cell r="S19">
            <v>90271.381207922095</v>
          </cell>
          <cell r="T19">
            <v>90766.555139540811</v>
          </cell>
          <cell r="U19">
            <v>94631.87</v>
          </cell>
        </row>
        <row r="20">
          <cell r="I20">
            <v>1651403.6457771643</v>
          </cell>
          <cell r="L20">
            <v>1607774.629944365</v>
          </cell>
          <cell r="N20">
            <v>0.50669325396493392</v>
          </cell>
          <cell r="O20">
            <v>0.49330674603506602</v>
          </cell>
          <cell r="Q20">
            <v>129703.710112</v>
          </cell>
          <cell r="R20">
            <v>24300</v>
          </cell>
          <cell r="S20">
            <v>191095.91878502068</v>
          </cell>
          <cell r="T20">
            <v>39648.888814979335</v>
          </cell>
          <cell r="U20">
            <v>94379.199999999997</v>
          </cell>
        </row>
        <row r="21">
          <cell r="I21">
            <v>2937916.1701381039</v>
          </cell>
          <cell r="L21">
            <v>4015286.5522618955</v>
          </cell>
          <cell r="N21">
            <v>0.42252704076547321</v>
          </cell>
          <cell r="O21">
            <v>0.57747295923452679</v>
          </cell>
          <cell r="Q21">
            <v>222887.25</v>
          </cell>
          <cell r="R21">
            <v>24050</v>
          </cell>
          <cell r="S21">
            <v>100345.0737664964</v>
          </cell>
          <cell r="T21">
            <v>95449.101495473034</v>
          </cell>
          <cell r="U21">
            <v>100881.74</v>
          </cell>
        </row>
        <row r="22">
          <cell r="I22">
            <v>1691989.9446904284</v>
          </cell>
          <cell r="L22">
            <v>2876553.8929095715</v>
          </cell>
          <cell r="N22">
            <v>0.37035650851481899</v>
          </cell>
          <cell r="O22">
            <v>0.62964349148518095</v>
          </cell>
          <cell r="Q22">
            <v>192883.98</v>
          </cell>
          <cell r="R22">
            <v>24050</v>
          </cell>
          <cell r="S22">
            <v>88417.83</v>
          </cell>
          <cell r="T22">
            <v>90587.75</v>
          </cell>
          <cell r="U22">
            <v>94631.87</v>
          </cell>
        </row>
        <row r="23">
          <cell r="I23">
            <v>1387660.2491566394</v>
          </cell>
          <cell r="L23">
            <v>2459192.0459590508</v>
          </cell>
          <cell r="N23">
            <v>0.360726158089963</v>
          </cell>
          <cell r="O23">
            <v>0.639273841910037</v>
          </cell>
          <cell r="Q23">
            <v>129703.71011200002</v>
          </cell>
          <cell r="R23">
            <v>24300</v>
          </cell>
          <cell r="S23">
            <v>142902.58509418223</v>
          </cell>
          <cell r="T23">
            <v>87207.218573614387</v>
          </cell>
          <cell r="U23">
            <v>92609.2</v>
          </cell>
        </row>
        <row r="24">
          <cell r="I24">
            <v>2018396.6917658346</v>
          </cell>
          <cell r="L24">
            <v>2296074.4533332903</v>
          </cell>
          <cell r="N24">
            <v>0.4678201855767567</v>
          </cell>
          <cell r="O24">
            <v>0.53217981442324325</v>
          </cell>
          <cell r="Q24">
            <v>155333.43</v>
          </cell>
          <cell r="R24">
            <v>40016.54</v>
          </cell>
          <cell r="S24">
            <v>87743.9</v>
          </cell>
          <cell r="T24">
            <v>90382.6</v>
          </cell>
          <cell r="U24">
            <v>94631.87</v>
          </cell>
        </row>
        <row r="30">
          <cell r="I30">
            <v>839542.17758709705</v>
          </cell>
          <cell r="L30">
            <v>1161609.761397511</v>
          </cell>
          <cell r="N30">
            <v>0.41952945262771196</v>
          </cell>
          <cell r="O30">
            <v>0.58047054737228809</v>
          </cell>
          <cell r="Q30">
            <v>69300</v>
          </cell>
          <cell r="R30">
            <v>21300</v>
          </cell>
          <cell r="S30">
            <v>60572.95</v>
          </cell>
          <cell r="T30">
            <v>74911.67</v>
          </cell>
          <cell r="U30">
            <v>63000</v>
          </cell>
          <cell r="W30">
            <v>59086.22</v>
          </cell>
        </row>
        <row r="31">
          <cell r="I31">
            <v>1469972.4847313957</v>
          </cell>
          <cell r="L31">
            <v>2368779.2308686045</v>
          </cell>
          <cell r="N31">
            <v>0.38292981511611979</v>
          </cell>
          <cell r="O31">
            <v>0.61707018488388021</v>
          </cell>
          <cell r="Q31">
            <v>192883.98</v>
          </cell>
          <cell r="R31">
            <v>27300</v>
          </cell>
          <cell r="S31">
            <v>113438.22529170624</v>
          </cell>
          <cell r="T31">
            <v>119205.38457627119</v>
          </cell>
          <cell r="U31">
            <v>95844.32</v>
          </cell>
        </row>
        <row r="32">
          <cell r="I32">
            <v>792882.50177418382</v>
          </cell>
          <cell r="L32">
            <v>1279464.6220360708</v>
          </cell>
          <cell r="N32">
            <v>0.38260120259986941</v>
          </cell>
          <cell r="O32">
            <v>0.61739879740013071</v>
          </cell>
          <cell r="Q32">
            <v>68400</v>
          </cell>
          <cell r="R32">
            <v>21300</v>
          </cell>
          <cell r="S32">
            <v>60799.71</v>
          </cell>
          <cell r="T32">
            <v>74916.47</v>
          </cell>
          <cell r="U32">
            <v>63000</v>
          </cell>
          <cell r="W32">
            <v>56490.32</v>
          </cell>
        </row>
        <row r="33">
          <cell r="I33">
            <v>2864650.7234911053</v>
          </cell>
          <cell r="L33">
            <v>2540106.1629127944</v>
          </cell>
          <cell r="N33">
            <v>0.53002397401025836</v>
          </cell>
          <cell r="O33">
            <v>0.46997602598974164</v>
          </cell>
          <cell r="Q33">
            <v>153666.98000000001</v>
          </cell>
          <cell r="R33">
            <v>29800</v>
          </cell>
          <cell r="S33">
            <v>79323.347559143978</v>
          </cell>
          <cell r="T33">
            <v>97741.01204946838</v>
          </cell>
          <cell r="U33">
            <v>82193.992310589485</v>
          </cell>
        </row>
        <row r="34">
          <cell r="I34">
            <v>1413940.1656145074</v>
          </cell>
          <cell r="L34">
            <v>1538048.6084331064</v>
          </cell>
          <cell r="N34">
            <v>0.47897884234694627</v>
          </cell>
          <cell r="O34">
            <v>0.52102115765305368</v>
          </cell>
          <cell r="Q34">
            <v>106568.82740799998</v>
          </cell>
          <cell r="R34">
            <v>24300</v>
          </cell>
          <cell r="S34">
            <v>73095.752541150083</v>
          </cell>
          <cell r="T34">
            <v>90067.464999035248</v>
          </cell>
          <cell r="U34">
            <v>75741.025904440248</v>
          </cell>
        </row>
        <row r="35">
          <cell r="I35">
            <v>734518.0184862999</v>
          </cell>
          <cell r="L35">
            <v>1060127.0315137</v>
          </cell>
          <cell r="N35">
            <v>0.40928317189312724</v>
          </cell>
          <cell r="O35">
            <v>0.59071682810687276</v>
          </cell>
          <cell r="Q35">
            <v>67500</v>
          </cell>
          <cell r="R35">
            <v>21300</v>
          </cell>
          <cell r="S35">
            <v>36100.75</v>
          </cell>
          <cell r="T35">
            <v>47473.82</v>
          </cell>
          <cell r="U35">
            <v>38500</v>
          </cell>
          <cell r="W35">
            <v>26006</v>
          </cell>
        </row>
        <row r="36">
          <cell r="I36">
            <v>1948756.4067975576</v>
          </cell>
          <cell r="L36">
            <v>2381681.5202024425</v>
          </cell>
          <cell r="N36">
            <v>0.45001370292071097</v>
          </cell>
          <cell r="O36">
            <v>0.54998629707928903</v>
          </cell>
          <cell r="Q36">
            <v>212031.25</v>
          </cell>
          <cell r="R36">
            <v>30550</v>
          </cell>
          <cell r="S36">
            <v>120060.87</v>
          </cell>
          <cell r="T36">
            <v>135237.76000000001</v>
          </cell>
          <cell r="U36">
            <v>100579.29</v>
          </cell>
        </row>
        <row r="39">
          <cell r="I39">
            <v>491723.64155870432</v>
          </cell>
          <cell r="L39">
            <v>751671.34980542818</v>
          </cell>
          <cell r="N39">
            <v>0.39546857191312373</v>
          </cell>
          <cell r="O39">
            <v>0.60453142808687621</v>
          </cell>
          <cell r="Q39">
            <v>65700</v>
          </cell>
          <cell r="R39">
            <v>22800</v>
          </cell>
          <cell r="S39">
            <v>70210.802046899102</v>
          </cell>
          <cell r="T39">
            <v>80378.721406674929</v>
          </cell>
          <cell r="U39">
            <v>61600</v>
          </cell>
          <cell r="W39">
            <v>53919.335182293595</v>
          </cell>
        </row>
        <row r="40">
          <cell r="I40">
            <v>568196.34617856226</v>
          </cell>
          <cell r="L40">
            <v>1458305.1198355306</v>
          </cell>
          <cell r="N40">
            <v>0.28038289421825213</v>
          </cell>
          <cell r="O40">
            <v>0.71961710578174787</v>
          </cell>
          <cell r="Q40">
            <v>67500</v>
          </cell>
          <cell r="R40">
            <v>22800</v>
          </cell>
          <cell r="S40">
            <v>64161.211364652801</v>
          </cell>
          <cell r="T40">
            <v>70356.473464658164</v>
          </cell>
          <cell r="U40">
            <v>61600</v>
          </cell>
          <cell r="W40">
            <v>55392.822698178235</v>
          </cell>
        </row>
        <row r="41">
          <cell r="I41">
            <v>358907.28014489164</v>
          </cell>
          <cell r="L41">
            <v>616866.74824060814</v>
          </cell>
          <cell r="N41">
            <v>0.36781802928156837</v>
          </cell>
          <cell r="O41">
            <v>0.63218197071843174</v>
          </cell>
          <cell r="Q41">
            <v>54750</v>
          </cell>
          <cell r="R41">
            <v>22800</v>
          </cell>
          <cell r="S41">
            <v>55608.044881751055</v>
          </cell>
          <cell r="T41">
            <v>67064.873464658172</v>
          </cell>
          <cell r="U41">
            <v>57250</v>
          </cell>
          <cell r="W41">
            <v>47190.622698178238</v>
          </cell>
        </row>
        <row r="42">
          <cell r="I42">
            <v>619222.17992826388</v>
          </cell>
          <cell r="L42">
            <v>880207.39877165109</v>
          </cell>
          <cell r="N42">
            <v>0.41297183190501174</v>
          </cell>
          <cell r="O42">
            <v>0.58702816809498826</v>
          </cell>
          <cell r="Q42">
            <v>67500</v>
          </cell>
          <cell r="R42">
            <v>22800</v>
          </cell>
          <cell r="S42">
            <v>60449.440000000002</v>
          </cell>
          <cell r="T42">
            <v>68898.27</v>
          </cell>
          <cell r="U42">
            <v>60200</v>
          </cell>
          <cell r="W42">
            <v>53914.92</v>
          </cell>
        </row>
        <row r="43">
          <cell r="I43">
            <v>343689.53638747119</v>
          </cell>
          <cell r="L43">
            <v>1057350.0722040727</v>
          </cell>
          <cell r="N43">
            <v>0.24531036401817366</v>
          </cell>
          <cell r="O43">
            <v>0.75468963598182626</v>
          </cell>
          <cell r="Q43">
            <v>67500</v>
          </cell>
          <cell r="R43">
            <v>22800</v>
          </cell>
          <cell r="S43">
            <v>59983.108807569224</v>
          </cell>
          <cell r="T43">
            <v>68879.07346465817</v>
          </cell>
          <cell r="U43">
            <v>60200</v>
          </cell>
          <cell r="W43">
            <v>53898.52269817824</v>
          </cell>
        </row>
        <row r="44">
          <cell r="I44">
            <v>1689405.3606284894</v>
          </cell>
          <cell r="L44">
            <v>3168582.966171511</v>
          </cell>
          <cell r="N44">
            <v>0.34775821738981322</v>
          </cell>
          <cell r="O44">
            <v>0.65224178261018684</v>
          </cell>
          <cell r="Q44">
            <v>162200.91</v>
          </cell>
          <cell r="R44"/>
          <cell r="S44">
            <v>102360.08267948344</v>
          </cell>
          <cell r="T44">
            <v>112399.88334051656</v>
          </cell>
          <cell r="U44">
            <v>88179.087199999994</v>
          </cell>
        </row>
        <row r="57">
          <cell r="I57">
            <v>1923807.9750195551</v>
          </cell>
          <cell r="L57">
            <v>1957098.8511804449</v>
          </cell>
          <cell r="N57">
            <v>0.49571094106973362</v>
          </cell>
          <cell r="O57">
            <v>0.50428905893026643</v>
          </cell>
          <cell r="Q57">
            <v>185269.91</v>
          </cell>
          <cell r="R57">
            <v>22800</v>
          </cell>
          <cell r="S57">
            <v>108099.27813507964</v>
          </cell>
          <cell r="T57">
            <v>144319.51661068306</v>
          </cell>
          <cell r="U57">
            <v>103394.55</v>
          </cell>
        </row>
        <row r="58">
          <cell r="I58">
            <v>1075185.3382819206</v>
          </cell>
          <cell r="L58">
            <v>2478742.5240982152</v>
          </cell>
          <cell r="N58">
            <v>0.30253437321089793</v>
          </cell>
          <cell r="O58">
            <v>0.69746562678910207</v>
          </cell>
          <cell r="Q58">
            <v>158070.91</v>
          </cell>
          <cell r="R58">
            <v>41288.907619864345</v>
          </cell>
          <cell r="S58">
            <v>105323</v>
          </cell>
          <cell r="T58">
            <v>115158.33</v>
          </cell>
          <cell r="U58">
            <v>28332.31</v>
          </cell>
        </row>
        <row r="59">
          <cell r="I59">
            <v>1085475.1470032732</v>
          </cell>
          <cell r="L59">
            <v>1891798.304974657</v>
          </cell>
          <cell r="N59">
            <v>0.3645869835309033</v>
          </cell>
          <cell r="O59">
            <v>0.63541301646909676</v>
          </cell>
          <cell r="Q59">
            <v>155120.91</v>
          </cell>
          <cell r="R59">
            <v>30166.55262206995</v>
          </cell>
          <cell r="S59">
            <v>95282.46</v>
          </cell>
          <cell r="T59">
            <v>111122.73</v>
          </cell>
          <cell r="U59">
            <v>24035.01</v>
          </cell>
        </row>
        <row r="60">
          <cell r="I60">
            <v>1715826.4568953258</v>
          </cell>
          <cell r="L60">
            <v>2349765.8155046743</v>
          </cell>
          <cell r="N60">
            <v>0.42203603852346938</v>
          </cell>
          <cell r="O60">
            <v>0.57796396147653062</v>
          </cell>
          <cell r="Q60">
            <v>185269.91</v>
          </cell>
          <cell r="R60">
            <v>35807.5</v>
          </cell>
          <cell r="S60">
            <v>116755.7</v>
          </cell>
          <cell r="T60">
            <v>119641.48</v>
          </cell>
          <cell r="U60">
            <v>113150.2</v>
          </cell>
        </row>
        <row r="61">
          <cell r="I61">
            <v>1483713.4126535626</v>
          </cell>
          <cell r="L61">
            <v>2840178.8657350778</v>
          </cell>
          <cell r="N61">
            <v>0.34314301030794631</v>
          </cell>
          <cell r="O61">
            <v>0.65685698969205375</v>
          </cell>
          <cell r="Q61">
            <v>185269.91</v>
          </cell>
          <cell r="R61">
            <v>48849.521611359509</v>
          </cell>
          <cell r="S61">
            <v>108910.14</v>
          </cell>
          <cell r="T61">
            <v>117736.65</v>
          </cell>
          <cell r="U61">
            <v>30019.69</v>
          </cell>
        </row>
        <row r="62">
          <cell r="I62">
            <v>1205546.8875469856</v>
          </cell>
          <cell r="L62">
            <v>1969623.2494530142</v>
          </cell>
          <cell r="N62">
            <v>0.37967946142439596</v>
          </cell>
          <cell r="O62">
            <v>0.62032053857560399</v>
          </cell>
          <cell r="Q62">
            <v>185269.91</v>
          </cell>
          <cell r="R62">
            <v>22800</v>
          </cell>
          <cell r="S62">
            <v>103842.34757954991</v>
          </cell>
          <cell r="T62">
            <v>138603.20530180607</v>
          </cell>
          <cell r="U62">
            <v>106286.292</v>
          </cell>
        </row>
        <row r="63">
          <cell r="I63">
            <v>1365731.0374369058</v>
          </cell>
          <cell r="L63">
            <v>1605134.6982205044</v>
          </cell>
          <cell r="N63">
            <v>0.4597080982303931</v>
          </cell>
          <cell r="O63">
            <v>0.54029190176960695</v>
          </cell>
          <cell r="Q63">
            <v>148512.91</v>
          </cell>
          <cell r="R63">
            <v>41779.756342589972</v>
          </cell>
          <cell r="S63">
            <v>104871.83</v>
          </cell>
          <cell r="T63">
            <v>123618.13</v>
          </cell>
          <cell r="U63">
            <v>28171.33</v>
          </cell>
        </row>
        <row r="64">
          <cell r="I64">
            <v>953205.24968597945</v>
          </cell>
          <cell r="L64">
            <v>1450647.6095140206</v>
          </cell>
          <cell r="N64">
            <v>0.39653227777144617</v>
          </cell>
          <cell r="O64">
            <v>0.60346772222855394</v>
          </cell>
          <cell r="Q64">
            <v>179900.91</v>
          </cell>
          <cell r="R64">
            <v>12600</v>
          </cell>
          <cell r="S64">
            <v>76864.72636605009</v>
          </cell>
          <cell r="T64">
            <v>90476.187681913696</v>
          </cell>
          <cell r="U64">
            <v>88382</v>
          </cell>
        </row>
        <row r="65">
          <cell r="I65">
            <v>1236907.7222732026</v>
          </cell>
          <cell r="L65">
            <v>1979481.8677267977</v>
          </cell>
          <cell r="N65">
            <v>0.38456402362414138</v>
          </cell>
          <cell r="O65">
            <v>0.61543597637585856</v>
          </cell>
          <cell r="Q65">
            <v>183384.98</v>
          </cell>
          <cell r="R65">
            <v>30550</v>
          </cell>
          <cell r="S65">
            <v>114210.13144067797</v>
          </cell>
          <cell r="T65">
            <v>129335.23737288135</v>
          </cell>
          <cell r="U65">
            <v>94379.199999999997</v>
          </cell>
        </row>
        <row r="69">
          <cell r="I69">
            <v>3706853.4936145558</v>
          </cell>
          <cell r="L69">
            <v>2311720.2931854445</v>
          </cell>
          <cell r="N69">
            <v>0.61590230923885414</v>
          </cell>
          <cell r="O69">
            <v>0.38409769076114575</v>
          </cell>
          <cell r="Q69">
            <v>196954.98</v>
          </cell>
          <cell r="R69">
            <v>27300</v>
          </cell>
          <cell r="S69">
            <v>154378.34</v>
          </cell>
          <cell r="T69">
            <v>160775.85</v>
          </cell>
          <cell r="U69">
            <v>113883.28</v>
          </cell>
        </row>
        <row r="76">
          <cell r="I76">
            <v>411604.5689814802</v>
          </cell>
          <cell r="L76">
            <v>840268.72533488018</v>
          </cell>
          <cell r="N76">
            <v>0.32879091745962574</v>
          </cell>
          <cell r="O76">
            <v>0.67120908254037437</v>
          </cell>
          <cell r="Q76">
            <v>68400</v>
          </cell>
          <cell r="R76">
            <v>7800</v>
          </cell>
          <cell r="S76">
            <v>60554.2</v>
          </cell>
          <cell r="T76">
            <v>69995.873464658172</v>
          </cell>
          <cell r="U76">
            <v>62300</v>
          </cell>
          <cell r="W76">
            <v>63150.122698178238</v>
          </cell>
        </row>
        <row r="77">
          <cell r="I77">
            <v>398422.09487990348</v>
          </cell>
          <cell r="L77">
            <v>991535.89639098896</v>
          </cell>
          <cell r="N77">
            <v>0.28664326359648523</v>
          </cell>
          <cell r="O77">
            <v>0.71335673640351482</v>
          </cell>
          <cell r="Q77">
            <v>68400</v>
          </cell>
          <cell r="R77">
            <v>7800</v>
          </cell>
          <cell r="S77">
            <v>61938.1</v>
          </cell>
          <cell r="T77">
            <v>70039.07346465817</v>
          </cell>
          <cell r="U77">
            <v>62300</v>
          </cell>
          <cell r="W77">
            <v>65787.022698178247</v>
          </cell>
        </row>
        <row r="78">
          <cell r="I78">
            <v>980955.0944267367</v>
          </cell>
          <cell r="L78">
            <v>2070398.885573263</v>
          </cell>
          <cell r="N78">
            <v>0.32148190634596147</v>
          </cell>
          <cell r="O78">
            <v>0.67851809365403859</v>
          </cell>
          <cell r="Q78">
            <v>110060.37</v>
          </cell>
          <cell r="R78">
            <v>17800</v>
          </cell>
          <cell r="S78">
            <v>85036.31</v>
          </cell>
          <cell r="T78">
            <v>90096.29</v>
          </cell>
          <cell r="U78">
            <v>93684.92</v>
          </cell>
        </row>
        <row r="79">
          <cell r="I79">
            <v>952067.78586623678</v>
          </cell>
          <cell r="L79">
            <v>1919037.8459094828</v>
          </cell>
          <cell r="N79">
            <v>0.33160318984063381</v>
          </cell>
          <cell r="O79">
            <v>0.66839681015936625</v>
          </cell>
          <cell r="Q79">
            <v>110060.37</v>
          </cell>
          <cell r="R79">
            <v>17800</v>
          </cell>
          <cell r="S79">
            <v>84716.744999999995</v>
          </cell>
          <cell r="T79">
            <v>90050.111499999999</v>
          </cell>
          <cell r="U79">
            <v>93684.92</v>
          </cell>
        </row>
        <row r="80">
          <cell r="I80">
            <v>1721995.910783974</v>
          </cell>
          <cell r="L80">
            <v>1841671.9193309688</v>
          </cell>
          <cell r="N80">
            <v>0.48320887155423586</v>
          </cell>
          <cell r="O80">
            <v>0.51679112844576403</v>
          </cell>
          <cell r="Q80">
            <v>110060.37</v>
          </cell>
          <cell r="R80">
            <v>17800</v>
          </cell>
          <cell r="S80">
            <v>83459.073305084734</v>
          </cell>
          <cell r="T80">
            <v>89871.361440677967</v>
          </cell>
          <cell r="U80">
            <v>93684.92</v>
          </cell>
        </row>
        <row r="95">
          <cell r="I95">
            <v>1739580.4297139687</v>
          </cell>
          <cell r="L95">
            <v>1071003.7738860315</v>
          </cell>
          <cell r="N95">
            <v>0.61893909013143522</v>
          </cell>
          <cell r="O95">
            <v>0.38106090986856472</v>
          </cell>
          <cell r="Q95">
            <v>140529.21000000002</v>
          </cell>
          <cell r="R95">
            <v>50850</v>
          </cell>
          <cell r="S95">
            <v>102128</v>
          </cell>
          <cell r="T95">
            <v>122712.63</v>
          </cell>
          <cell r="U95">
            <v>94200.78</v>
          </cell>
        </row>
        <row r="96">
          <cell r="I96">
            <v>3061499.0098598641</v>
          </cell>
          <cell r="L96">
            <v>4322218.9599401355</v>
          </cell>
          <cell r="N96">
            <v>0.4146283786002718</v>
          </cell>
          <cell r="O96">
            <v>0.58537162139972831</v>
          </cell>
          <cell r="Q96">
            <v>369185.89850000001</v>
          </cell>
          <cell r="R96">
            <v>67050</v>
          </cell>
          <cell r="S96">
            <v>143973.44500000001</v>
          </cell>
          <cell r="T96">
            <v>139039.33499999999</v>
          </cell>
          <cell r="U96">
            <v>94200.78</v>
          </cell>
        </row>
        <row r="97">
          <cell r="I97">
            <v>1018300.5957756448</v>
          </cell>
          <cell r="L97">
            <v>1772585.5610243552</v>
          </cell>
          <cell r="N97">
            <v>0.36486640391782132</v>
          </cell>
          <cell r="O97">
            <v>0.63513359608217868</v>
          </cell>
          <cell r="Q97">
            <v>139544.30800000002</v>
          </cell>
          <cell r="R97">
            <v>50850</v>
          </cell>
          <cell r="S97">
            <v>102828.95712000001</v>
          </cell>
          <cell r="T97">
            <v>100412.15663999999</v>
          </cell>
          <cell r="U97">
            <v>48274.2</v>
          </cell>
        </row>
        <row r="98">
          <cell r="I98">
            <v>1312095.3251282598</v>
          </cell>
          <cell r="L98">
            <v>2081305.8880717405</v>
          </cell>
          <cell r="N98">
            <v>0.38666082867664953</v>
          </cell>
          <cell r="O98">
            <v>0.61333917132335058</v>
          </cell>
          <cell r="Q98">
            <v>169670.060601</v>
          </cell>
          <cell r="R98">
            <v>18450</v>
          </cell>
          <cell r="S98">
            <v>104442.76763517562</v>
          </cell>
          <cell r="T98">
            <v>123393.23469136901</v>
          </cell>
          <cell r="U98">
            <v>94200.78</v>
          </cell>
        </row>
        <row r="99">
          <cell r="I99">
            <v>1233297.0431042949</v>
          </cell>
          <cell r="L99">
            <v>2404477.9456957052</v>
          </cell>
          <cell r="N99">
            <v>0.33902510377947398</v>
          </cell>
          <cell r="O99">
            <v>0.66097489622052596</v>
          </cell>
          <cell r="Q99">
            <v>181888.75</v>
          </cell>
          <cell r="R99">
            <v>50850</v>
          </cell>
          <cell r="S99">
            <v>104071.49712</v>
          </cell>
          <cell r="T99">
            <v>100836.95664000009</v>
          </cell>
          <cell r="U99">
            <v>48274.196000000004</v>
          </cell>
        </row>
        <row r="100">
          <cell r="I100">
            <v>462987.4804182243</v>
          </cell>
          <cell r="L100">
            <v>695456.10653592041</v>
          </cell>
          <cell r="N100">
            <v>0.39966338079141261</v>
          </cell>
          <cell r="O100">
            <v>0.60033661920858727</v>
          </cell>
          <cell r="Q100">
            <v>69300</v>
          </cell>
          <cell r="R100">
            <v>2250</v>
          </cell>
          <cell r="S100">
            <v>69614.435816045196</v>
          </cell>
          <cell r="T100">
            <v>91423.433248135596</v>
          </cell>
          <cell r="U100">
            <v>123700</v>
          </cell>
          <cell r="W100">
            <v>22481</v>
          </cell>
        </row>
        <row r="101">
          <cell r="I101"/>
          <cell r="L101">
            <v>1315278.7075484444</v>
          </cell>
          <cell r="N101">
            <v>0</v>
          </cell>
          <cell r="O101">
            <v>1</v>
          </cell>
          <cell r="Q101">
            <v>57750</v>
          </cell>
          <cell r="R101">
            <v>18300</v>
          </cell>
          <cell r="S101">
            <v>60640.776949152547</v>
          </cell>
          <cell r="T101">
            <v>97623.56</v>
          </cell>
          <cell r="U101">
            <v>63950</v>
          </cell>
          <cell r="W101">
            <v>27469.88</v>
          </cell>
        </row>
        <row r="102">
          <cell r="I102">
            <v>1694153.0609360947</v>
          </cell>
          <cell r="L102">
            <v>2818610.2414639052</v>
          </cell>
          <cell r="N102">
            <v>0.37541367614718496</v>
          </cell>
          <cell r="O102">
            <v>0.62458632385281487</v>
          </cell>
          <cell r="Q102">
            <v>225638.16500000001</v>
          </cell>
          <cell r="R102">
            <v>18450</v>
          </cell>
          <cell r="S102">
            <v>100448.27918680693</v>
          </cell>
          <cell r="T102">
            <v>99769.70641072726</v>
          </cell>
          <cell r="U102">
            <v>99467.63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Verificación"/>
      <sheetName val="Inv. C1"/>
      <sheetName val="1. EL TRIUNFO"/>
      <sheetName val="2. SELVA VERDE"/>
      <sheetName val="3. PEÑA BLANCA"/>
      <sheetName val="4. SAN ANTONIO"/>
      <sheetName val="5. ISLA GRANDE"/>
      <sheetName val="6. PERLA DEL IMAZA"/>
      <sheetName val="7. DUELAC"/>
      <sheetName val="8. ACHU"/>
      <sheetName val="9. ALTO PAJAKUS"/>
      <sheetName val="10. HEBRON"/>
      <sheetName val="11. SEASME"/>
      <sheetName val="12. KAYAMAS"/>
      <sheetName val="13. TUTIN"/>
      <sheetName val="14. TAMBOCUCHO PDF"/>
      <sheetName val="15. CCATUS URCUS PDF"/>
      <sheetName val="16. CADMALCA ALTO"/>
      <sheetName val="17. LANCHEPATA"/>
      <sheetName val="18. CADMALCA BAJO"/>
      <sheetName val="19. ALTO CAÑAFISTO"/>
      <sheetName val="20. SANTA ROSA DEL TINGO"/>
      <sheetName val="21. PALMA CONCHUD"/>
      <sheetName val="22. NAMO"/>
      <sheetName val="23. HUANGASHANGA ALTA"/>
      <sheetName val="24. TAURIPAMPA"/>
      <sheetName val="25. VISTA ALEGRE DE CAMSE"/>
      <sheetName val="26. SHITABAMBA"/>
      <sheetName val="27. EL CONVENTO"/>
      <sheetName val="28. BUENOS AIRES"/>
      <sheetName val="29. SURO ANTIVO"/>
      <sheetName val="30. SAN PABLO"/>
      <sheetName val="31. SAN JUAN PAMPA"/>
      <sheetName val="32. SHUMAYA"/>
      <sheetName val="33. BAJO CHALAMARCA"/>
      <sheetName val="34. SAN MARTIN"/>
      <sheetName val="35. MONTERRICO"/>
      <sheetName val="36. SAN SEBASTIÁN"/>
      <sheetName val="37. SANTA MARTHA"/>
      <sheetName val="38. CAMPA PAURIALI"/>
      <sheetName val="39. ALTO HUAHUARI"/>
      <sheetName val="40. SAN JOSE DE PAURIALI "/>
      <sheetName val="41. SHEVOJA"/>
      <sheetName val="42. CENTRO HUAHUARI"/>
      <sheetName val="43. ANAPATE"/>
      <sheetName val="44. BAJO CELENDIN"/>
      <sheetName val="45. SAN VICENTE DE CAÑETE"/>
      <sheetName val="46. CENTRO PIOTOA"/>
      <sheetName val="47. SAN MIGUEL DE CUVIRIAKI"/>
      <sheetName val="48. ALTO CAPIRUSHARI"/>
      <sheetName val="49. BELLA DURMIENTE"/>
      <sheetName val="50. RÍO SANTA"/>
      <sheetName val="51. ATAHUALPA"/>
      <sheetName val="52. PIJUAYAL"/>
      <sheetName val="53. SACHAPAPA"/>
      <sheetName val="54. SAN MARTIN DE PAJONAL"/>
      <sheetName val="55. SUCCHA"/>
      <sheetName val="56. MONTE GRANDE ALTO"/>
      <sheetName val="57. TRIGAL"/>
      <sheetName val="58. SAHUATIRCA"/>
      <sheetName val="59. PIRGA"/>
      <sheetName val="60. TIERRA NEGRA"/>
      <sheetName val="61. CRUZ DE PIEDRA"/>
      <sheetName val="62. SANTA ROSA"/>
      <sheetName val="63. YANGUA"/>
      <sheetName val="64. CATALUCO"/>
      <sheetName val="65. SANTA ROSA (AYA)"/>
      <sheetName val="66. PAMPA DE LOS SILVA"/>
      <sheetName val="67. TUPAC AMARU II"/>
      <sheetName val="68. PHUSCA"/>
      <sheetName val="69. CARACARA"/>
      <sheetName val="70. CENTRAL SORAPA"/>
      <sheetName val="71. CASCADA MUÑANI CHICO"/>
      <sheetName val="72. IGUARA"/>
      <sheetName val="73. UMACHULLO"/>
      <sheetName val="74. URCOPATA"/>
      <sheetName val="75. MACHUNGO"/>
      <sheetName val="76. NUEVO HORIZONTE"/>
      <sheetName val="77. VISTA ALEGRE"/>
      <sheetName val="78. ALTO CUTERVO"/>
      <sheetName val="79. NUEVA ESPERANZA"/>
      <sheetName val="80. BUENOS AIRES"/>
      <sheetName val="81. SANTA ROSILLO DE UPAQUIHUA"/>
      <sheetName val="82. SANTA ANA DEL RIO MAYO"/>
      <sheetName val="83. BAGAZAN"/>
      <sheetName val="84. LIMABAMBA"/>
      <sheetName val="85. DONCEL"/>
      <sheetName val="86. NUEVA VIDA"/>
      <sheetName val="87. NUEVA FLORIDA"/>
      <sheetName val="88. SAN ANDRES"/>
      <sheetName val="89. VALLE HERMOSO"/>
      <sheetName val="90. EL MIRADOR"/>
      <sheetName val="91. SANTA ROSA (SM)"/>
      <sheetName val="92. PUERTO BERMUDEZ"/>
      <sheetName val="93. LAS AMERICAS"/>
      <sheetName val="94. TIERRA BUENA"/>
      <sheetName val="95. VIRGEN DEL CARMEN"/>
      <sheetName val="96. ESPERANZA"/>
      <sheetName val="97. SANTA ISABEL DE BAHUANISHO"/>
      <sheetName val="98. PAMPAS VERDES"/>
      <sheetName val="99. SAN PEDRO DE LAGARTO"/>
      <sheetName val="100. NUEVA ESPERANZA DE PANAILL"/>
    </sheetNames>
    <sheetDataSet>
      <sheetData sheetId="0"/>
      <sheetData sheetId="1"/>
      <sheetData sheetId="2"/>
      <sheetData sheetId="3"/>
      <sheetData sheetId="4">
        <row r="4">
          <cell r="I4">
            <v>468964.02</v>
          </cell>
          <cell r="J4">
            <v>64742.517358490819</v>
          </cell>
          <cell r="K4">
            <v>1207567.25</v>
          </cell>
          <cell r="L4">
            <v>166709.89737052753</v>
          </cell>
        </row>
        <row r="27">
          <cell r="C27">
            <v>69300</v>
          </cell>
        </row>
        <row r="32">
          <cell r="C32">
            <v>22800</v>
          </cell>
        </row>
        <row r="42">
          <cell r="I42">
            <v>131427.9</v>
          </cell>
          <cell r="J42">
            <v>26846.799999999999</v>
          </cell>
          <cell r="K42">
            <v>61750</v>
          </cell>
        </row>
        <row r="57">
          <cell r="C57">
            <v>33962</v>
          </cell>
        </row>
      </sheetData>
      <sheetData sheetId="5">
        <row r="9">
          <cell r="G9">
            <v>266457.84999999998</v>
          </cell>
          <cell r="H9">
            <v>49306.220656226986</v>
          </cell>
          <cell r="I9">
            <v>675197.91</v>
          </cell>
          <cell r="J9">
            <v>124940.80071982602</v>
          </cell>
        </row>
        <row r="26">
          <cell r="C26">
            <v>57000</v>
          </cell>
        </row>
        <row r="31">
          <cell r="C31">
            <v>7800</v>
          </cell>
        </row>
        <row r="39">
          <cell r="H39">
            <v>120163.45</v>
          </cell>
          <cell r="I39">
            <v>30647.0593220339</v>
          </cell>
          <cell r="J39">
            <v>57375</v>
          </cell>
        </row>
        <row r="57">
          <cell r="C57">
            <v>38074.9</v>
          </cell>
        </row>
      </sheetData>
      <sheetData sheetId="6">
        <row r="9">
          <cell r="H9">
            <v>854267.72</v>
          </cell>
          <cell r="I9">
            <v>113450.73717213588</v>
          </cell>
          <cell r="J9">
            <v>853456.27</v>
          </cell>
          <cell r="K9">
            <v>113342.97282786413</v>
          </cell>
        </row>
        <row r="68">
          <cell r="C68">
            <v>71100</v>
          </cell>
        </row>
        <row r="72">
          <cell r="C72">
            <v>20222.5</v>
          </cell>
        </row>
        <row r="74">
          <cell r="C74">
            <v>23800</v>
          </cell>
        </row>
        <row r="86">
          <cell r="J86">
            <v>36150.379999999997</v>
          </cell>
          <cell r="K86">
            <v>47443.199999999997</v>
          </cell>
          <cell r="L86">
            <v>38500</v>
          </cell>
        </row>
      </sheetData>
      <sheetData sheetId="7">
        <row r="45">
          <cell r="E45">
            <v>107452.27499999999</v>
          </cell>
        </row>
        <row r="98">
          <cell r="E98">
            <v>23800</v>
          </cell>
        </row>
        <row r="136">
          <cell r="D136">
            <v>990434.99</v>
          </cell>
          <cell r="E136">
            <v>175669.76951345807</v>
          </cell>
          <cell r="F136">
            <v>209898.85348445864</v>
          </cell>
          <cell r="G136">
            <v>1523910.08</v>
          </cell>
          <cell r="H136">
            <v>270290.26156763249</v>
          </cell>
          <cell r="I136">
            <v>322956.05651554139</v>
          </cell>
        </row>
        <row r="141">
          <cell r="E141">
            <v>100736.4133</v>
          </cell>
          <cell r="F141">
            <v>116364.63829999996</v>
          </cell>
          <cell r="G141">
            <v>88179.09</v>
          </cell>
        </row>
      </sheetData>
      <sheetData sheetId="8">
        <row r="30">
          <cell r="E30">
            <v>149750</v>
          </cell>
        </row>
        <row r="31">
          <cell r="E31">
            <v>42963</v>
          </cell>
        </row>
        <row r="32">
          <cell r="E32">
            <v>18987.62</v>
          </cell>
        </row>
        <row r="37">
          <cell r="E37">
            <v>78745.86</v>
          </cell>
        </row>
        <row r="62">
          <cell r="I62">
            <v>1162550.9637150003</v>
          </cell>
          <cell r="M62">
            <v>1456093.1195999999</v>
          </cell>
        </row>
        <row r="67">
          <cell r="G67">
            <v>129740.22</v>
          </cell>
          <cell r="H67">
            <v>76393.69</v>
          </cell>
          <cell r="I67">
            <v>92199.679999999993</v>
          </cell>
        </row>
      </sheetData>
      <sheetData sheetId="9">
        <row r="38">
          <cell r="E38">
            <v>42153.85</v>
          </cell>
        </row>
        <row r="39">
          <cell r="E39">
            <v>118881.97</v>
          </cell>
        </row>
        <row r="40">
          <cell r="E40">
            <v>15000</v>
          </cell>
        </row>
        <row r="68">
          <cell r="I68">
            <v>1134421.95</v>
          </cell>
          <cell r="M68">
            <v>1243217.5000000002</v>
          </cell>
        </row>
        <row r="73">
          <cell r="G73">
            <v>75410.179999999993</v>
          </cell>
          <cell r="H73">
            <v>61268.37</v>
          </cell>
        </row>
      </sheetData>
      <sheetData sheetId="10">
        <row r="31">
          <cell r="E31">
            <v>42153.85</v>
          </cell>
        </row>
        <row r="32">
          <cell r="E32">
            <v>77809.2</v>
          </cell>
        </row>
        <row r="33">
          <cell r="E33">
            <v>15000</v>
          </cell>
        </row>
        <row r="36">
          <cell r="E36">
            <v>23129.200000000001</v>
          </cell>
        </row>
        <row r="62">
          <cell r="I62">
            <v>1155633.27</v>
          </cell>
          <cell r="M62">
            <v>997273.41999999993</v>
          </cell>
        </row>
        <row r="67">
          <cell r="G67">
            <v>61839.414367873891</v>
          </cell>
          <cell r="H67">
            <v>47697.605277373907</v>
          </cell>
          <cell r="I67">
            <v>27141.528424500008</v>
          </cell>
        </row>
      </sheetData>
      <sheetData sheetId="11">
        <row r="6">
          <cell r="F6">
            <v>1719.3914999999997</v>
          </cell>
        </row>
        <row r="7">
          <cell r="F7">
            <v>419.81174999999996</v>
          </cell>
        </row>
        <row r="8">
          <cell r="F8">
            <v>2203.57575</v>
          </cell>
        </row>
        <row r="9">
          <cell r="F9">
            <v>38693.686499999996</v>
          </cell>
        </row>
        <row r="10">
          <cell r="F10">
            <v>3206.3107500000001</v>
          </cell>
        </row>
        <row r="11">
          <cell r="F11">
            <v>6105.2624999999998</v>
          </cell>
        </row>
        <row r="12">
          <cell r="F12">
            <v>5116.1310000000003</v>
          </cell>
        </row>
        <row r="13">
          <cell r="F13">
            <v>55383.905249999996</v>
          </cell>
          <cell r="N13">
            <v>121609.48000000001</v>
          </cell>
          <cell r="O13">
            <v>71440.040000000008</v>
          </cell>
          <cell r="P13">
            <v>38609.9</v>
          </cell>
        </row>
        <row r="14">
          <cell r="F14">
            <v>25746.561000000002</v>
          </cell>
        </row>
        <row r="15">
          <cell r="F15">
            <v>103803.87150000001</v>
          </cell>
        </row>
        <row r="16">
          <cell r="F16">
            <v>12422.25</v>
          </cell>
        </row>
        <row r="17">
          <cell r="C17">
            <v>1132536.7000000002</v>
          </cell>
          <cell r="D17">
            <v>283134.17500000005</v>
          </cell>
        </row>
        <row r="18">
          <cell r="G18">
            <v>83524.58</v>
          </cell>
        </row>
        <row r="22">
          <cell r="G22">
            <v>10663.98</v>
          </cell>
        </row>
        <row r="23">
          <cell r="I23">
            <v>1491162.883322356</v>
          </cell>
        </row>
        <row r="30">
          <cell r="C30">
            <v>1904.42</v>
          </cell>
          <cell r="D30">
            <v>476.10500000000002</v>
          </cell>
          <cell r="F30">
            <v>428.49450000000002</v>
          </cell>
        </row>
        <row r="31">
          <cell r="C31">
            <v>40697.78</v>
          </cell>
          <cell r="D31">
            <v>10174.445</v>
          </cell>
          <cell r="F31">
            <v>9157.0005000000001</v>
          </cell>
        </row>
        <row r="32">
          <cell r="C32">
            <v>646068.16</v>
          </cell>
          <cell r="D32">
            <v>161517.04</v>
          </cell>
          <cell r="F32">
            <v>145365.33600000001</v>
          </cell>
        </row>
        <row r="33">
          <cell r="C33">
            <v>1639152.52</v>
          </cell>
          <cell r="D33">
            <v>409788.13</v>
          </cell>
          <cell r="F33">
            <v>368809.31699999998</v>
          </cell>
        </row>
        <row r="34">
          <cell r="C34">
            <v>296445.84000000003</v>
          </cell>
          <cell r="D34">
            <v>74111.460000000006</v>
          </cell>
          <cell r="F34">
            <v>66700.314000000013</v>
          </cell>
        </row>
        <row r="35">
          <cell r="C35">
            <v>391475.97000000003</v>
          </cell>
          <cell r="D35">
            <v>97868.992500000008</v>
          </cell>
          <cell r="F35">
            <v>88082.093250000005</v>
          </cell>
        </row>
        <row r="36">
          <cell r="C36">
            <v>397706.55</v>
          </cell>
          <cell r="D36">
            <v>99426.637499999997</v>
          </cell>
          <cell r="F36">
            <v>89483.97374999999</v>
          </cell>
        </row>
        <row r="37">
          <cell r="C37">
            <v>55210</v>
          </cell>
          <cell r="D37">
            <v>13802.5</v>
          </cell>
          <cell r="F37">
            <v>12422.25</v>
          </cell>
        </row>
        <row r="39">
          <cell r="G39">
            <v>255813.77</v>
          </cell>
        </row>
        <row r="43">
          <cell r="G43">
            <v>33788.25</v>
          </cell>
        </row>
        <row r="44">
          <cell r="I44">
            <v>4564414.3258288139</v>
          </cell>
        </row>
      </sheetData>
      <sheetData sheetId="12">
        <row r="29">
          <cell r="E29">
            <v>100157.79</v>
          </cell>
        </row>
        <row r="32">
          <cell r="E32">
            <v>78745.86</v>
          </cell>
        </row>
        <row r="34">
          <cell r="E34">
            <v>42963</v>
          </cell>
        </row>
        <row r="35">
          <cell r="E35">
            <v>18680</v>
          </cell>
        </row>
        <row r="61">
          <cell r="I61">
            <v>1012323.43</v>
          </cell>
          <cell r="M61">
            <v>1253689.8899999999</v>
          </cell>
        </row>
        <row r="66">
          <cell r="G66">
            <v>114914.2</v>
          </cell>
          <cell r="H66">
            <v>77567.11</v>
          </cell>
          <cell r="I66">
            <v>54245.440000000002</v>
          </cell>
        </row>
      </sheetData>
      <sheetData sheetId="13">
        <row r="42">
          <cell r="E42">
            <v>102646.25</v>
          </cell>
        </row>
        <row r="44">
          <cell r="E44">
            <v>44452.23</v>
          </cell>
        </row>
        <row r="45">
          <cell r="E45">
            <v>18680</v>
          </cell>
        </row>
        <row r="71">
          <cell r="I71">
            <v>873059.91</v>
          </cell>
          <cell r="M71">
            <v>1179865.1100000001</v>
          </cell>
        </row>
        <row r="76">
          <cell r="G76">
            <v>86908.77</v>
          </cell>
          <cell r="H76">
            <v>41866.99</v>
          </cell>
          <cell r="I76">
            <v>19316.36</v>
          </cell>
        </row>
      </sheetData>
      <sheetData sheetId="14">
        <row r="46">
          <cell r="E46">
            <v>218364.79</v>
          </cell>
        </row>
        <row r="48">
          <cell r="E48">
            <v>44452.23</v>
          </cell>
        </row>
        <row r="49">
          <cell r="E49">
            <v>18680</v>
          </cell>
        </row>
        <row r="75">
          <cell r="I75">
            <v>1728114.75</v>
          </cell>
          <cell r="M75">
            <v>2639180.96</v>
          </cell>
        </row>
        <row r="80">
          <cell r="G80">
            <v>93725.04</v>
          </cell>
          <cell r="H80">
            <v>41866.99</v>
          </cell>
          <cell r="I80">
            <v>20338.8</v>
          </cell>
        </row>
      </sheetData>
      <sheetData sheetId="15">
        <row r="39">
          <cell r="E39">
            <v>163612.93</v>
          </cell>
        </row>
        <row r="41">
          <cell r="E41">
            <v>44452.23</v>
          </cell>
        </row>
        <row r="42">
          <cell r="E42">
            <v>18680</v>
          </cell>
        </row>
        <row r="68">
          <cell r="I68">
            <v>1110368.1100000001</v>
          </cell>
          <cell r="M68">
            <v>2161890.41</v>
          </cell>
        </row>
        <row r="73">
          <cell r="G73">
            <v>93725.04</v>
          </cell>
          <cell r="H73">
            <v>41866.99</v>
          </cell>
          <cell r="I73">
            <v>20338.8</v>
          </cell>
        </row>
      </sheetData>
      <sheetData sheetId="16">
        <row r="28">
          <cell r="D28">
            <v>18987.62</v>
          </cell>
        </row>
        <row r="57">
          <cell r="E57">
            <v>643084.22</v>
          </cell>
          <cell r="F57">
            <v>177175.31106399038</v>
          </cell>
          <cell r="G57">
            <v>147646.71559151827</v>
          </cell>
          <cell r="I57">
            <v>1659325.81</v>
          </cell>
          <cell r="J57">
            <v>457158.7319360096</v>
          </cell>
          <cell r="K57">
            <v>380967.21754848171</v>
          </cell>
        </row>
        <row r="62">
          <cell r="F62">
            <v>129740.22277333333</v>
          </cell>
          <cell r="G62">
            <v>76393.686296153843</v>
          </cell>
          <cell r="H62">
            <v>125004.08927249999</v>
          </cell>
        </row>
        <row r="96">
          <cell r="H96">
            <v>41826.547265779591</v>
          </cell>
        </row>
        <row r="100">
          <cell r="H100">
            <v>21481.485000000001</v>
          </cell>
        </row>
        <row r="115">
          <cell r="H115">
            <v>107923.45273422039</v>
          </cell>
        </row>
        <row r="119">
          <cell r="H119">
            <v>21481.485000000001</v>
          </cell>
        </row>
        <row r="127">
          <cell r="J127">
            <v>2940103.7143703573</v>
          </cell>
        </row>
      </sheetData>
      <sheetData sheetId="17">
        <row r="27">
          <cell r="C27">
            <v>79800</v>
          </cell>
        </row>
        <row r="76">
          <cell r="C76">
            <v>22800</v>
          </cell>
        </row>
        <row r="102">
          <cell r="D102">
            <v>570623.26</v>
          </cell>
          <cell r="E102">
            <v>101145.62621863473</v>
          </cell>
          <cell r="H102">
            <v>893820.24</v>
          </cell>
          <cell r="I102">
            <v>158433.79378136527</v>
          </cell>
        </row>
        <row r="107">
          <cell r="E107">
            <v>66422.2</v>
          </cell>
          <cell r="F107">
            <v>72888.87</v>
          </cell>
          <cell r="G107">
            <v>66700</v>
          </cell>
        </row>
        <row r="121">
          <cell r="C121">
            <v>62996.7</v>
          </cell>
        </row>
      </sheetData>
      <sheetData sheetId="18">
        <row r="27">
          <cell r="C27">
            <v>79800</v>
          </cell>
        </row>
        <row r="76">
          <cell r="C76">
            <v>22800</v>
          </cell>
        </row>
        <row r="106">
          <cell r="D106">
            <v>363232.39</v>
          </cell>
          <cell r="E106">
            <v>58864.777679458362</v>
          </cell>
          <cell r="H106">
            <v>1241708.69</v>
          </cell>
          <cell r="I106">
            <v>201229.04232054163</v>
          </cell>
        </row>
        <row r="111">
          <cell r="E111">
            <v>70556.5</v>
          </cell>
          <cell r="F111">
            <v>73052.070000000007</v>
          </cell>
          <cell r="G111">
            <v>66700</v>
          </cell>
        </row>
        <row r="125">
          <cell r="C125">
            <v>63136.1</v>
          </cell>
        </row>
      </sheetData>
      <sheetData sheetId="19">
        <row r="16">
          <cell r="F16">
            <v>192883.98</v>
          </cell>
        </row>
        <row r="17">
          <cell r="F17">
            <v>24050</v>
          </cell>
        </row>
        <row r="41">
          <cell r="E41">
            <v>1526051.2</v>
          </cell>
          <cell r="F41">
            <v>259933.43015214169</v>
          </cell>
          <cell r="G41">
            <v>321477.23342738551</v>
          </cell>
          <cell r="H41">
            <v>2135955.6700000004</v>
          </cell>
          <cell r="I41">
            <v>363818.90984785842</v>
          </cell>
          <cell r="J41">
            <v>449959.42437261454</v>
          </cell>
        </row>
        <row r="49">
          <cell r="G49">
            <v>90271.381207922095</v>
          </cell>
          <cell r="H49">
            <v>90766.555139540811</v>
          </cell>
          <cell r="I49">
            <v>94631.87</v>
          </cell>
        </row>
      </sheetData>
      <sheetData sheetId="20">
        <row r="12">
          <cell r="G12">
            <v>1159763.83</v>
          </cell>
          <cell r="H12">
            <v>239730.78506539343</v>
          </cell>
          <cell r="I12">
            <v>251909.03071177081</v>
          </cell>
          <cell r="J12">
            <v>1129123.6200000001</v>
          </cell>
          <cell r="K12">
            <v>233397.25283420761</v>
          </cell>
          <cell r="L12">
            <v>245253.75711015737</v>
          </cell>
        </row>
        <row r="20">
          <cell r="M20">
            <v>191095.91878502068</v>
          </cell>
          <cell r="N20">
            <v>39648.888814979335</v>
          </cell>
          <cell r="O20">
            <v>94379.199999999997</v>
          </cell>
        </row>
        <row r="21">
          <cell r="E21">
            <v>129703.710112</v>
          </cell>
        </row>
        <row r="25">
          <cell r="E25">
            <v>24300</v>
          </cell>
        </row>
      </sheetData>
      <sheetData sheetId="21">
        <row r="16">
          <cell r="F16">
            <v>222887.25</v>
          </cell>
        </row>
        <row r="17">
          <cell r="F17">
            <v>24050</v>
          </cell>
        </row>
        <row r="46">
          <cell r="E46">
            <v>2137764.9699999997</v>
          </cell>
          <cell r="F46">
            <v>351994.49621873262</v>
          </cell>
          <cell r="G46">
            <v>448156.70391937182</v>
          </cell>
          <cell r="H46">
            <v>2921709.96</v>
          </cell>
          <cell r="I46">
            <v>481075.25378126738</v>
          </cell>
          <cell r="J46">
            <v>612501.3384806281</v>
          </cell>
        </row>
        <row r="54">
          <cell r="G54">
            <v>100345.0737664964</v>
          </cell>
          <cell r="H54">
            <v>95449.101495473034</v>
          </cell>
          <cell r="I54">
            <v>100881.74</v>
          </cell>
        </row>
      </sheetData>
      <sheetData sheetId="22">
        <row r="16">
          <cell r="F16">
            <v>192883.98</v>
          </cell>
        </row>
        <row r="17">
          <cell r="F17">
            <v>24050</v>
          </cell>
        </row>
        <row r="48">
          <cell r="E48">
            <v>1222006.94</v>
          </cell>
          <cell r="F48">
            <v>211882.84363595629</v>
          </cell>
          <cell r="G48">
            <v>258100.16105447212</v>
          </cell>
          <cell r="H48">
            <v>2077535.2899999998</v>
          </cell>
          <cell r="I48">
            <v>360222.24636404362</v>
          </cell>
          <cell r="J48">
            <v>438796.35654552781</v>
          </cell>
        </row>
        <row r="56">
          <cell r="G56">
            <v>88417.83</v>
          </cell>
          <cell r="H56">
            <v>90587.75</v>
          </cell>
          <cell r="I56">
            <v>94631.87</v>
          </cell>
        </row>
      </sheetData>
      <sheetData sheetId="23">
        <row r="12">
          <cell r="G12">
            <v>978620.61</v>
          </cell>
          <cell r="H12">
            <v>197362.65199715225</v>
          </cell>
          <cell r="I12">
            <v>211676.98715948738</v>
          </cell>
          <cell r="J12">
            <v>1734297.73</v>
          </cell>
          <cell r="K12">
            <v>349763.32589750091</v>
          </cell>
          <cell r="L12">
            <v>375130.99006155011</v>
          </cell>
        </row>
        <row r="21">
          <cell r="E21">
            <v>129703.71011200002</v>
          </cell>
        </row>
        <row r="25">
          <cell r="E25">
            <v>24300</v>
          </cell>
        </row>
        <row r="29">
          <cell r="K29">
            <v>142902.58509418223</v>
          </cell>
          <cell r="L29">
            <v>87207.218573614387</v>
          </cell>
          <cell r="M29">
            <v>92609.2</v>
          </cell>
        </row>
      </sheetData>
      <sheetData sheetId="24">
        <row r="29">
          <cell r="C29">
            <v>155333.43</v>
          </cell>
        </row>
        <row r="33">
          <cell r="C33">
            <v>40016.54</v>
          </cell>
        </row>
        <row r="48">
          <cell r="C48">
            <v>1411764.22</v>
          </cell>
          <cell r="D48">
            <v>298741.45098799543</v>
          </cell>
          <cell r="E48">
            <v>307891.02077783918</v>
          </cell>
          <cell r="F48">
            <v>1605985.47</v>
          </cell>
          <cell r="G48">
            <v>339840.33790956804</v>
          </cell>
          <cell r="H48">
            <v>350248.64542372222</v>
          </cell>
        </row>
        <row r="60">
          <cell r="E60">
            <v>87743.9</v>
          </cell>
          <cell r="F60">
            <v>90382.6</v>
          </cell>
          <cell r="G60">
            <v>94631.87</v>
          </cell>
        </row>
      </sheetData>
      <sheetData sheetId="25">
        <row r="18">
          <cell r="F18">
            <v>193006.11</v>
          </cell>
        </row>
        <row r="19">
          <cell r="F19">
            <v>27300</v>
          </cell>
        </row>
        <row r="52">
          <cell r="F52">
            <v>1001349.34</v>
          </cell>
          <cell r="G52">
            <v>175337.08170201335</v>
          </cell>
          <cell r="H52">
            <v>211803.55597942727</v>
          </cell>
          <cell r="I52">
            <v>1739638.99</v>
          </cell>
          <cell r="J52">
            <v>304612.19829798664</v>
          </cell>
          <cell r="K52">
            <v>367965.21402057278</v>
          </cell>
        </row>
        <row r="57">
          <cell r="G57">
            <v>39308.526821076361</v>
          </cell>
          <cell r="H57">
            <v>50452.264576271191</v>
          </cell>
          <cell r="I57">
            <v>42000</v>
          </cell>
        </row>
      </sheetData>
      <sheetData sheetId="26">
        <row r="38">
          <cell r="D38">
            <v>2800</v>
          </cell>
        </row>
        <row r="39">
          <cell r="D39">
            <v>1200</v>
          </cell>
        </row>
        <row r="61">
          <cell r="E61">
            <v>1173932.8330010287</v>
          </cell>
          <cell r="F61">
            <v>211307.9099401852</v>
          </cell>
          <cell r="G61">
            <v>249343.33372941852</v>
          </cell>
          <cell r="I61">
            <v>1684086.9869989711</v>
          </cell>
          <cell r="J61">
            <v>303135.65765981481</v>
          </cell>
          <cell r="K61">
            <v>357700.07603858149</v>
          </cell>
        </row>
        <row r="66">
          <cell r="F66">
            <v>116940.85324</v>
          </cell>
          <cell r="G66">
            <v>153380.37423999998</v>
          </cell>
          <cell r="H66">
            <v>52214.993280894989</v>
          </cell>
        </row>
        <row r="113">
          <cell r="I113">
            <v>130766.73081200001</v>
          </cell>
        </row>
        <row r="115">
          <cell r="I115">
            <v>53646.930236</v>
          </cell>
        </row>
        <row r="116">
          <cell r="I116">
            <v>20331.664674000003</v>
          </cell>
        </row>
        <row r="137">
          <cell r="I137">
            <v>187593.81910399999</v>
          </cell>
        </row>
        <row r="140">
          <cell r="I140">
            <v>76960.189763999995</v>
          </cell>
        </row>
        <row r="141">
          <cell r="I141">
            <v>20331.664674000003</v>
          </cell>
        </row>
        <row r="150">
          <cell r="K150">
            <v>4000971.1995579866</v>
          </cell>
        </row>
      </sheetData>
      <sheetData sheetId="27">
        <row r="39">
          <cell r="D39">
            <v>15000</v>
          </cell>
        </row>
        <row r="64">
          <cell r="E64">
            <v>1564082.9807287368</v>
          </cell>
          <cell r="F64">
            <v>281534.9365311726</v>
          </cell>
          <cell r="G64">
            <v>332211.22510678368</v>
          </cell>
          <cell r="I64">
            <v>2685536.4099999997</v>
          </cell>
          <cell r="J64">
            <v>483396.55379999988</v>
          </cell>
          <cell r="K64">
            <v>570407.93348399992</v>
          </cell>
        </row>
        <row r="69">
          <cell r="F69">
            <v>167966.68558447046</v>
          </cell>
          <cell r="G69">
            <v>32199.638962128549</v>
          </cell>
          <cell r="H69">
            <v>51170.700000000004</v>
          </cell>
        </row>
        <row r="112">
          <cell r="H112">
            <v>174070.15980533545</v>
          </cell>
        </row>
        <row r="115">
          <cell r="H115">
            <v>18797.22209719579</v>
          </cell>
        </row>
        <row r="118">
          <cell r="H118">
            <v>14392.595236199621</v>
          </cell>
        </row>
        <row r="136">
          <cell r="H136">
            <v>299147.27178272</v>
          </cell>
        </row>
        <row r="138">
          <cell r="H138">
            <v>32303.857902804215</v>
          </cell>
        </row>
        <row r="139">
          <cell r="H139">
            <v>25080.104763800347</v>
          </cell>
        </row>
        <row r="149">
          <cell r="J149">
            <v>5616247.929350201</v>
          </cell>
        </row>
      </sheetData>
      <sheetData sheetId="28">
        <row r="94">
          <cell r="E94">
            <v>1146344.27</v>
          </cell>
          <cell r="F94">
            <v>181659.58536525979</v>
          </cell>
          <cell r="G94">
            <v>239040.69476400065</v>
          </cell>
          <cell r="I94">
            <v>2300211.19</v>
          </cell>
          <cell r="J94">
            <v>364511.2746347402</v>
          </cell>
          <cell r="K94">
            <v>479650.04523599939</v>
          </cell>
        </row>
        <row r="99">
          <cell r="F99">
            <v>146320.59</v>
          </cell>
          <cell r="G99">
            <v>137514.26999999999</v>
          </cell>
          <cell r="H99">
            <v>99605.77</v>
          </cell>
        </row>
        <row r="148">
          <cell r="H148">
            <v>153653.10999999999</v>
          </cell>
        </row>
        <row r="154">
          <cell r="H154">
            <v>24050</v>
          </cell>
        </row>
        <row r="155">
          <cell r="H155">
            <v>40511.769999999997</v>
          </cell>
        </row>
      </sheetData>
      <sheetData sheetId="29">
        <row r="64">
          <cell r="D64">
            <v>16320.82</v>
          </cell>
        </row>
        <row r="91">
          <cell r="E91">
            <v>864978.7</v>
          </cell>
          <cell r="F91">
            <v>138396.592</v>
          </cell>
          <cell r="G91">
            <v>180607.55</v>
          </cell>
          <cell r="I91">
            <v>1096903.58</v>
          </cell>
          <cell r="J91">
            <v>175504.57280000002</v>
          </cell>
          <cell r="K91">
            <v>229033.47</v>
          </cell>
        </row>
        <row r="96">
          <cell r="F96">
            <v>103221.4488</v>
          </cell>
          <cell r="G96">
            <v>83864.160799999998</v>
          </cell>
          <cell r="H96">
            <v>36997.164000000004</v>
          </cell>
        </row>
        <row r="142">
          <cell r="I142">
            <v>19818.61381253611</v>
          </cell>
        </row>
        <row r="143">
          <cell r="I143">
            <v>59199.144599999992</v>
          </cell>
        </row>
        <row r="171">
          <cell r="I171">
            <v>25132.537387463886</v>
          </cell>
        </row>
        <row r="172">
          <cell r="I172">
            <v>75072.077640000003</v>
          </cell>
        </row>
        <row r="187">
          <cell r="K187">
            <v>2524733.26281616</v>
          </cell>
        </row>
      </sheetData>
      <sheetData sheetId="30">
        <row r="21">
          <cell r="M21">
            <v>69300</v>
          </cell>
        </row>
        <row r="39">
          <cell r="M39">
            <v>21300</v>
          </cell>
        </row>
        <row r="69">
          <cell r="I69">
            <v>734059.12</v>
          </cell>
          <cell r="J69">
            <v>105483.05758709708</v>
          </cell>
          <cell r="L69">
            <v>1015660.99</v>
          </cell>
          <cell r="M69">
            <v>145948.77139751092</v>
          </cell>
        </row>
        <row r="80">
          <cell r="J80">
            <v>60572.95</v>
          </cell>
          <cell r="K80">
            <v>74911.67</v>
          </cell>
          <cell r="L80">
            <v>63000</v>
          </cell>
        </row>
        <row r="94">
          <cell r="H94">
            <v>59086.22</v>
          </cell>
        </row>
      </sheetData>
      <sheetData sheetId="31">
        <row r="16">
          <cell r="F16">
            <v>192883.98</v>
          </cell>
        </row>
        <row r="17">
          <cell r="F17">
            <v>27300</v>
          </cell>
        </row>
        <row r="43">
          <cell r="F43">
            <v>1055817.95</v>
          </cell>
          <cell r="G43">
            <v>189921.4438401658</v>
          </cell>
          <cell r="H43">
            <v>224233.09089122983</v>
          </cell>
          <cell r="I43">
            <v>1701392.1400000001</v>
          </cell>
          <cell r="J43">
            <v>306047.88615983422</v>
          </cell>
          <cell r="K43">
            <v>361339.20470877015</v>
          </cell>
        </row>
        <row r="50">
          <cell r="G50">
            <v>113438.22529170624</v>
          </cell>
          <cell r="H50">
            <v>119205.38457627119</v>
          </cell>
          <cell r="I50">
            <v>95844.32</v>
          </cell>
        </row>
      </sheetData>
      <sheetData sheetId="32">
        <row r="21">
          <cell r="M21">
            <v>68400</v>
          </cell>
        </row>
        <row r="39">
          <cell r="M39">
            <v>21300</v>
          </cell>
        </row>
        <row r="69">
          <cell r="I69">
            <v>691030.15</v>
          </cell>
          <cell r="J69">
            <v>101852.3517741838</v>
          </cell>
          <cell r="L69">
            <v>1115106.75</v>
          </cell>
          <cell r="M69">
            <v>164357.87203607082</v>
          </cell>
        </row>
        <row r="80">
          <cell r="J80">
            <v>60799.71</v>
          </cell>
          <cell r="K80">
            <v>74916.47</v>
          </cell>
          <cell r="L80">
            <v>63000</v>
          </cell>
        </row>
        <row r="93">
          <cell r="H93">
            <v>56490.32</v>
          </cell>
        </row>
      </sheetData>
      <sheetData sheetId="33">
        <row r="11">
          <cell r="G11">
            <v>2064008.5100000002</v>
          </cell>
          <cell r="H11">
            <v>363661.594653479</v>
          </cell>
          <cell r="I11">
            <v>436980.61883762624</v>
          </cell>
          <cell r="J11">
            <v>1830171.02</v>
          </cell>
          <cell r="K11">
            <v>322461.32145152061</v>
          </cell>
          <cell r="L11">
            <v>387473.82146127371</v>
          </cell>
        </row>
        <row r="20">
          <cell r="E20">
            <v>153666.98000000001</v>
          </cell>
        </row>
        <row r="22">
          <cell r="E22">
            <v>29800</v>
          </cell>
          <cell r="I22">
            <v>79323.347559143978</v>
          </cell>
          <cell r="J22">
            <v>97741.01204946838</v>
          </cell>
          <cell r="K22">
            <v>82193.992310589485</v>
          </cell>
        </row>
      </sheetData>
      <sheetData sheetId="34">
        <row r="65">
          <cell r="I65">
            <v>1012205.8799999999</v>
          </cell>
          <cell r="J65">
            <v>186048.49763941325</v>
          </cell>
          <cell r="K65">
            <v>215685.78797509434</v>
          </cell>
          <cell r="L65">
            <v>1101052.1399999999</v>
          </cell>
          <cell r="M65">
            <v>202378.88409585302</v>
          </cell>
          <cell r="N65">
            <v>234617.5843372535</v>
          </cell>
        </row>
        <row r="74">
          <cell r="G74">
            <v>106568.82740799998</v>
          </cell>
        </row>
        <row r="76">
          <cell r="G76">
            <v>24300</v>
          </cell>
        </row>
        <row r="79">
          <cell r="K79">
            <v>73095.752541150083</v>
          </cell>
          <cell r="L79">
            <v>90067.464999035248</v>
          </cell>
          <cell r="M79">
            <v>75741.025904440248</v>
          </cell>
        </row>
      </sheetData>
      <sheetData sheetId="35">
        <row r="21">
          <cell r="M21">
            <v>67500</v>
          </cell>
        </row>
        <row r="39">
          <cell r="M39">
            <v>21300</v>
          </cell>
        </row>
        <row r="69">
          <cell r="I69">
            <v>636495.28</v>
          </cell>
          <cell r="J69">
            <v>98022.738486299873</v>
          </cell>
          <cell r="L69">
            <v>918651.19</v>
          </cell>
          <cell r="M69">
            <v>141475.84151370011</v>
          </cell>
        </row>
        <row r="80">
          <cell r="J80">
            <v>36100.75</v>
          </cell>
          <cell r="K80">
            <v>47473.82</v>
          </cell>
          <cell r="L80">
            <v>38500</v>
          </cell>
        </row>
        <row r="93">
          <cell r="H93">
            <v>26006</v>
          </cell>
        </row>
      </sheetData>
      <sheetData sheetId="36">
        <row r="16">
          <cell r="F16">
            <v>212031.25</v>
          </cell>
        </row>
        <row r="17">
          <cell r="F17">
            <v>30550</v>
          </cell>
        </row>
        <row r="52">
          <cell r="F52">
            <v>1406124.44</v>
          </cell>
          <cell r="G52">
            <v>245364.0403369132</v>
          </cell>
          <cell r="H52">
            <v>297267.92646064435</v>
          </cell>
          <cell r="I52">
            <v>1718501.39</v>
          </cell>
          <cell r="J52">
            <v>299872.77966308687</v>
          </cell>
          <cell r="K52">
            <v>363307.3505393556</v>
          </cell>
        </row>
        <row r="57">
          <cell r="G57">
            <v>120060.87</v>
          </cell>
          <cell r="H57">
            <v>135237.76000000001</v>
          </cell>
          <cell r="I57">
            <v>100579.29</v>
          </cell>
        </row>
      </sheetData>
      <sheetData sheetId="37">
        <row r="36">
          <cell r="E36">
            <v>183384.98</v>
          </cell>
        </row>
      </sheetData>
      <sheetData sheetId="38">
        <row r="32">
          <cell r="D32">
            <v>218547.40465084749</v>
          </cell>
        </row>
        <row r="37">
          <cell r="D37">
            <v>24050</v>
          </cell>
        </row>
        <row r="64">
          <cell r="E64">
            <v>947521.85</v>
          </cell>
          <cell r="F64">
            <v>185102.96078141686</v>
          </cell>
          <cell r="G64">
            <v>203872.46548500861</v>
          </cell>
          <cell r="I64">
            <v>1131989.1099999999</v>
          </cell>
          <cell r="J64">
            <v>221139.52921858313</v>
          </cell>
          <cell r="K64">
            <v>243563.15451499145</v>
          </cell>
        </row>
        <row r="69">
          <cell r="F69">
            <v>39275.480000000003</v>
          </cell>
          <cell r="G69">
            <v>50425.13</v>
          </cell>
          <cell r="H69">
            <v>42000</v>
          </cell>
        </row>
      </sheetData>
      <sheetData sheetId="39">
        <row r="39">
          <cell r="R39">
            <v>65700</v>
          </cell>
        </row>
        <row r="41">
          <cell r="R41">
            <v>22800</v>
          </cell>
        </row>
        <row r="58">
          <cell r="D58">
            <v>362031.77118644066</v>
          </cell>
          <cell r="E58">
            <v>54683.179287037572</v>
          </cell>
          <cell r="F58">
            <v>75008.691085226092</v>
          </cell>
          <cell r="G58">
            <v>553418.39830508479</v>
          </cell>
          <cell r="H58">
            <v>83591.220174091606</v>
          </cell>
          <cell r="I58">
            <v>114661.73132625176</v>
          </cell>
        </row>
        <row r="68">
          <cell r="D68">
            <v>70210.802046899102</v>
          </cell>
          <cell r="E68">
            <v>80378.721406674929</v>
          </cell>
          <cell r="F68">
            <v>61600</v>
          </cell>
        </row>
        <row r="82">
          <cell r="B82">
            <v>53919.335182293595</v>
          </cell>
        </row>
      </sheetData>
      <sheetData sheetId="40">
        <row r="19">
          <cell r="J19">
            <v>67500</v>
          </cell>
        </row>
        <row r="32">
          <cell r="J32">
            <v>22800</v>
          </cell>
        </row>
        <row r="49">
          <cell r="I49">
            <v>501885.49</v>
          </cell>
          <cell r="J49">
            <v>66310.85617856223</v>
          </cell>
          <cell r="L49">
            <v>1288114.8999999999</v>
          </cell>
          <cell r="M49">
            <v>170190.21983553073</v>
          </cell>
        </row>
        <row r="61">
          <cell r="F61">
            <v>64161.211364652801</v>
          </cell>
          <cell r="G61">
            <v>70356.473464658164</v>
          </cell>
          <cell r="H61">
            <v>61600</v>
          </cell>
        </row>
        <row r="76">
          <cell r="D76">
            <v>55392.822698178235</v>
          </cell>
        </row>
      </sheetData>
      <sheetData sheetId="41">
        <row r="19">
          <cell r="J19">
            <v>54750</v>
          </cell>
        </row>
        <row r="32">
          <cell r="J32">
            <v>22800</v>
          </cell>
        </row>
        <row r="49">
          <cell r="I49">
            <v>307963.52000000002</v>
          </cell>
          <cell r="J49">
            <v>50943.760144891639</v>
          </cell>
          <cell r="L49">
            <v>529307.89</v>
          </cell>
          <cell r="M49">
            <v>87558.858240608126</v>
          </cell>
        </row>
        <row r="61">
          <cell r="F61">
            <v>55608.044881751055</v>
          </cell>
          <cell r="G61">
            <v>67064.873464658172</v>
          </cell>
          <cell r="H61">
            <v>57250</v>
          </cell>
        </row>
        <row r="75">
          <cell r="D75">
            <v>47190.622698178238</v>
          </cell>
        </row>
      </sheetData>
      <sheetData sheetId="42">
        <row r="19">
          <cell r="J19">
            <v>67500</v>
          </cell>
        </row>
        <row r="32">
          <cell r="J32">
            <v>22800</v>
          </cell>
        </row>
        <row r="49">
          <cell r="I49">
            <v>534948.46</v>
          </cell>
          <cell r="J49">
            <v>84273.719928263905</v>
          </cell>
          <cell r="L49">
            <v>760414.61</v>
          </cell>
          <cell r="M49">
            <v>119792.78877165107</v>
          </cell>
        </row>
        <row r="61">
          <cell r="F61">
            <v>60449.440000000002</v>
          </cell>
          <cell r="G61">
            <v>68898.27</v>
          </cell>
          <cell r="H61">
            <v>60200</v>
          </cell>
        </row>
        <row r="75">
          <cell r="D75">
            <v>53914.92</v>
          </cell>
        </row>
      </sheetData>
      <sheetData sheetId="43">
        <row r="18">
          <cell r="J18">
            <v>67500</v>
          </cell>
        </row>
        <row r="31">
          <cell r="J31">
            <v>22800</v>
          </cell>
        </row>
        <row r="49">
          <cell r="I49">
            <v>295513</v>
          </cell>
          <cell r="J49">
            <v>48176.536387471177</v>
          </cell>
          <cell r="L49">
            <v>909136.47000000009</v>
          </cell>
          <cell r="M49">
            <v>148213.60220407258</v>
          </cell>
        </row>
        <row r="61">
          <cell r="F61">
            <v>59983.108807569224</v>
          </cell>
          <cell r="G61">
            <v>68879.07346465817</v>
          </cell>
          <cell r="H61">
            <v>60200</v>
          </cell>
        </row>
        <row r="75">
          <cell r="D75">
            <v>53898.52269817824</v>
          </cell>
        </row>
      </sheetData>
      <sheetData sheetId="44">
        <row r="15">
          <cell r="F15">
            <v>162200.91</v>
          </cell>
        </row>
        <row r="52">
          <cell r="F52">
            <v>1252005.3</v>
          </cell>
          <cell r="G52">
            <v>179694.15815973689</v>
          </cell>
          <cell r="H52">
            <v>257705.90246875261</v>
          </cell>
          <cell r="I52">
            <v>2348212.4300000002</v>
          </cell>
          <cell r="J52">
            <v>337027.37184026308</v>
          </cell>
          <cell r="K52">
            <v>483343.16433124739</v>
          </cell>
        </row>
        <row r="57">
          <cell r="G57">
            <v>102360.08267948344</v>
          </cell>
          <cell r="H57">
            <v>112399.88334051656</v>
          </cell>
          <cell r="I57">
            <v>88179.087199999994</v>
          </cell>
        </row>
      </sheetData>
      <sheetData sheetId="45">
        <row r="29">
          <cell r="G29">
            <v>44829.69</v>
          </cell>
        </row>
        <row r="30">
          <cell r="G30">
            <v>3537.5</v>
          </cell>
        </row>
        <row r="31">
          <cell r="G31">
            <v>67500</v>
          </cell>
        </row>
        <row r="34">
          <cell r="G34">
            <v>22800</v>
          </cell>
        </row>
        <row r="77">
          <cell r="D77">
            <v>348770.24711864407</v>
          </cell>
          <cell r="E77">
            <v>54049.392838234999</v>
          </cell>
          <cell r="F77">
            <v>30713.062881355901</v>
          </cell>
          <cell r="G77">
            <v>923353.17474576272</v>
          </cell>
          <cell r="H77">
            <v>143093.27955170444</v>
          </cell>
          <cell r="I77">
            <v>110885.23525423722</v>
          </cell>
        </row>
        <row r="82">
          <cell r="E82">
            <v>62593.753661525894</v>
          </cell>
          <cell r="F82">
            <v>69893.48</v>
          </cell>
          <cell r="G82">
            <v>61600</v>
          </cell>
        </row>
        <row r="107">
          <cell r="C107">
            <v>54324.82</v>
          </cell>
        </row>
      </sheetData>
      <sheetData sheetId="46">
        <row r="5">
          <cell r="E5">
            <v>934347.12000000011</v>
          </cell>
          <cell r="F5">
            <v>93434.712000000014</v>
          </cell>
          <cell r="G5">
            <v>93434.712000000014</v>
          </cell>
          <cell r="I5">
            <v>201818.97791999998</v>
          </cell>
        </row>
        <row r="15">
          <cell r="J15">
            <v>63477.399989879486</v>
          </cell>
        </row>
        <row r="26">
          <cell r="J26">
            <v>72477.184950714291</v>
          </cell>
        </row>
        <row r="32">
          <cell r="J32">
            <v>22629.35</v>
          </cell>
        </row>
        <row r="33">
          <cell r="J33">
            <v>4525.87</v>
          </cell>
        </row>
        <row r="34">
          <cell r="J34">
            <v>46717.356000000007</v>
          </cell>
        </row>
        <row r="35">
          <cell r="J35">
            <v>14967.099704464288</v>
          </cell>
        </row>
        <row r="36">
          <cell r="L36">
            <v>1301838.8452302902</v>
          </cell>
        </row>
        <row r="43">
          <cell r="E43">
            <v>872658.1100000001</v>
          </cell>
          <cell r="F43">
            <v>87265.811000000002</v>
          </cell>
          <cell r="G43">
            <v>87265.811000000002</v>
          </cell>
          <cell r="I43">
            <v>188494.15176000001</v>
          </cell>
        </row>
        <row r="51">
          <cell r="J51">
            <v>70108.26134440623</v>
          </cell>
        </row>
        <row r="55">
          <cell r="J55">
            <v>22629.35</v>
          </cell>
        </row>
        <row r="56">
          <cell r="J56">
            <v>4525.87</v>
          </cell>
        </row>
        <row r="57">
          <cell r="J57">
            <v>43632.905500000008</v>
          </cell>
        </row>
        <row r="58">
          <cell r="J58">
            <v>14041.764554464287</v>
          </cell>
        </row>
        <row r="59">
          <cell r="L59">
            <v>1125381.6550934932</v>
          </cell>
        </row>
      </sheetData>
      <sheetData sheetId="47">
        <row r="46">
          <cell r="F46">
            <v>54750</v>
          </cell>
        </row>
        <row r="49">
          <cell r="F49">
            <v>19800</v>
          </cell>
        </row>
        <row r="75">
          <cell r="D75">
            <v>437902.51999999996</v>
          </cell>
          <cell r="E75">
            <v>60150.910743878274</v>
          </cell>
          <cell r="G75">
            <v>625042.34000000008</v>
          </cell>
          <cell r="H75">
            <v>85856.701634155528</v>
          </cell>
        </row>
        <row r="80">
          <cell r="E80">
            <v>32985.379999999997</v>
          </cell>
          <cell r="F80">
            <v>44433.2</v>
          </cell>
          <cell r="G80">
            <v>35000</v>
          </cell>
        </row>
        <row r="95">
          <cell r="C95">
            <v>14842</v>
          </cell>
        </row>
      </sheetData>
      <sheetData sheetId="48">
        <row r="38">
          <cell r="G38">
            <v>54750</v>
          </cell>
        </row>
        <row r="41">
          <cell r="G41">
            <v>19800</v>
          </cell>
        </row>
        <row r="67">
          <cell r="D67">
            <v>496231.63</v>
          </cell>
          <cell r="E67">
            <v>65747.020839458448</v>
          </cell>
          <cell r="G67">
            <v>641911.40999999992</v>
          </cell>
          <cell r="H67">
            <v>85048.514239924916</v>
          </cell>
        </row>
        <row r="72">
          <cell r="E72">
            <v>32983.58</v>
          </cell>
          <cell r="F72">
            <v>44431.795948161009</v>
          </cell>
          <cell r="G72">
            <v>35000</v>
          </cell>
        </row>
        <row r="87">
          <cell r="C87">
            <v>14842</v>
          </cell>
        </row>
      </sheetData>
      <sheetData sheetId="49">
        <row r="37">
          <cell r="G37">
            <v>56250</v>
          </cell>
        </row>
        <row r="40">
          <cell r="G40">
            <v>19800</v>
          </cell>
        </row>
        <row r="66">
          <cell r="D66">
            <v>289577.76</v>
          </cell>
          <cell r="E66">
            <v>61578.736944484248</v>
          </cell>
          <cell r="G66">
            <v>417123.51</v>
          </cell>
          <cell r="H66">
            <v>88701.352257334758</v>
          </cell>
        </row>
        <row r="71">
          <cell r="E71">
            <v>32948.269999999997</v>
          </cell>
          <cell r="F71">
            <v>44405.2</v>
          </cell>
          <cell r="G71">
            <v>35000</v>
          </cell>
        </row>
        <row r="84">
          <cell r="C84">
            <v>14842</v>
          </cell>
        </row>
      </sheetData>
      <sheetData sheetId="50">
        <row r="5">
          <cell r="E5">
            <v>1350565.22</v>
          </cell>
          <cell r="F5">
            <v>100705.62801123399</v>
          </cell>
          <cell r="G5">
            <v>135056.522</v>
          </cell>
          <cell r="I5">
            <v>285538.92660202208</v>
          </cell>
        </row>
        <row r="20">
          <cell r="J20">
            <v>73697.894836656415</v>
          </cell>
        </row>
        <row r="31">
          <cell r="J31">
            <v>37001.232777298421</v>
          </cell>
        </row>
        <row r="39">
          <cell r="J39">
            <v>27148.098037728003</v>
          </cell>
        </row>
        <row r="40">
          <cell r="J40">
            <v>19478.126648515405</v>
          </cell>
        </row>
        <row r="42">
          <cell r="J42">
            <v>19833</v>
          </cell>
        </row>
        <row r="43">
          <cell r="L43">
            <v>1726118.9686074716</v>
          </cell>
        </row>
        <row r="50">
          <cell r="E50">
            <v>887214.32</v>
          </cell>
          <cell r="F50">
            <v>66155.616887690863</v>
          </cell>
          <cell r="G50">
            <v>88721.432000000001</v>
          </cell>
          <cell r="I50">
            <v>187576.44639978436</v>
          </cell>
        </row>
        <row r="74">
          <cell r="J74">
            <v>4192.3760853138774</v>
          </cell>
        </row>
        <row r="80">
          <cell r="J80">
            <v>17681.591962272007</v>
          </cell>
        </row>
        <row r="81">
          <cell r="J81">
            <v>12686.129507484606</v>
          </cell>
        </row>
        <row r="83">
          <cell r="J83">
            <v>16227</v>
          </cell>
        </row>
        <row r="84">
          <cell r="L84">
            <v>1037206.8734039081</v>
          </cell>
        </row>
        <row r="88">
          <cell r="D88">
            <v>115300</v>
          </cell>
        </row>
        <row r="89">
          <cell r="D89">
            <v>34375</v>
          </cell>
        </row>
      </sheetData>
      <sheetData sheetId="51">
        <row r="5">
          <cell r="E5">
            <v>1355369.0500000003</v>
          </cell>
          <cell r="F5">
            <v>105969.59791732681</v>
          </cell>
          <cell r="G5">
            <v>135536.90500000003</v>
          </cell>
          <cell r="I5">
            <v>287437.59952511877</v>
          </cell>
        </row>
        <row r="20">
          <cell r="J20">
            <v>73800.989169791937</v>
          </cell>
        </row>
        <row r="31">
          <cell r="J31">
            <v>37115.25474503357</v>
          </cell>
        </row>
        <row r="39">
          <cell r="J39">
            <v>28627.168720575504</v>
          </cell>
        </row>
        <row r="40">
          <cell r="J40">
            <v>19604.141016272697</v>
          </cell>
        </row>
        <row r="42">
          <cell r="J42">
            <v>19833</v>
          </cell>
        </row>
        <row r="43">
          <cell r="L43">
            <v>1736955.5639169668</v>
          </cell>
        </row>
        <row r="50">
          <cell r="E50">
            <v>770056.47</v>
          </cell>
          <cell r="F50">
            <v>60206.904163508851</v>
          </cell>
          <cell r="G50">
            <v>77005.646999999997</v>
          </cell>
          <cell r="I50">
            <v>163308.42380943158</v>
          </cell>
        </row>
        <row r="74">
          <cell r="J74">
            <v>4170.3997097883985</v>
          </cell>
        </row>
        <row r="80">
          <cell r="J80">
            <v>16202.521279424487</v>
          </cell>
        </row>
        <row r="81">
          <cell r="J81">
            <v>11095.631394127304</v>
          </cell>
        </row>
        <row r="83">
          <cell r="J83">
            <v>16227</v>
          </cell>
        </row>
        <row r="84">
          <cell r="L84">
            <v>913488.86389827984</v>
          </cell>
        </row>
        <row r="90">
          <cell r="D90">
            <v>115300</v>
          </cell>
        </row>
        <row r="91">
          <cell r="D91">
            <v>34375</v>
          </cell>
        </row>
      </sheetData>
      <sheetData sheetId="52">
        <row r="75">
          <cell r="E75">
            <v>44829.69</v>
          </cell>
        </row>
        <row r="76">
          <cell r="E76">
            <v>3337.5</v>
          </cell>
        </row>
        <row r="77">
          <cell r="E77">
            <v>65700</v>
          </cell>
        </row>
        <row r="80">
          <cell r="E80">
            <v>22800</v>
          </cell>
        </row>
        <row r="108">
          <cell r="D108">
            <v>330152.22152542364</v>
          </cell>
          <cell r="E108">
            <v>88331.111892109591</v>
          </cell>
          <cell r="F108">
            <v>25142.128474576297</v>
          </cell>
          <cell r="G108">
            <v>386977.70796610182</v>
          </cell>
          <cell r="H108">
            <v>103534.57888052898</v>
          </cell>
          <cell r="I108">
            <v>45434.642033898272</v>
          </cell>
        </row>
        <row r="113">
          <cell r="E113">
            <v>69594.600000000006</v>
          </cell>
          <cell r="F113">
            <v>93478.7</v>
          </cell>
          <cell r="G113">
            <v>65210</v>
          </cell>
        </row>
        <row r="131">
          <cell r="C131">
            <v>32845.199999999997</v>
          </cell>
        </row>
      </sheetData>
      <sheetData sheetId="53">
        <row r="47">
          <cell r="G47">
            <v>44829.69</v>
          </cell>
        </row>
        <row r="48">
          <cell r="G48">
            <v>3337.5</v>
          </cell>
        </row>
        <row r="49">
          <cell r="G49">
            <v>65700</v>
          </cell>
        </row>
        <row r="52">
          <cell r="G52">
            <v>22800</v>
          </cell>
        </row>
        <row r="83">
          <cell r="D83">
            <v>485512.37322033895</v>
          </cell>
          <cell r="E83">
            <v>85945.036338021877</v>
          </cell>
          <cell r="F83">
            <v>38262.616779661053</v>
          </cell>
          <cell r="G83">
            <v>611044.76084745768</v>
          </cell>
          <cell r="H83">
            <v>108166.6854891035</v>
          </cell>
          <cell r="I83">
            <v>73418.139152542397</v>
          </cell>
        </row>
        <row r="88">
          <cell r="E88">
            <v>58697.224053471757</v>
          </cell>
          <cell r="F88">
            <v>68826.273464658167</v>
          </cell>
          <cell r="G88">
            <v>60200</v>
          </cell>
        </row>
        <row r="106">
          <cell r="C106">
            <v>48653.422698178241</v>
          </cell>
        </row>
      </sheetData>
      <sheetData sheetId="54">
        <row r="24">
          <cell r="I24">
            <v>19902.211110766108</v>
          </cell>
        </row>
        <row r="25">
          <cell r="I25">
            <v>10140</v>
          </cell>
        </row>
        <row r="27">
          <cell r="I27">
            <v>11102.25840063818</v>
          </cell>
        </row>
        <row r="46">
          <cell r="I46">
            <v>34116.818889233888</v>
          </cell>
        </row>
        <row r="47">
          <cell r="I47">
            <v>8540</v>
          </cell>
        </row>
        <row r="49">
          <cell r="I49">
            <v>19031.741599361816</v>
          </cell>
        </row>
        <row r="59">
          <cell r="D59">
            <v>2062728.43</v>
          </cell>
          <cell r="E59">
            <v>345161.12729541806</v>
          </cell>
          <cell r="F59">
            <v>433420.12031317526</v>
          </cell>
          <cell r="G59">
            <v>3655093.38</v>
          </cell>
          <cell r="H59">
            <v>611615.24370458198</v>
          </cell>
          <cell r="I59">
            <v>768007.55226682476</v>
          </cell>
        </row>
        <row r="64">
          <cell r="E64">
            <v>124100.9192886961</v>
          </cell>
          <cell r="F64">
            <v>69863.301124073158</v>
          </cell>
          <cell r="G64">
            <v>23186.15</v>
          </cell>
        </row>
        <row r="67">
          <cell r="I67">
            <v>403000</v>
          </cell>
        </row>
      </sheetData>
      <sheetData sheetId="55">
        <row r="26">
          <cell r="D26">
            <v>59012.02</v>
          </cell>
        </row>
        <row r="27">
          <cell r="D27">
            <v>16337</v>
          </cell>
        </row>
        <row r="28">
          <cell r="D28">
            <v>162208.57999999999</v>
          </cell>
        </row>
        <row r="33">
          <cell r="D33">
            <v>32450</v>
          </cell>
        </row>
        <row r="40">
          <cell r="E40">
            <v>902052.68</v>
          </cell>
          <cell r="F40">
            <v>162369.48000000001</v>
          </cell>
          <cell r="G40">
            <v>191595.98</v>
          </cell>
          <cell r="I40">
            <v>1039542</v>
          </cell>
          <cell r="J40">
            <v>187117.56</v>
          </cell>
          <cell r="K40">
            <v>220798.71999999997</v>
          </cell>
        </row>
        <row r="45">
          <cell r="F45">
            <v>233000.30454545459</v>
          </cell>
          <cell r="G45">
            <v>188506.59272727271</v>
          </cell>
          <cell r="H45">
            <v>37170</v>
          </cell>
        </row>
      </sheetData>
      <sheetData sheetId="56">
        <row r="5">
          <cell r="E5">
            <v>2254586.9500000002</v>
          </cell>
          <cell r="F5">
            <v>174713.04004265775</v>
          </cell>
          <cell r="G5">
            <v>225458.69500000004</v>
          </cell>
          <cell r="I5">
            <v>477856.56330767833</v>
          </cell>
        </row>
        <row r="24">
          <cell r="J24">
            <v>24251.991387335864</v>
          </cell>
        </row>
        <row r="25">
          <cell r="J25">
            <v>10140</v>
          </cell>
        </row>
        <row r="27">
          <cell r="J27">
            <v>13528.741787217932</v>
          </cell>
        </row>
        <row r="35">
          <cell r="E35">
            <v>2839097.06</v>
          </cell>
          <cell r="F35">
            <v>220008.04995734227</v>
          </cell>
          <cell r="G35">
            <v>283909.70600000001</v>
          </cell>
          <cell r="I35">
            <v>601742.66687232151</v>
          </cell>
        </row>
        <row r="46">
          <cell r="J46">
            <v>29767.038612664132</v>
          </cell>
        </row>
        <row r="47">
          <cell r="J47">
            <v>8540</v>
          </cell>
        </row>
        <row r="49">
          <cell r="J49">
            <v>16605.258212782068</v>
          </cell>
        </row>
        <row r="55">
          <cell r="E55">
            <v>404250.00000000006</v>
          </cell>
          <cell r="G55">
            <v>122861.02003412374</v>
          </cell>
          <cell r="H55">
            <v>69901.252378645513</v>
          </cell>
          <cell r="I55">
            <v>17628.461538461543</v>
          </cell>
        </row>
      </sheetData>
      <sheetData sheetId="57">
        <row r="16">
          <cell r="F16">
            <v>185269.91</v>
          </cell>
        </row>
        <row r="19">
          <cell r="F19">
            <v>22800</v>
          </cell>
        </row>
        <row r="52">
          <cell r="F52">
            <v>1388335.05</v>
          </cell>
          <cell r="G52">
            <v>242010.69154199588</v>
          </cell>
          <cell r="H52">
            <v>293462.23347755923</v>
          </cell>
          <cell r="I52">
            <v>1412359.74</v>
          </cell>
          <cell r="J52">
            <v>246198.60845800408</v>
          </cell>
          <cell r="K52">
            <v>298540.50272244075</v>
          </cell>
        </row>
        <row r="57">
          <cell r="G57">
            <v>108099.27813507964</v>
          </cell>
          <cell r="H57">
            <v>144319.51661068306</v>
          </cell>
          <cell r="I57">
            <v>103394.55</v>
          </cell>
        </row>
      </sheetData>
      <sheetData sheetId="58">
        <row r="15">
          <cell r="F15">
            <v>158070.91</v>
          </cell>
        </row>
        <row r="51">
          <cell r="F51">
            <v>786619.53</v>
          </cell>
          <cell r="G51">
            <v>124554.48463145494</v>
          </cell>
          <cell r="H51">
            <v>164011.32365046573</v>
          </cell>
          <cell r="I51">
            <v>1813480.16</v>
          </cell>
          <cell r="J51">
            <v>287149.09572378453</v>
          </cell>
          <cell r="K51">
            <v>378113.26837443048</v>
          </cell>
          <cell r="M51">
            <v>41288.907619864345</v>
          </cell>
        </row>
        <row r="56">
          <cell r="G56">
            <v>105323</v>
          </cell>
          <cell r="H56">
            <v>115158.33</v>
          </cell>
          <cell r="I56">
            <v>28332.31</v>
          </cell>
        </row>
      </sheetData>
      <sheetData sheetId="59">
        <row r="16">
          <cell r="F16">
            <v>155120.91</v>
          </cell>
        </row>
        <row r="52">
          <cell r="F52">
            <v>784693.55</v>
          </cell>
          <cell r="G52">
            <v>135200.64237565521</v>
          </cell>
          <cell r="H52">
            <v>165580.95462761793</v>
          </cell>
          <cell r="I52">
            <v>1367587.21</v>
          </cell>
          <cell r="J52">
            <v>235631.69252089568</v>
          </cell>
          <cell r="K52">
            <v>288579.4024537612</v>
          </cell>
          <cell r="M52">
            <v>30166.55262206995</v>
          </cell>
        </row>
        <row r="57">
          <cell r="G57">
            <v>95282.46</v>
          </cell>
          <cell r="H57">
            <v>111122.73</v>
          </cell>
          <cell r="I57">
            <v>24035.01</v>
          </cell>
        </row>
      </sheetData>
      <sheetData sheetId="60">
        <row r="15">
          <cell r="F15">
            <v>185269.91</v>
          </cell>
        </row>
        <row r="20">
          <cell r="F20">
            <v>35807.5</v>
          </cell>
        </row>
        <row r="52">
          <cell r="F52">
            <v>1248445.46</v>
          </cell>
          <cell r="G52">
            <v>205644.7577079031</v>
          </cell>
          <cell r="H52">
            <v>261736.23918742256</v>
          </cell>
          <cell r="I52">
            <v>1709703.48</v>
          </cell>
          <cell r="J52">
            <v>281623.48229209689</v>
          </cell>
          <cell r="K52">
            <v>358438.85321257741</v>
          </cell>
        </row>
        <row r="57">
          <cell r="G57">
            <v>116755.7</v>
          </cell>
          <cell r="H57">
            <v>119641.48</v>
          </cell>
          <cell r="I57">
            <v>113150.2</v>
          </cell>
        </row>
      </sheetData>
      <sheetData sheetId="61">
        <row r="16">
          <cell r="F16">
            <v>185269.91</v>
          </cell>
        </row>
        <row r="52">
          <cell r="F52">
            <v>1087586.25</v>
          </cell>
          <cell r="G52">
            <v>169797.99806900395</v>
          </cell>
          <cell r="H52">
            <v>226329.16458455878</v>
          </cell>
          <cell r="I52">
            <v>2081897.66</v>
          </cell>
          <cell r="J52">
            <v>325033.58225845889</v>
          </cell>
          <cell r="K52">
            <v>433247.62347661878</v>
          </cell>
          <cell r="M52">
            <v>48849.521611359509</v>
          </cell>
        </row>
        <row r="57">
          <cell r="G57">
            <v>108910.14</v>
          </cell>
          <cell r="H57">
            <v>117736.65</v>
          </cell>
          <cell r="I57">
            <v>30019.69</v>
          </cell>
        </row>
      </sheetData>
      <sheetData sheetId="62">
        <row r="16">
          <cell r="F16">
            <v>185269.91</v>
          </cell>
        </row>
        <row r="19">
          <cell r="F19">
            <v>22800</v>
          </cell>
        </row>
        <row r="52">
          <cell r="F52">
            <v>854379.24</v>
          </cell>
          <cell r="G52">
            <v>167270.66470083519</v>
          </cell>
          <cell r="H52">
            <v>183896.98284615035</v>
          </cell>
          <cell r="I52">
            <v>1395885.33</v>
          </cell>
          <cell r="J52">
            <v>273286.91529916471</v>
          </cell>
          <cell r="K52">
            <v>300451.00415384962</v>
          </cell>
        </row>
        <row r="57">
          <cell r="G57">
            <v>103842.34757954991</v>
          </cell>
          <cell r="H57">
            <v>138603.20530180607</v>
          </cell>
          <cell r="I57">
            <v>106286.292</v>
          </cell>
        </row>
      </sheetData>
      <sheetData sheetId="63">
        <row r="16">
          <cell r="F16">
            <v>148512.91</v>
          </cell>
        </row>
        <row r="52">
          <cell r="F52">
            <v>987431.26</v>
          </cell>
          <cell r="G52">
            <v>169967.92426856412</v>
          </cell>
          <cell r="H52">
            <v>208331.85316834156</v>
          </cell>
          <cell r="I52">
            <v>1160521.46</v>
          </cell>
          <cell r="J52">
            <v>199762.18255974946</v>
          </cell>
          <cell r="K52">
            <v>244851.05566075491</v>
          </cell>
          <cell r="M52">
            <v>41779.756342589972</v>
          </cell>
        </row>
        <row r="57">
          <cell r="G57">
            <v>104871.83</v>
          </cell>
          <cell r="H57">
            <v>123618.13</v>
          </cell>
          <cell r="I57">
            <v>28171.33</v>
          </cell>
        </row>
      </sheetData>
      <sheetData sheetId="64">
        <row r="16">
          <cell r="F16">
            <v>179900.91</v>
          </cell>
        </row>
        <row r="19">
          <cell r="F19">
            <v>12600</v>
          </cell>
        </row>
        <row r="52">
          <cell r="F52">
            <v>662629.01</v>
          </cell>
          <cell r="G52">
            <v>145172.04905591474</v>
          </cell>
          <cell r="H52">
            <v>145404.19063006464</v>
          </cell>
          <cell r="I52">
            <v>1008430.44</v>
          </cell>
          <cell r="J52">
            <v>220931.94094408528</v>
          </cell>
          <cell r="K52">
            <v>221285.22856993534</v>
          </cell>
        </row>
        <row r="57">
          <cell r="G57">
            <v>76864.72636605009</v>
          </cell>
          <cell r="H57">
            <v>90476.187681913696</v>
          </cell>
          <cell r="I57">
            <v>88382</v>
          </cell>
        </row>
      </sheetData>
      <sheetData sheetId="65">
        <row r="17">
          <cell r="F17">
            <v>185269.91</v>
          </cell>
        </row>
      </sheetData>
      <sheetData sheetId="66">
        <row r="12">
          <cell r="G12">
            <v>1656125.07</v>
          </cell>
        </row>
        <row r="13">
          <cell r="G13">
            <v>152949.99999995748</v>
          </cell>
        </row>
        <row r="14">
          <cell r="G14">
            <v>165612.50700000001</v>
          </cell>
        </row>
        <row r="16">
          <cell r="G16">
            <v>355443.76385999232</v>
          </cell>
        </row>
        <row r="18">
          <cell r="G18">
            <v>135228.0003107427</v>
          </cell>
        </row>
        <row r="19">
          <cell r="G19">
            <v>81554.600000000006</v>
          </cell>
        </row>
        <row r="20">
          <cell r="G20">
            <v>25174.71</v>
          </cell>
        </row>
        <row r="21">
          <cell r="G21">
            <v>26215.48</v>
          </cell>
        </row>
        <row r="26">
          <cell r="G26">
            <v>1773962.6554038147</v>
          </cell>
        </row>
        <row r="40">
          <cell r="G40">
            <v>1700090.32</v>
          </cell>
        </row>
        <row r="41">
          <cell r="G41">
            <v>152949.99999181469</v>
          </cell>
        </row>
        <row r="42">
          <cell r="G42">
            <v>170009.03200000001</v>
          </cell>
        </row>
        <row r="44">
          <cell r="G44">
            <v>364148.88335852663</v>
          </cell>
        </row>
        <row r="46">
          <cell r="G46">
            <v>135228.00000049511</v>
          </cell>
        </row>
        <row r="47">
          <cell r="G47">
            <v>83551.94</v>
          </cell>
        </row>
        <row r="48">
          <cell r="G48">
            <v>25174.71</v>
          </cell>
        </row>
        <row r="49">
          <cell r="G49">
            <v>26215.48</v>
          </cell>
        </row>
        <row r="54">
          <cell r="G54">
            <v>1795422.3812496127</v>
          </cell>
        </row>
      </sheetData>
      <sheetData sheetId="67">
        <row r="43">
          <cell r="C43">
            <v>224164.6</v>
          </cell>
        </row>
        <row r="71">
          <cell r="C71">
            <v>12600</v>
          </cell>
        </row>
        <row r="99">
          <cell r="D99">
            <v>723257.34</v>
          </cell>
          <cell r="E99">
            <v>162289.67801256059</v>
          </cell>
          <cell r="F99">
            <v>159398.46420534811</v>
          </cell>
          <cell r="H99">
            <v>1229285.5</v>
          </cell>
          <cell r="I99">
            <v>275835.91198743944</v>
          </cell>
          <cell r="J99">
            <v>270921.85579465184</v>
          </cell>
        </row>
        <row r="104">
          <cell r="E104">
            <v>90774.191197371751</v>
          </cell>
          <cell r="F104">
            <v>85600.488802628242</v>
          </cell>
          <cell r="G104">
            <v>94631.87</v>
          </cell>
        </row>
      </sheetData>
      <sheetData sheetId="68">
        <row r="28">
          <cell r="E28">
            <v>174190.38</v>
          </cell>
        </row>
      </sheetData>
      <sheetData sheetId="69">
        <row r="19">
          <cell r="O19">
            <v>1908437.23</v>
          </cell>
          <cell r="P19">
            <v>381687.446</v>
          </cell>
          <cell r="Q19">
            <v>412222.44167999999</v>
          </cell>
          <cell r="R19">
            <v>1296923.5499999998</v>
          </cell>
          <cell r="S19">
            <v>259384.71</v>
          </cell>
          <cell r="T19">
            <v>280135.48679999996</v>
          </cell>
        </row>
        <row r="35">
          <cell r="J35">
            <v>216124.04941439998</v>
          </cell>
        </row>
        <row r="39">
          <cell r="S39">
            <v>140248.07400000002</v>
          </cell>
          <cell r="T39">
            <v>129636.20183999999</v>
          </cell>
          <cell r="U39">
            <v>48613.878832000002</v>
          </cell>
        </row>
        <row r="41">
          <cell r="J41">
            <v>65892.199185566205</v>
          </cell>
        </row>
        <row r="42">
          <cell r="J42">
            <v>23436.512633149025</v>
          </cell>
        </row>
        <row r="43">
          <cell r="J43">
            <v>11718.256316574512</v>
          </cell>
        </row>
        <row r="46">
          <cell r="L46">
            <v>2586619.4056107411</v>
          </cell>
        </row>
        <row r="68">
          <cell r="J68">
            <v>146915.49974399997</v>
          </cell>
        </row>
        <row r="72">
          <cell r="J72">
            <v>44791.80081443378</v>
          </cell>
        </row>
        <row r="73">
          <cell r="J73">
            <v>16203.497366850979</v>
          </cell>
        </row>
        <row r="74">
          <cell r="J74">
            <v>8101.7486834254896</v>
          </cell>
        </row>
        <row r="75">
          <cell r="L75">
            <v>2003909.9303426836</v>
          </cell>
        </row>
      </sheetData>
      <sheetData sheetId="70">
        <row r="16">
          <cell r="F16">
            <v>196954.98</v>
          </cell>
        </row>
        <row r="17">
          <cell r="F17">
            <v>27300</v>
          </cell>
        </row>
        <row r="52">
          <cell r="F52">
            <v>2722050.37</v>
          </cell>
          <cell r="G52">
            <v>419350.89577504713</v>
          </cell>
          <cell r="H52">
            <v>565452.22783950844</v>
          </cell>
          <cell r="I52">
            <v>1697563.47</v>
          </cell>
          <cell r="J52">
            <v>261521.524224953</v>
          </cell>
          <cell r="K52">
            <v>352635.29896049155</v>
          </cell>
        </row>
        <row r="57">
          <cell r="G57">
            <v>154378.34</v>
          </cell>
          <cell r="H57">
            <v>160775.85</v>
          </cell>
          <cell r="I57">
            <v>113883.28</v>
          </cell>
        </row>
      </sheetData>
      <sheetData sheetId="71">
        <row r="21">
          <cell r="O21">
            <v>699497.38000000012</v>
          </cell>
          <cell r="P21">
            <v>139899.44999999998</v>
          </cell>
          <cell r="Q21">
            <v>151091.44</v>
          </cell>
          <cell r="R21">
            <v>1658470.17</v>
          </cell>
          <cell r="S21">
            <v>331694.02999999997</v>
          </cell>
          <cell r="T21">
            <v>358229.56</v>
          </cell>
        </row>
        <row r="34">
          <cell r="S34">
            <v>108100.27000000002</v>
          </cell>
          <cell r="T34">
            <v>37948.800000000003</v>
          </cell>
        </row>
        <row r="57">
          <cell r="M57">
            <v>51115.719999999994</v>
          </cell>
        </row>
        <row r="59">
          <cell r="M59">
            <v>27150.299999999996</v>
          </cell>
        </row>
        <row r="61">
          <cell r="M61">
            <v>278794.51</v>
          </cell>
        </row>
        <row r="63">
          <cell r="M63">
            <v>20909.579999999998</v>
          </cell>
        </row>
        <row r="65">
          <cell r="M65">
            <v>110684</v>
          </cell>
        </row>
      </sheetData>
      <sheetData sheetId="72">
        <row r="12">
          <cell r="O12">
            <v>3237338.79</v>
          </cell>
          <cell r="P12">
            <v>517974.23</v>
          </cell>
          <cell r="Q12">
            <v>675956.34000000008</v>
          </cell>
          <cell r="R12">
            <v>2856586.88</v>
          </cell>
          <cell r="S12">
            <v>457053.9</v>
          </cell>
          <cell r="T12">
            <v>596455.34000000008</v>
          </cell>
        </row>
        <row r="25">
          <cell r="S25">
            <v>104496.91</v>
          </cell>
          <cell r="T25">
            <v>36683.839999999997</v>
          </cell>
        </row>
        <row r="32">
          <cell r="J32">
            <v>10964.909948784796</v>
          </cell>
        </row>
        <row r="33">
          <cell r="J33">
            <v>3837.7343884315787</v>
          </cell>
        </row>
        <row r="34">
          <cell r="J34">
            <v>129620.53398591754</v>
          </cell>
        </row>
        <row r="35">
          <cell r="J35">
            <v>12803.332166853801</v>
          </cell>
        </row>
        <row r="36">
          <cell r="J36">
            <v>26491</v>
          </cell>
        </row>
        <row r="41">
          <cell r="L41">
            <v>3785177.9168650256</v>
          </cell>
        </row>
        <row r="59">
          <cell r="J59">
            <v>32353.485051215204</v>
          </cell>
        </row>
        <row r="60">
          <cell r="J60">
            <v>11323.70061156842</v>
          </cell>
        </row>
        <row r="61">
          <cell r="J61">
            <v>379332.23601408239</v>
          </cell>
        </row>
        <row r="63">
          <cell r="J63">
            <v>12644.317833146199</v>
          </cell>
        </row>
        <row r="64">
          <cell r="J64">
            <v>26491</v>
          </cell>
        </row>
        <row r="69">
          <cell r="L69">
            <v>3746344.5334349745</v>
          </cell>
        </row>
      </sheetData>
      <sheetData sheetId="73">
        <row r="29">
          <cell r="C29">
            <v>222877.36</v>
          </cell>
        </row>
        <row r="59">
          <cell r="C59">
            <v>27300</v>
          </cell>
        </row>
        <row r="87">
          <cell r="D87">
            <v>2629367.67</v>
          </cell>
          <cell r="E87">
            <v>406632.69188332104</v>
          </cell>
          <cell r="F87">
            <v>546480.06604864437</v>
          </cell>
          <cell r="H87">
            <v>3151707.93</v>
          </cell>
          <cell r="I87">
            <v>487412.80811667908</v>
          </cell>
          <cell r="J87">
            <v>655041.7339513558</v>
          </cell>
        </row>
        <row r="92">
          <cell r="E92">
            <v>108775.24</v>
          </cell>
          <cell r="F92">
            <v>99673.61</v>
          </cell>
          <cell r="G92">
            <v>107131.61</v>
          </cell>
        </row>
      </sheetData>
      <sheetData sheetId="74">
        <row r="27">
          <cell r="C27">
            <v>196172.75</v>
          </cell>
        </row>
        <row r="57">
          <cell r="C57">
            <v>27300</v>
          </cell>
        </row>
        <row r="82">
          <cell r="D82">
            <v>1695672.64</v>
          </cell>
          <cell r="E82">
            <v>303413.99282039411</v>
          </cell>
          <cell r="F82">
            <v>359835.59234907042</v>
          </cell>
          <cell r="H82">
            <v>1785753.55</v>
          </cell>
          <cell r="I82">
            <v>319532.55717960594</v>
          </cell>
          <cell r="J82">
            <v>378951.49765092949</v>
          </cell>
        </row>
        <row r="87">
          <cell r="E87">
            <v>93009.1</v>
          </cell>
          <cell r="F87">
            <v>98977.75</v>
          </cell>
          <cell r="G87">
            <v>100881.74</v>
          </cell>
        </row>
      </sheetData>
      <sheetData sheetId="75">
        <row r="51">
          <cell r="C51">
            <v>328330.11</v>
          </cell>
        </row>
        <row r="52">
          <cell r="C52">
            <v>18450</v>
          </cell>
        </row>
        <row r="84">
          <cell r="G84">
            <v>1791020.79</v>
          </cell>
          <cell r="K84">
            <v>4775581.45</v>
          </cell>
        </row>
        <row r="89">
          <cell r="E89">
            <v>156813.28</v>
          </cell>
          <cell r="F89">
            <v>52783.65</v>
          </cell>
          <cell r="G89">
            <v>92927.360000000001</v>
          </cell>
        </row>
      </sheetData>
      <sheetData sheetId="76">
        <row r="5">
          <cell r="E5">
            <v>427113.88</v>
          </cell>
          <cell r="F5">
            <v>42711.389635346568</v>
          </cell>
          <cell r="G5">
            <v>42711.389635346568</v>
          </cell>
          <cell r="I5">
            <v>92256.598668724764</v>
          </cell>
        </row>
        <row r="20">
          <cell r="J20">
            <v>111821.52071357601</v>
          </cell>
        </row>
        <row r="30">
          <cell r="J30">
            <v>107346.96068502218</v>
          </cell>
        </row>
        <row r="37">
          <cell r="J37">
            <v>14851.312574655971</v>
          </cell>
        </row>
        <row r="38">
          <cell r="J38">
            <v>9116.6244872765492</v>
          </cell>
        </row>
        <row r="40">
          <cell r="J40">
            <v>21257.5</v>
          </cell>
        </row>
        <row r="41">
          <cell r="L41">
            <v>821584.95879844204</v>
          </cell>
        </row>
        <row r="48">
          <cell r="E48">
            <v>713567.97000000009</v>
          </cell>
          <cell r="F48">
            <v>71356.799732130676</v>
          </cell>
          <cell r="G48">
            <v>71356.799732130676</v>
          </cell>
          <cell r="I48">
            <v>154130.68250356708</v>
          </cell>
        </row>
        <row r="72">
          <cell r="J72">
            <v>14754.720094155533</v>
          </cell>
        </row>
        <row r="75">
          <cell r="J75">
            <v>0</v>
          </cell>
        </row>
        <row r="78">
          <cell r="J78">
            <v>20563.937425344033</v>
          </cell>
        </row>
        <row r="79">
          <cell r="J79">
            <v>12623.375512723454</v>
          </cell>
        </row>
        <row r="81">
          <cell r="J81">
            <v>17392.5</v>
          </cell>
        </row>
        <row r="82">
          <cell r="L82">
            <v>913123.77368828014</v>
          </cell>
        </row>
        <row r="91">
          <cell r="E91">
            <v>140895.9117</v>
          </cell>
        </row>
        <row r="92">
          <cell r="E92">
            <v>45890</v>
          </cell>
        </row>
      </sheetData>
      <sheetData sheetId="77">
        <row r="31">
          <cell r="C31">
            <v>68400</v>
          </cell>
        </row>
        <row r="35">
          <cell r="C35">
            <v>7800</v>
          </cell>
        </row>
        <row r="43">
          <cell r="D43">
            <v>331559.36</v>
          </cell>
          <cell r="E43">
            <v>80045.208981480188</v>
          </cell>
          <cell r="F43">
            <v>676860.71</v>
          </cell>
          <cell r="G43">
            <v>163408.01533488015</v>
          </cell>
        </row>
        <row r="49">
          <cell r="E49">
            <v>60554.2</v>
          </cell>
          <cell r="F49">
            <v>69995.873464658172</v>
          </cell>
          <cell r="G49">
            <v>62300</v>
          </cell>
        </row>
        <row r="70">
          <cell r="C70">
            <v>63150.122698178238</v>
          </cell>
        </row>
      </sheetData>
      <sheetData sheetId="78">
        <row r="27">
          <cell r="C27">
            <v>68400</v>
          </cell>
        </row>
        <row r="31">
          <cell r="C31">
            <v>7800</v>
          </cell>
        </row>
        <row r="43">
          <cell r="D43">
            <v>338206.11</v>
          </cell>
          <cell r="E43">
            <v>60215.984879903488</v>
          </cell>
          <cell r="F43">
            <v>841678.97</v>
          </cell>
          <cell r="G43">
            <v>149856.92639098904</v>
          </cell>
        </row>
        <row r="49">
          <cell r="E49">
            <v>61938.1</v>
          </cell>
          <cell r="F49">
            <v>70039.07346465817</v>
          </cell>
          <cell r="G49">
            <v>62300</v>
          </cell>
        </row>
        <row r="71">
          <cell r="C71">
            <v>65787.022698178247</v>
          </cell>
        </row>
      </sheetData>
      <sheetData sheetId="79">
        <row r="31">
          <cell r="C31">
            <v>110060.37</v>
          </cell>
        </row>
        <row r="86">
          <cell r="C86">
            <v>17800</v>
          </cell>
        </row>
        <row r="111">
          <cell r="D111">
            <v>681674.96</v>
          </cell>
          <cell r="E111">
            <v>149642.91232823953</v>
          </cell>
          <cell r="F111">
            <v>149637.22209849718</v>
          </cell>
          <cell r="H111">
            <v>1438739.74</v>
          </cell>
          <cell r="I111">
            <v>315835.5776717604</v>
          </cell>
          <cell r="J111">
            <v>315823.56790150265</v>
          </cell>
        </row>
        <row r="116">
          <cell r="E116">
            <v>85036.31</v>
          </cell>
          <cell r="F116">
            <v>90096.29</v>
          </cell>
          <cell r="G116">
            <v>93684.92</v>
          </cell>
        </row>
      </sheetData>
      <sheetData sheetId="80">
        <row r="37">
          <cell r="E37">
            <v>110060.37</v>
          </cell>
        </row>
        <row r="38">
          <cell r="E38">
            <v>17800</v>
          </cell>
        </row>
        <row r="62">
          <cell r="H62">
            <v>656736.43999999994</v>
          </cell>
          <cell r="I62">
            <v>150100.66666630239</v>
          </cell>
          <cell r="J62">
            <v>145230.67919993441</v>
          </cell>
          <cell r="K62">
            <v>1323752.4700000002</v>
          </cell>
          <cell r="L62">
            <v>302550.78924532421</v>
          </cell>
          <cell r="M62">
            <v>292734.58666415839</v>
          </cell>
        </row>
        <row r="68">
          <cell r="I68">
            <v>84716.744999999995</v>
          </cell>
          <cell r="J68">
            <v>90050.111499999999</v>
          </cell>
          <cell r="K68">
            <v>93684.92</v>
          </cell>
        </row>
      </sheetData>
      <sheetData sheetId="81">
        <row r="32">
          <cell r="E32">
            <v>110060.37</v>
          </cell>
        </row>
        <row r="38">
          <cell r="E38">
            <v>17800</v>
          </cell>
        </row>
        <row r="51">
          <cell r="F51">
            <v>1216778.46</v>
          </cell>
          <cell r="G51">
            <v>242540.1084609949</v>
          </cell>
          <cell r="H51">
            <v>262677.34232297906</v>
          </cell>
          <cell r="I51">
            <v>1301342.6500000001</v>
          </cell>
          <cell r="J51">
            <v>259396.26468726163</v>
          </cell>
          <cell r="K51">
            <v>280933.00464370707</v>
          </cell>
        </row>
        <row r="57">
          <cell r="G57">
            <v>83459.073305084734</v>
          </cell>
          <cell r="H57">
            <v>89871.361440677967</v>
          </cell>
          <cell r="I57">
            <v>93684.92</v>
          </cell>
        </row>
      </sheetData>
      <sheetData sheetId="82">
        <row r="32">
          <cell r="C32">
            <v>110060.37</v>
          </cell>
        </row>
        <row r="87">
          <cell r="C87">
            <v>17800</v>
          </cell>
        </row>
        <row r="113">
          <cell r="D113">
            <v>600170.06999999995</v>
          </cell>
          <cell r="E113">
            <v>139160.39180695979</v>
          </cell>
          <cell r="F113">
            <v>133079.48405637921</v>
          </cell>
          <cell r="H113">
            <v>1333520.18</v>
          </cell>
          <cell r="I113">
            <v>309201.00819304021</v>
          </cell>
          <cell r="J113">
            <v>295689.81594362069</v>
          </cell>
        </row>
        <row r="118">
          <cell r="E118">
            <v>83777.25</v>
          </cell>
          <cell r="F118">
            <v>89913.84</v>
          </cell>
          <cell r="G118">
            <v>93684.92</v>
          </cell>
        </row>
      </sheetData>
      <sheetData sheetId="83">
        <row r="33">
          <cell r="C33">
            <v>68400</v>
          </cell>
        </row>
        <row r="89">
          <cell r="C89">
            <v>7800</v>
          </cell>
        </row>
        <row r="118">
          <cell r="D118">
            <v>314193.26999999996</v>
          </cell>
          <cell r="E118">
            <v>89124.539057150614</v>
          </cell>
          <cell r="F118">
            <v>27633.254934352568</v>
          </cell>
          <cell r="H118">
            <v>570665.18999999994</v>
          </cell>
          <cell r="I118">
            <v>161875.75250962973</v>
          </cell>
          <cell r="J118">
            <v>50189.925065647476</v>
          </cell>
        </row>
        <row r="123">
          <cell r="E123">
            <v>59941.599999999999</v>
          </cell>
          <cell r="F123">
            <v>69967.070000000007</v>
          </cell>
          <cell r="G123">
            <v>62300</v>
          </cell>
        </row>
        <row r="138">
          <cell r="C138">
            <v>63125.520000000004</v>
          </cell>
        </row>
      </sheetData>
      <sheetData sheetId="84">
        <row r="34">
          <cell r="C34">
            <v>122749.19</v>
          </cell>
        </row>
        <row r="70">
          <cell r="C70">
            <v>43428.62</v>
          </cell>
        </row>
        <row r="72">
          <cell r="C72">
            <v>24300</v>
          </cell>
        </row>
        <row r="97">
          <cell r="D97">
            <v>1026496.77</v>
          </cell>
          <cell r="E97">
            <v>192610.77026730104</v>
          </cell>
          <cell r="F97">
            <v>219439.35732746695</v>
          </cell>
          <cell r="H97">
            <v>1560677.24</v>
          </cell>
          <cell r="I97">
            <v>292843.82973269897</v>
          </cell>
          <cell r="J97">
            <v>333633.79267253313</v>
          </cell>
        </row>
        <row r="102">
          <cell r="E102">
            <v>112363.49</v>
          </cell>
          <cell r="F102">
            <v>132769.67000000001</v>
          </cell>
          <cell r="G102">
            <v>94379.199999999997</v>
          </cell>
        </row>
      </sheetData>
      <sheetData sheetId="85">
        <row r="22">
          <cell r="C22">
            <v>122749.19</v>
          </cell>
        </row>
        <row r="55">
          <cell r="C55">
            <v>43428.62</v>
          </cell>
        </row>
        <row r="56">
          <cell r="C56">
            <v>24300</v>
          </cell>
        </row>
        <row r="85">
          <cell r="G85">
            <v>1580009.4</v>
          </cell>
          <cell r="K85">
            <v>2090002.81</v>
          </cell>
        </row>
        <row r="90">
          <cell r="D90">
            <v>121048.1</v>
          </cell>
          <cell r="E90">
            <v>124059.91</v>
          </cell>
          <cell r="F90">
            <v>94379.199999999997</v>
          </cell>
        </row>
      </sheetData>
      <sheetData sheetId="86">
        <row r="17">
          <cell r="F17">
            <v>21714.307499999999</v>
          </cell>
        </row>
        <row r="18">
          <cell r="F18">
            <v>14559</v>
          </cell>
        </row>
        <row r="19">
          <cell r="F19">
            <v>46200</v>
          </cell>
        </row>
        <row r="23">
          <cell r="F23">
            <v>9150</v>
          </cell>
        </row>
        <row r="24">
          <cell r="F24">
            <v>1062.5</v>
          </cell>
        </row>
        <row r="46">
          <cell r="F46">
            <v>21714.307499999999</v>
          </cell>
        </row>
        <row r="47">
          <cell r="F47">
            <v>14559</v>
          </cell>
        </row>
        <row r="48">
          <cell r="F48">
            <v>46200</v>
          </cell>
        </row>
        <row r="52">
          <cell r="F52">
            <v>9150</v>
          </cell>
        </row>
        <row r="53">
          <cell r="F53">
            <v>1062.5</v>
          </cell>
        </row>
        <row r="92">
          <cell r="D92">
            <v>640933.81999999995</v>
          </cell>
          <cell r="E92">
            <v>119299.23327785202</v>
          </cell>
          <cell r="H92">
            <v>911053.14</v>
          </cell>
          <cell r="I92">
            <v>169577.47849439367</v>
          </cell>
        </row>
        <row r="96">
          <cell r="D96">
            <v>39038.783988150586</v>
          </cell>
          <cell r="E96">
            <v>52882.9</v>
          </cell>
          <cell r="F96">
            <v>48000</v>
          </cell>
        </row>
      </sheetData>
      <sheetData sheetId="87">
        <row r="7">
          <cell r="G7">
            <v>878593.35</v>
          </cell>
          <cell r="H7">
            <v>101679.28880266764</v>
          </cell>
          <cell r="I7">
            <v>87859.334999999992</v>
          </cell>
          <cell r="K7">
            <v>192263.75528448017</v>
          </cell>
        </row>
        <row r="32">
          <cell r="L32">
            <v>34758.109499999999</v>
          </cell>
        </row>
        <row r="34">
          <cell r="L34">
            <v>20346.125</v>
          </cell>
        </row>
        <row r="37">
          <cell r="G37">
            <v>1062906.3149999999</v>
          </cell>
          <cell r="H37">
            <v>123009.76119733234</v>
          </cell>
          <cell r="I37">
            <v>106290.6315</v>
          </cell>
          <cell r="K37">
            <v>232597.20738551981</v>
          </cell>
        </row>
        <row r="44">
          <cell r="L44">
            <v>104274.32850000002</v>
          </cell>
        </row>
        <row r="46">
          <cell r="L46">
            <v>20346.125</v>
          </cell>
        </row>
        <row r="50">
          <cell r="V50">
            <v>2338093.6007421878</v>
          </cell>
        </row>
        <row r="56">
          <cell r="O56">
            <v>79427.220844210533</v>
          </cell>
          <cell r="P56">
            <v>64413.96105868421</v>
          </cell>
          <cell r="Q56">
            <v>29695.351124653746</v>
          </cell>
        </row>
      </sheetData>
      <sheetData sheetId="88">
        <row r="32">
          <cell r="C32">
            <v>119972.37</v>
          </cell>
        </row>
        <row r="86">
          <cell r="C86">
            <v>43390.55</v>
          </cell>
        </row>
        <row r="89">
          <cell r="C89">
            <v>17800</v>
          </cell>
        </row>
        <row r="115">
          <cell r="D115">
            <v>1438555.52</v>
          </cell>
          <cell r="E115">
            <v>264720.17425628187</v>
          </cell>
          <cell r="F115">
            <v>306589.62606140465</v>
          </cell>
          <cell r="H115">
            <v>1713654.31</v>
          </cell>
          <cell r="I115">
            <v>315343.31574371806</v>
          </cell>
          <cell r="J115">
            <v>365219.57393859531</v>
          </cell>
        </row>
        <row r="120">
          <cell r="E120">
            <v>99805.18</v>
          </cell>
          <cell r="F120">
            <v>101431.93</v>
          </cell>
          <cell r="G120">
            <v>112245.14</v>
          </cell>
        </row>
      </sheetData>
      <sheetData sheetId="89">
        <row r="29">
          <cell r="C29">
            <v>182275.21</v>
          </cell>
        </row>
        <row r="75">
          <cell r="C75">
            <v>24300</v>
          </cell>
        </row>
        <row r="102">
          <cell r="D102">
            <v>1011333.5</v>
          </cell>
          <cell r="E102">
            <v>193611.02282286814</v>
          </cell>
          <cell r="F102">
            <v>216890.01269522196</v>
          </cell>
          <cell r="H102">
            <v>2710766.83</v>
          </cell>
          <cell r="I102">
            <v>518952.78717713192</v>
          </cell>
          <cell r="J102">
            <v>581349.52730477799</v>
          </cell>
        </row>
        <row r="107">
          <cell r="E107">
            <v>110408.06</v>
          </cell>
          <cell r="F107">
            <v>96833.04</v>
          </cell>
          <cell r="G107">
            <v>99871.66</v>
          </cell>
        </row>
      </sheetData>
      <sheetData sheetId="90">
        <row r="32">
          <cell r="C32">
            <v>135930.69</v>
          </cell>
        </row>
        <row r="35">
          <cell r="C35">
            <v>41693.730000000003</v>
          </cell>
        </row>
        <row r="37">
          <cell r="C37">
            <v>21550</v>
          </cell>
        </row>
        <row r="38">
          <cell r="C38">
            <v>2625</v>
          </cell>
        </row>
        <row r="72">
          <cell r="D72">
            <v>642890.77</v>
          </cell>
          <cell r="E72">
            <v>128928.63008841155</v>
          </cell>
          <cell r="F72">
            <v>138927.49145094445</v>
          </cell>
          <cell r="H72">
            <v>1632951.08</v>
          </cell>
          <cell r="I72">
            <v>327480.42991158849</v>
          </cell>
          <cell r="J72">
            <v>352877.67034905561</v>
          </cell>
        </row>
        <row r="77">
          <cell r="E77">
            <v>93956.76</v>
          </cell>
          <cell r="F77">
            <v>91390.38</v>
          </cell>
          <cell r="G77">
            <v>93684.92</v>
          </cell>
        </row>
      </sheetData>
      <sheetData sheetId="91">
        <row r="41">
          <cell r="E41">
            <v>79800</v>
          </cell>
        </row>
        <row r="95">
          <cell r="E95">
            <v>43390.55</v>
          </cell>
        </row>
        <row r="99">
          <cell r="E99">
            <v>22800</v>
          </cell>
        </row>
        <row r="132">
          <cell r="D132">
            <v>637494.46</v>
          </cell>
          <cell r="E132">
            <v>124089.44767471516</v>
          </cell>
          <cell r="G132">
            <v>694541.13000000012</v>
          </cell>
          <cell r="H132">
            <v>135193.68499150965</v>
          </cell>
        </row>
        <row r="137">
          <cell r="E137">
            <v>63027.899999999994</v>
          </cell>
          <cell r="F137">
            <v>72706.47</v>
          </cell>
          <cell r="G137">
            <v>66700</v>
          </cell>
        </row>
        <row r="152">
          <cell r="C152">
            <v>62840.9</v>
          </cell>
        </row>
      </sheetData>
      <sheetData sheetId="92">
        <row r="28">
          <cell r="E28">
            <v>139032.4</v>
          </cell>
        </row>
      </sheetData>
      <sheetData sheetId="93">
        <row r="24">
          <cell r="B24">
            <v>18263.239796964728</v>
          </cell>
        </row>
        <row r="28">
          <cell r="F28">
            <v>4822.7602927049711</v>
          </cell>
        </row>
        <row r="40">
          <cell r="B40">
            <v>51036.760203035265</v>
          </cell>
        </row>
        <row r="44">
          <cell r="F44">
            <v>13477.239707295028</v>
          </cell>
        </row>
        <row r="105">
          <cell r="D105">
            <v>385732.66000000003</v>
          </cell>
          <cell r="E105">
            <v>57458.496701456475</v>
          </cell>
          <cell r="H105">
            <v>1018581.74</v>
          </cell>
          <cell r="I105">
            <v>160568.19876320608</v>
          </cell>
        </row>
        <row r="109">
          <cell r="D109">
            <v>87552.461666666684</v>
          </cell>
          <cell r="E109">
            <v>94311.497666666692</v>
          </cell>
          <cell r="F109">
            <v>79240</v>
          </cell>
        </row>
        <row r="118">
          <cell r="B118">
            <v>23642</v>
          </cell>
        </row>
      </sheetData>
      <sheetData sheetId="94">
        <row r="26">
          <cell r="E26">
            <v>139032.44</v>
          </cell>
        </row>
      </sheetData>
      <sheetData sheetId="95">
        <row r="30">
          <cell r="D30">
            <v>16320.82</v>
          </cell>
        </row>
        <row r="47">
          <cell r="E47">
            <v>1130671.6599999999</v>
          </cell>
          <cell r="F47">
            <v>169600.74899999998</v>
          </cell>
          <cell r="G47">
            <v>234049.03361999997</v>
          </cell>
          <cell r="I47">
            <v>1420789.41</v>
          </cell>
          <cell r="J47">
            <v>213118.41149999999</v>
          </cell>
          <cell r="K47">
            <v>294103.40787</v>
          </cell>
        </row>
        <row r="52">
          <cell r="F52">
            <v>12880</v>
          </cell>
          <cell r="G52">
            <v>10350</v>
          </cell>
        </row>
        <row r="83">
          <cell r="G83">
            <v>76716.072131000008</v>
          </cell>
        </row>
        <row r="86">
          <cell r="G86">
            <v>20846.87</v>
          </cell>
        </row>
        <row r="97">
          <cell r="G97">
            <v>96400.561468500004</v>
          </cell>
        </row>
        <row r="100">
          <cell r="G100">
            <v>20846.87</v>
          </cell>
        </row>
        <row r="109">
          <cell r="I109">
            <v>2968874.7941126255</v>
          </cell>
        </row>
      </sheetData>
      <sheetData sheetId="96">
        <row r="31">
          <cell r="D31">
            <v>140529.21000000002</v>
          </cell>
        </row>
        <row r="33">
          <cell r="D33">
            <v>50850</v>
          </cell>
        </row>
        <row r="46">
          <cell r="F46">
            <v>1253693.25</v>
          </cell>
          <cell r="G46">
            <v>220527.45314743108</v>
          </cell>
          <cell r="H46">
            <v>265359.72656653757</v>
          </cell>
          <cell r="I46">
            <v>771858.65</v>
          </cell>
          <cell r="J46">
            <v>135771.66685256895</v>
          </cell>
          <cell r="K46">
            <v>163373.45703346241</v>
          </cell>
        </row>
        <row r="52">
          <cell r="G52">
            <v>102128</v>
          </cell>
          <cell r="H52">
            <v>122712.63</v>
          </cell>
          <cell r="I52">
            <v>94200.78</v>
          </cell>
        </row>
      </sheetData>
      <sheetData sheetId="97">
        <row r="41">
          <cell r="D41">
            <v>369185.89850000001</v>
          </cell>
        </row>
        <row r="43">
          <cell r="D43">
            <v>67050</v>
          </cell>
        </row>
        <row r="51">
          <cell r="F51">
            <v>2236629.9</v>
          </cell>
          <cell r="G51">
            <v>357860.78632191895</v>
          </cell>
          <cell r="H51">
            <v>467008.3235379454</v>
          </cell>
          <cell r="I51">
            <v>3157670.19</v>
          </cell>
          <cell r="J51">
            <v>505227.23367808107</v>
          </cell>
          <cell r="K51">
            <v>659321.53626205458</v>
          </cell>
        </row>
        <row r="57">
          <cell r="G57">
            <v>143973.44500000001</v>
          </cell>
          <cell r="H57">
            <v>139039.33499999999</v>
          </cell>
          <cell r="I57">
            <v>94200.78</v>
          </cell>
        </row>
      </sheetData>
      <sheetData sheetId="98">
        <row r="28">
          <cell r="D28">
            <v>139544.30800000002</v>
          </cell>
        </row>
        <row r="30">
          <cell r="D30">
            <v>50850</v>
          </cell>
        </row>
        <row r="43">
          <cell r="F43">
            <v>721211.55</v>
          </cell>
          <cell r="G43">
            <v>141755.05658952944</v>
          </cell>
          <cell r="H43">
            <v>155333.9891861153</v>
          </cell>
          <cell r="I43">
            <v>1255433.99</v>
          </cell>
          <cell r="J43">
            <v>246757.1634104705</v>
          </cell>
          <cell r="K43">
            <v>270394.40761388472</v>
          </cell>
        </row>
        <row r="49">
          <cell r="G49">
            <v>102828.95712000001</v>
          </cell>
          <cell r="H49">
            <v>100412.15663999999</v>
          </cell>
          <cell r="I49">
            <v>48274.2</v>
          </cell>
        </row>
      </sheetData>
      <sheetData sheetId="99">
        <row r="37">
          <cell r="D37">
            <v>169670.060601</v>
          </cell>
        </row>
        <row r="39">
          <cell r="D39">
            <v>18450</v>
          </cell>
        </row>
        <row r="51">
          <cell r="F51">
            <v>904020.47999999998</v>
          </cell>
          <cell r="G51">
            <v>207924.71078666087</v>
          </cell>
          <cell r="H51">
            <v>200150.13434159895</v>
          </cell>
          <cell r="I51">
            <v>1433998.82</v>
          </cell>
          <cell r="J51">
            <v>329819.72921333928</v>
          </cell>
          <cell r="K51">
            <v>317487.33885840105</v>
          </cell>
        </row>
        <row r="57">
          <cell r="G57">
            <v>104442.76763517562</v>
          </cell>
          <cell r="H57">
            <v>123393.23469136901</v>
          </cell>
          <cell r="I57">
            <v>94200.78</v>
          </cell>
        </row>
      </sheetData>
      <sheetData sheetId="100">
        <row r="20">
          <cell r="D20">
            <v>181888.75</v>
          </cell>
        </row>
        <row r="22">
          <cell r="D22">
            <v>50850</v>
          </cell>
        </row>
        <row r="37">
          <cell r="F37">
            <v>897899.21000000008</v>
          </cell>
          <cell r="G37">
            <v>147267.7756816058</v>
          </cell>
          <cell r="H37">
            <v>188130.05742268905</v>
          </cell>
          <cell r="I37">
            <v>1750574.9</v>
          </cell>
          <cell r="J37">
            <v>287118.27431839425</v>
          </cell>
          <cell r="K37">
            <v>366784.77137731091</v>
          </cell>
        </row>
        <row r="43">
          <cell r="G43">
            <v>104071.49712</v>
          </cell>
          <cell r="H43">
            <v>100836.95664000009</v>
          </cell>
          <cell r="I43">
            <v>48274.196000000004</v>
          </cell>
        </row>
      </sheetData>
      <sheetData sheetId="101">
        <row r="21">
          <cell r="M21">
            <v>69300</v>
          </cell>
        </row>
        <row r="25">
          <cell r="M25">
            <v>22481</v>
          </cell>
        </row>
        <row r="32">
          <cell r="M32">
            <v>2250</v>
          </cell>
        </row>
        <row r="69">
          <cell r="I69">
            <v>368495.68</v>
          </cell>
          <cell r="J69">
            <v>94491.800418224288</v>
          </cell>
          <cell r="L69">
            <v>553519.43999999994</v>
          </cell>
          <cell r="M69">
            <v>141936.66653592052</v>
          </cell>
        </row>
        <row r="80">
          <cell r="J80">
            <v>69614.435816045196</v>
          </cell>
          <cell r="K80">
            <v>91423.433248135596</v>
          </cell>
          <cell r="L80">
            <v>123700</v>
          </cell>
        </row>
      </sheetData>
      <sheetData sheetId="102">
        <row r="22">
          <cell r="L22">
            <v>57750</v>
          </cell>
        </row>
        <row r="33">
          <cell r="L33">
            <v>18300</v>
          </cell>
        </row>
        <row r="69">
          <cell r="L69">
            <v>1168215.79</v>
          </cell>
          <cell r="M69">
            <v>147062.91754844438</v>
          </cell>
        </row>
        <row r="80">
          <cell r="J80">
            <v>60640.776949152547</v>
          </cell>
          <cell r="K80">
            <v>97623.56</v>
          </cell>
          <cell r="L80">
            <v>63950</v>
          </cell>
        </row>
        <row r="93">
          <cell r="H93">
            <v>27469.88</v>
          </cell>
        </row>
      </sheetData>
      <sheetData sheetId="103">
        <row r="62">
          <cell r="E62">
            <v>225638.16500000001</v>
          </cell>
        </row>
        <row r="64">
          <cell r="E64">
            <v>18450</v>
          </cell>
        </row>
        <row r="73">
          <cell r="I73">
            <v>1196435.78</v>
          </cell>
          <cell r="J73">
            <v>239287.15299669057</v>
          </cell>
          <cell r="K73">
            <v>258430.12793940428</v>
          </cell>
          <cell r="L73">
            <v>1990543.96</v>
          </cell>
          <cell r="M73">
            <v>398108.78700330935</v>
          </cell>
          <cell r="N73">
            <v>429957.49446059566</v>
          </cell>
        </row>
        <row r="84">
          <cell r="J84">
            <v>100448.27918680693</v>
          </cell>
          <cell r="K84">
            <v>99769.70641072726</v>
          </cell>
          <cell r="L84">
            <v>99467.63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4"/>
  <sheetViews>
    <sheetView zoomScale="91" zoomScaleNormal="91" workbookViewId="0" xr3:uid="{AEA406A1-0E4B-5B11-9CD5-51D6E497D94C}">
      <pane ySplit="6" topLeftCell="A7" activePane="bottomLeft" state="frozen"/>
      <selection pane="bottomLeft" activeCell="A16" sqref="A16"/>
    </sheetView>
  </sheetViews>
  <sheetFormatPr defaultColWidth="11.42578125" defaultRowHeight="15"/>
  <cols>
    <col min="1" max="1" width="86.140625" style="233" customWidth="1"/>
    <col min="2" max="4" width="13.85546875" bestFit="1" customWidth="1"/>
  </cols>
  <sheetData>
    <row r="2" spans="1:4">
      <c r="A2" s="267" t="s">
        <v>0</v>
      </c>
      <c r="B2" s="267"/>
      <c r="C2" s="267"/>
      <c r="D2" s="267"/>
    </row>
    <row r="3" spans="1:4">
      <c r="A3" s="267" t="s">
        <v>1</v>
      </c>
      <c r="B3" s="267"/>
      <c r="C3" s="267"/>
      <c r="D3" s="267"/>
    </row>
    <row r="4" spans="1:4">
      <c r="A4" s="267" t="s">
        <v>2</v>
      </c>
      <c r="B4" s="267"/>
      <c r="C4" s="267"/>
      <c r="D4" s="267"/>
    </row>
    <row r="5" spans="1:4">
      <c r="B5" s="23"/>
      <c r="C5" s="23"/>
      <c r="D5" s="23"/>
    </row>
    <row r="6" spans="1:4">
      <c r="A6" s="28" t="s">
        <v>3</v>
      </c>
      <c r="B6" s="28" t="s">
        <v>4</v>
      </c>
      <c r="C6" s="28" t="s">
        <v>5</v>
      </c>
      <c r="D6" s="28" t="s">
        <v>6</v>
      </c>
    </row>
    <row r="7" spans="1:4" s="253" customFormat="1" ht="12.75">
      <c r="A7" s="234" t="s">
        <v>7</v>
      </c>
      <c r="B7" s="101">
        <f>+B8+B13</f>
        <v>94237285.845400661</v>
      </c>
      <c r="C7" s="101">
        <f>+C8+C13</f>
        <v>20246091.80841931</v>
      </c>
      <c r="D7" s="101">
        <f t="shared" ref="D7:D13" si="0">+C7+B7</f>
        <v>114483377.65381998</v>
      </c>
    </row>
    <row r="8" spans="1:4" s="254" customFormat="1" ht="12.75">
      <c r="A8" s="234" t="s">
        <v>8</v>
      </c>
      <c r="B8" s="251">
        <f>+B9+B10+B11+B12</f>
        <v>87882395.256782413</v>
      </c>
      <c r="C8" s="251">
        <f>+C9+C10+C11+C12</f>
        <v>18851115.825551886</v>
      </c>
      <c r="D8" s="251">
        <f t="shared" si="0"/>
        <v>106733511.08233429</v>
      </c>
    </row>
    <row r="9" spans="1:4" s="252" customFormat="1" ht="12.75">
      <c r="A9" s="235" t="s">
        <v>9</v>
      </c>
      <c r="B9" s="248">
        <f>+'Resumen C1'!E10</f>
        <v>82774562.8255319</v>
      </c>
      <c r="C9" s="248">
        <f>+'Resumen C1'!F10</f>
        <v>16894267.571458224</v>
      </c>
      <c r="D9" s="248">
        <f t="shared" si="0"/>
        <v>99668830.39699012</v>
      </c>
    </row>
    <row r="10" spans="1:4" s="252" customFormat="1" ht="12.75">
      <c r="A10" s="235" t="s">
        <v>10</v>
      </c>
      <c r="B10" s="248">
        <f>+'Resumen C1'!E17</f>
        <v>3857178.3874332495</v>
      </c>
      <c r="C10" s="248">
        <f>+'Resumen C1'!F17</f>
        <v>846697.69480242068</v>
      </c>
      <c r="D10" s="248">
        <f t="shared" si="0"/>
        <v>4703876.0822356697</v>
      </c>
    </row>
    <row r="11" spans="1:4" s="252" customFormat="1" ht="12.75">
      <c r="A11" s="235" t="s">
        <v>11</v>
      </c>
      <c r="B11" s="248">
        <f>+'Resumen C1'!E24</f>
        <v>624176.82926829276</v>
      </c>
      <c r="C11" s="248">
        <f>+'Resumen C1'!F24</f>
        <v>972631.17073170724</v>
      </c>
      <c r="D11" s="248">
        <f t="shared" si="0"/>
        <v>1596808</v>
      </c>
    </row>
    <row r="12" spans="1:4" s="252" customFormat="1" ht="12.75">
      <c r="A12" s="235" t="s">
        <v>12</v>
      </c>
      <c r="B12" s="248">
        <f>+'Resumen C1'!E26</f>
        <v>626477.21454897092</v>
      </c>
      <c r="C12" s="248">
        <f>+'Resumen C1'!F26</f>
        <v>137519.3885595302</v>
      </c>
      <c r="D12" s="248">
        <f t="shared" si="0"/>
        <v>763996.60310850106</v>
      </c>
    </row>
    <row r="13" spans="1:4" s="254" customFormat="1" ht="12.75">
      <c r="A13" s="234" t="s">
        <v>13</v>
      </c>
      <c r="B13" s="251">
        <f>+B14+B15+B16+B17</f>
        <v>6354890.5886182543</v>
      </c>
      <c r="C13" s="251">
        <f>+C14+C15+C16+C17</f>
        <v>1394975.9828674216</v>
      </c>
      <c r="D13" s="251">
        <f t="shared" si="0"/>
        <v>7749866.5714856759</v>
      </c>
    </row>
    <row r="14" spans="1:4" s="253" customFormat="1" ht="12.75">
      <c r="A14" s="236" t="s">
        <v>14</v>
      </c>
      <c r="B14" s="249">
        <f>+'Resumen C1'!E34</f>
        <v>2290498.7876698999</v>
      </c>
      <c r="C14" s="249">
        <f>+'Resumen C1'!F34</f>
        <v>502792.41680558783</v>
      </c>
      <c r="D14" s="249">
        <f t="shared" ref="D14:D27" si="1">+C14+B14</f>
        <v>2793291.2044754876</v>
      </c>
    </row>
    <row r="15" spans="1:4" s="255" customFormat="1" ht="12.75">
      <c r="A15" s="236" t="s">
        <v>15</v>
      </c>
      <c r="B15" s="249">
        <f>+'Resumen C1'!E41</f>
        <v>2064193.9923947733</v>
      </c>
      <c r="C15" s="249">
        <f>+'Resumen C1'!F41</f>
        <v>453115.75442812097</v>
      </c>
      <c r="D15" s="249">
        <f t="shared" si="1"/>
        <v>2517309.7468228941</v>
      </c>
    </row>
    <row r="16" spans="1:4" s="255" customFormat="1" ht="12.75">
      <c r="A16" s="236" t="s">
        <v>16</v>
      </c>
      <c r="B16" s="249">
        <f>+'Resumen C1'!E48</f>
        <v>373756.42716829624</v>
      </c>
      <c r="C16" s="249">
        <f>+'Resumen C1'!F48</f>
        <v>82044.093768650389</v>
      </c>
      <c r="D16" s="249">
        <f t="shared" si="1"/>
        <v>455800.52093694662</v>
      </c>
    </row>
    <row r="17" spans="1:4" s="255" customFormat="1" ht="12.75">
      <c r="A17" s="236" t="s">
        <v>17</v>
      </c>
      <c r="B17" s="249">
        <f>+'Resumen C1'!E55</f>
        <v>1626441.3813852849</v>
      </c>
      <c r="C17" s="249">
        <f>+'Resumen C1'!F55</f>
        <v>357023.71786506253</v>
      </c>
      <c r="D17" s="249">
        <f t="shared" ref="D17:D18" si="2">+C17+B17</f>
        <v>1983465.0992503474</v>
      </c>
    </row>
    <row r="18" spans="1:4" s="253" customFormat="1" ht="12.75">
      <c r="A18" s="234" t="s">
        <v>18</v>
      </c>
      <c r="B18" s="101">
        <f>SUM(B19:B25)</f>
        <v>5145289.8400000008</v>
      </c>
      <c r="C18" s="101">
        <f>SUM(C19:C25)</f>
        <v>1129453.8673170733</v>
      </c>
      <c r="D18" s="101">
        <f t="shared" si="2"/>
        <v>6274743.7073170738</v>
      </c>
    </row>
    <row r="19" spans="1:4" s="253" customFormat="1" ht="12.75">
      <c r="A19" s="236" t="s">
        <v>19</v>
      </c>
      <c r="B19" s="249">
        <f>+'Resumen C2'!E9</f>
        <v>287704.65000000008</v>
      </c>
      <c r="C19" s="249">
        <f>+'Resumen C2'!F9</f>
        <v>63154.679268292697</v>
      </c>
      <c r="D19" s="249">
        <f t="shared" si="1"/>
        <v>350859.32926829276</v>
      </c>
    </row>
    <row r="20" spans="1:4" s="256" customFormat="1" ht="12.75">
      <c r="A20" s="236" t="s">
        <v>20</v>
      </c>
      <c r="B20" s="250">
        <f>+'Resumen C2'!E10</f>
        <v>1192525.7000000002</v>
      </c>
      <c r="C20" s="250">
        <f>+'Resumen C2'!F10</f>
        <v>261773.93414634149</v>
      </c>
      <c r="D20" s="250">
        <f t="shared" si="1"/>
        <v>1454299.6341463416</v>
      </c>
    </row>
    <row r="21" spans="1:4" s="256" customFormat="1" ht="12.75">
      <c r="A21" s="236" t="s">
        <v>21</v>
      </c>
      <c r="B21" s="250">
        <f>+'Resumen C2'!E11</f>
        <v>404007</v>
      </c>
      <c r="C21" s="250">
        <f>+'Resumen C2'!F11</f>
        <v>88684.463414634141</v>
      </c>
      <c r="D21" s="250">
        <f t="shared" si="1"/>
        <v>492691.46341463411</v>
      </c>
    </row>
    <row r="22" spans="1:4" s="256" customFormat="1" ht="12.75">
      <c r="A22" s="236" t="s">
        <v>22</v>
      </c>
      <c r="B22" s="250">
        <f>+'Resumen C2'!E12</f>
        <v>1639999.6800000002</v>
      </c>
      <c r="C22" s="250">
        <f>+'Resumen C2'!F12</f>
        <v>359999.92975609761</v>
      </c>
      <c r="D22" s="250">
        <f t="shared" si="1"/>
        <v>1999999.6097560977</v>
      </c>
    </row>
    <row r="23" spans="1:4" s="256" customFormat="1" ht="12.75">
      <c r="A23" s="236" t="s">
        <v>23</v>
      </c>
      <c r="B23" s="250">
        <f>+'Resumen C2'!E13</f>
        <v>282962.5</v>
      </c>
      <c r="C23" s="250">
        <f>+'Resumen C2'!F13</f>
        <v>62113.719512195123</v>
      </c>
      <c r="D23" s="250">
        <f t="shared" si="1"/>
        <v>345076.21951219509</v>
      </c>
    </row>
    <row r="24" spans="1:4" s="256" customFormat="1" ht="12.75">
      <c r="A24" s="236" t="s">
        <v>24</v>
      </c>
      <c r="B24" s="250">
        <f>+'Resumen C2'!E14</f>
        <v>691668.6100000001</v>
      </c>
      <c r="C24" s="250">
        <f>+'Resumen C2'!F14</f>
        <v>151829.69487804879</v>
      </c>
      <c r="D24" s="250">
        <f t="shared" si="1"/>
        <v>843498.30487804883</v>
      </c>
    </row>
    <row r="25" spans="1:4" s="256" customFormat="1" ht="12.75">
      <c r="A25" s="236" t="s">
        <v>25</v>
      </c>
      <c r="B25" s="250">
        <f>+'Resumen C2'!E15</f>
        <v>646421.70000000019</v>
      </c>
      <c r="C25" s="250">
        <f>+'Resumen C2'!F15</f>
        <v>141897.44634146342</v>
      </c>
      <c r="D25" s="250">
        <f t="shared" si="1"/>
        <v>788319.14634146355</v>
      </c>
    </row>
    <row r="26" spans="1:4" s="256" customFormat="1" ht="12.75">
      <c r="A26" s="237" t="s">
        <v>26</v>
      </c>
      <c r="B26" s="207">
        <f>+Administración_ME_Auditoria!F21</f>
        <v>109024.39024390244</v>
      </c>
      <c r="C26" s="207">
        <f>+Administración_ME_Auditoria!G21</f>
        <v>4512854.4268292692</v>
      </c>
      <c r="D26" s="207">
        <f t="shared" si="1"/>
        <v>4621878.817073172</v>
      </c>
    </row>
    <row r="27" spans="1:4" s="253" customFormat="1" ht="12.75">
      <c r="A27" s="234" t="s">
        <v>27</v>
      </c>
      <c r="B27" s="101">
        <f>+Administración_ME_Auditoria!F28</f>
        <v>508400</v>
      </c>
      <c r="C27" s="101">
        <f>+Administración_ME_Auditoria!G28</f>
        <v>111600</v>
      </c>
      <c r="D27" s="101">
        <f t="shared" si="1"/>
        <v>620000</v>
      </c>
    </row>
    <row r="28" spans="1:4">
      <c r="A28" s="238" t="s">
        <v>6</v>
      </c>
      <c r="B28" s="26">
        <f t="shared" ref="B28:D28" si="3">+B7+B18+B26+B27</f>
        <v>100000000.07564457</v>
      </c>
      <c r="C28" s="26">
        <f t="shared" si="3"/>
        <v>26000000.102565654</v>
      </c>
      <c r="D28" s="26">
        <f t="shared" si="3"/>
        <v>126000000.17821021</v>
      </c>
    </row>
    <row r="29" spans="1:4" s="23" customFormat="1">
      <c r="A29" s="239"/>
      <c r="B29" s="25"/>
      <c r="C29" s="25"/>
      <c r="D29" s="24"/>
    </row>
    <row r="30" spans="1:4" s="23" customFormat="1">
      <c r="A30" s="239"/>
      <c r="B30" s="25"/>
      <c r="C30" s="25"/>
      <c r="D30" s="24"/>
    </row>
    <row r="31" spans="1:4" s="23" customFormat="1">
      <c r="A31" s="239"/>
      <c r="B31" s="25"/>
      <c r="C31" s="25"/>
      <c r="D31" s="24"/>
    </row>
    <row r="32" spans="1:4">
      <c r="A32" s="239"/>
      <c r="B32" s="25"/>
      <c r="C32" s="25"/>
      <c r="D32" s="24"/>
    </row>
    <row r="33" spans="1:4" s="23" customFormat="1">
      <c r="A33" s="239"/>
      <c r="B33" s="25"/>
      <c r="C33" s="25"/>
      <c r="D33" s="24"/>
    </row>
    <row r="34" spans="1:4" s="23" customFormat="1">
      <c r="A34" s="239"/>
      <c r="B34" s="25"/>
      <c r="C34" s="25"/>
      <c r="D34" s="24"/>
    </row>
  </sheetData>
  <mergeCells count="3">
    <mergeCell ref="A2:D2"/>
    <mergeCell ref="A3:D3"/>
    <mergeCell ref="A4:D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38"/>
  <sheetViews>
    <sheetView workbookViewId="0" xr3:uid="{7BE570AB-09E9-518F-B8F7-3F91B7162CA9}">
      <selection activeCell="F6" sqref="F6"/>
    </sheetView>
  </sheetViews>
  <sheetFormatPr defaultColWidth="11.42578125" defaultRowHeight="15"/>
  <cols>
    <col min="2" max="2" width="77" bestFit="1" customWidth="1"/>
    <col min="5" max="5" width="14" customWidth="1"/>
    <col min="6" max="6" width="12.85546875" bestFit="1" customWidth="1"/>
    <col min="7" max="7" width="13.85546875" style="23" bestFit="1" customWidth="1"/>
  </cols>
  <sheetData>
    <row r="2" spans="1:11">
      <c r="A2" s="299" t="s">
        <v>580</v>
      </c>
      <c r="B2" s="299"/>
      <c r="C2" s="299"/>
      <c r="D2" s="299"/>
      <c r="E2" s="299"/>
      <c r="F2" s="299"/>
      <c r="G2" s="299"/>
      <c r="H2" s="23"/>
      <c r="I2" s="23"/>
      <c r="J2" s="23"/>
      <c r="K2" s="23"/>
    </row>
    <row r="4" spans="1:11" s="27" customFormat="1" ht="12.75">
      <c r="A4" s="19"/>
      <c r="B4" s="2" t="s">
        <v>29</v>
      </c>
      <c r="C4" s="4">
        <v>3.28</v>
      </c>
      <c r="F4" s="3"/>
      <c r="G4" s="3"/>
      <c r="J4" s="3"/>
      <c r="K4" s="3"/>
    </row>
    <row r="6" spans="1:11" ht="25.5">
      <c r="A6" s="148" t="s">
        <v>407</v>
      </c>
      <c r="B6" s="149" t="s">
        <v>560</v>
      </c>
      <c r="C6" s="149" t="s">
        <v>561</v>
      </c>
      <c r="D6" s="149" t="s">
        <v>562</v>
      </c>
      <c r="E6" s="149" t="s">
        <v>563</v>
      </c>
      <c r="F6" s="149" t="s">
        <v>564</v>
      </c>
      <c r="G6" s="149" t="s">
        <v>565</v>
      </c>
      <c r="H6" s="23"/>
      <c r="I6" s="23"/>
      <c r="J6" s="23"/>
      <c r="K6" s="23"/>
    </row>
    <row r="7" spans="1:11">
      <c r="A7" s="150">
        <v>1</v>
      </c>
      <c r="B7" s="151" t="s">
        <v>566</v>
      </c>
      <c r="C7" s="161"/>
      <c r="D7" s="179"/>
      <c r="E7" s="161"/>
      <c r="F7" s="179"/>
      <c r="G7" s="161"/>
      <c r="H7" s="23"/>
      <c r="I7" s="23"/>
      <c r="J7" s="23"/>
      <c r="K7" s="23"/>
    </row>
    <row r="8" spans="1:11">
      <c r="A8" s="150">
        <v>1.1000000000000001</v>
      </c>
      <c r="B8" s="150" t="s">
        <v>567</v>
      </c>
      <c r="C8" s="150">
        <v>9</v>
      </c>
      <c r="D8" s="166">
        <v>2</v>
      </c>
      <c r="E8" s="153">
        <v>9000</v>
      </c>
      <c r="F8" s="180">
        <f>+D8*E8*C8</f>
        <v>162000</v>
      </c>
      <c r="G8" s="153">
        <f>+F8/$C$4</f>
        <v>49390.243902439026</v>
      </c>
      <c r="H8" s="23"/>
      <c r="I8" s="23"/>
      <c r="J8" s="23"/>
      <c r="K8" s="23"/>
    </row>
    <row r="9" spans="1:11">
      <c r="A9" s="150">
        <v>1.2</v>
      </c>
      <c r="B9" s="150" t="s">
        <v>568</v>
      </c>
      <c r="C9" s="150">
        <v>9</v>
      </c>
      <c r="D9" s="166">
        <v>2</v>
      </c>
      <c r="E9" s="153">
        <v>9000</v>
      </c>
      <c r="F9" s="180">
        <f t="shared" ref="F9:F11" si="0">+D9*E9*C9</f>
        <v>162000</v>
      </c>
      <c r="G9" s="153">
        <f t="shared" ref="G9:G11" si="1">+F9/$C$4</f>
        <v>49390.243902439026</v>
      </c>
      <c r="H9" s="23"/>
      <c r="I9" s="23"/>
      <c r="J9" s="23"/>
      <c r="K9" s="23"/>
    </row>
    <row r="10" spans="1:11">
      <c r="A10" s="150">
        <v>1.3</v>
      </c>
      <c r="B10" s="150" t="s">
        <v>581</v>
      </c>
      <c r="C10" s="150">
        <v>9</v>
      </c>
      <c r="D10" s="166">
        <v>2</v>
      </c>
      <c r="E10" s="153">
        <v>9000</v>
      </c>
      <c r="F10" s="180">
        <f t="shared" si="0"/>
        <v>162000</v>
      </c>
      <c r="G10" s="153">
        <f t="shared" si="1"/>
        <v>49390.243902439026</v>
      </c>
      <c r="H10" s="23"/>
      <c r="I10" s="23"/>
      <c r="J10" s="23"/>
      <c r="K10" s="23"/>
    </row>
    <row r="11" spans="1:11">
      <c r="A11" s="150">
        <v>1.4</v>
      </c>
      <c r="B11" s="150" t="s">
        <v>582</v>
      </c>
      <c r="C11" s="150">
        <v>9</v>
      </c>
      <c r="D11" s="166">
        <v>2</v>
      </c>
      <c r="E11" s="153">
        <v>9000</v>
      </c>
      <c r="F11" s="180">
        <f t="shared" si="0"/>
        <v>162000</v>
      </c>
      <c r="G11" s="153">
        <f t="shared" si="1"/>
        <v>49390.243902439026</v>
      </c>
      <c r="H11" s="23"/>
      <c r="I11" s="23"/>
      <c r="J11" s="23"/>
      <c r="K11" s="23"/>
    </row>
    <row r="12" spans="1:11">
      <c r="A12" s="150"/>
      <c r="B12" s="151" t="s">
        <v>570</v>
      </c>
      <c r="C12" s="150"/>
      <c r="D12" s="166"/>
      <c r="E12" s="153"/>
      <c r="F12" s="181">
        <f>SUM(F8:F11)</f>
        <v>648000</v>
      </c>
      <c r="G12" s="154">
        <f>SUM(G8:G11)</f>
        <v>197560.9756097561</v>
      </c>
      <c r="H12" s="23"/>
      <c r="I12" s="23"/>
      <c r="J12" s="23"/>
      <c r="K12" s="23"/>
    </row>
    <row r="13" spans="1:11" s="23" customFormat="1">
      <c r="A13" s="150"/>
      <c r="B13" s="151"/>
      <c r="C13" s="150"/>
      <c r="D13" s="166"/>
      <c r="E13" s="153"/>
      <c r="F13" s="181"/>
      <c r="G13" s="154"/>
    </row>
    <row r="14" spans="1:11">
      <c r="A14" s="150">
        <v>2</v>
      </c>
      <c r="B14" s="151" t="s">
        <v>571</v>
      </c>
      <c r="C14" s="150"/>
      <c r="D14" s="166"/>
      <c r="E14" s="153"/>
      <c r="F14" s="180"/>
      <c r="G14" s="153"/>
      <c r="H14" s="23"/>
      <c r="I14" s="23"/>
      <c r="J14" s="23"/>
      <c r="K14" s="23"/>
    </row>
    <row r="15" spans="1:11">
      <c r="A15" s="150">
        <v>2.1</v>
      </c>
      <c r="B15" s="150" t="s">
        <v>583</v>
      </c>
      <c r="C15" s="150">
        <v>558</v>
      </c>
      <c r="D15" s="166"/>
      <c r="E15" s="153">
        <v>300</v>
      </c>
      <c r="F15" s="180">
        <f>+C15*E15</f>
        <v>167400</v>
      </c>
      <c r="G15" s="153">
        <f t="shared" ref="G15:G16" si="2">+F15/$C$4</f>
        <v>51036.585365853658</v>
      </c>
      <c r="H15" s="23"/>
      <c r="I15" s="23"/>
      <c r="J15" s="23"/>
      <c r="K15" s="23"/>
    </row>
    <row r="16" spans="1:11">
      <c r="A16" s="166">
        <v>2.2000000000000002</v>
      </c>
      <c r="B16" s="150" t="s">
        <v>584</v>
      </c>
      <c r="C16" s="150">
        <v>558</v>
      </c>
      <c r="D16" s="166"/>
      <c r="E16" s="153">
        <v>100</v>
      </c>
      <c r="F16" s="180">
        <f t="shared" ref="F16" si="3">+C16*E16</f>
        <v>55800</v>
      </c>
      <c r="G16" s="153">
        <f t="shared" si="2"/>
        <v>17012.195121951219</v>
      </c>
      <c r="H16" s="23"/>
      <c r="I16" s="23"/>
      <c r="J16" s="23"/>
      <c r="K16" s="23"/>
    </row>
    <row r="17" spans="1:7" s="206" customFormat="1">
      <c r="A17" s="210">
        <v>2.2999999999999998</v>
      </c>
      <c r="B17" s="208" t="s">
        <v>585</v>
      </c>
      <c r="C17" s="208">
        <v>3</v>
      </c>
      <c r="D17" s="210"/>
      <c r="E17" s="209">
        <v>18000</v>
      </c>
      <c r="F17" s="211">
        <f>+C17*E17</f>
        <v>54000</v>
      </c>
      <c r="G17" s="209">
        <f>+F17/$C$4</f>
        <v>16463.414634146342</v>
      </c>
    </row>
    <row r="18" spans="1:7" s="206" customFormat="1">
      <c r="A18" s="208"/>
      <c r="B18" s="212" t="s">
        <v>570</v>
      </c>
      <c r="C18" s="208"/>
      <c r="D18" s="213"/>
      <c r="E18" s="209"/>
      <c r="F18" s="214">
        <f>SUM(F15:F17)</f>
        <v>277200</v>
      </c>
      <c r="G18" s="215">
        <f>SUM(G15:G17)</f>
        <v>84512.195121951227</v>
      </c>
    </row>
    <row r="19" spans="1:7" s="206" customFormat="1">
      <c r="A19" s="208"/>
      <c r="B19" s="216"/>
      <c r="C19" s="208"/>
      <c r="D19" s="213"/>
      <c r="E19" s="209"/>
      <c r="F19" s="214"/>
      <c r="G19" s="215"/>
    </row>
    <row r="20" spans="1:7" s="206" customFormat="1">
      <c r="A20" s="208">
        <v>3</v>
      </c>
      <c r="B20" s="212" t="s">
        <v>574</v>
      </c>
      <c r="C20" s="208"/>
      <c r="D20" s="213"/>
      <c r="E20" s="209"/>
      <c r="F20" s="214"/>
      <c r="G20" s="215"/>
    </row>
    <row r="21" spans="1:7" s="206" customFormat="1">
      <c r="A21" s="208">
        <v>3.1</v>
      </c>
      <c r="B21" s="208" t="s">
        <v>586</v>
      </c>
      <c r="C21" s="208">
        <f>+SUM(C8:C11)*2</f>
        <v>72</v>
      </c>
      <c r="D21" s="213"/>
      <c r="E21" s="209">
        <v>600</v>
      </c>
      <c r="F21" s="211">
        <f>+C21*E21</f>
        <v>43200</v>
      </c>
      <c r="G21" s="209">
        <f t="shared" ref="G21:G23" si="4">+F21/$C$4</f>
        <v>13170.731707317074</v>
      </c>
    </row>
    <row r="22" spans="1:7" s="206" customFormat="1">
      <c r="A22" s="208">
        <v>3.2</v>
      </c>
      <c r="B22" s="208" t="s">
        <v>587</v>
      </c>
      <c r="C22" s="208">
        <v>300</v>
      </c>
      <c r="D22" s="213"/>
      <c r="E22" s="209">
        <v>60</v>
      </c>
      <c r="F22" s="211">
        <f>+C22*E22</f>
        <v>18000</v>
      </c>
      <c r="G22" s="209">
        <f t="shared" si="4"/>
        <v>5487.8048780487807</v>
      </c>
    </row>
    <row r="23" spans="1:7" s="206" customFormat="1">
      <c r="A23" s="208">
        <v>3.3</v>
      </c>
      <c r="B23" s="208" t="s">
        <v>576</v>
      </c>
      <c r="C23" s="208">
        <v>720</v>
      </c>
      <c r="D23" s="213"/>
      <c r="E23" s="209">
        <v>300</v>
      </c>
      <c r="F23" s="211">
        <f>+C23*E23</f>
        <v>216000</v>
      </c>
      <c r="G23" s="209">
        <f t="shared" si="4"/>
        <v>65853.658536585368</v>
      </c>
    </row>
    <row r="24" spans="1:7" s="206" customFormat="1">
      <c r="A24" s="208"/>
      <c r="B24" s="212" t="s">
        <v>570</v>
      </c>
      <c r="C24" s="208"/>
      <c r="D24" s="213"/>
      <c r="E24" s="209"/>
      <c r="F24" s="214">
        <f>SUM(F21:F23)</f>
        <v>277200</v>
      </c>
      <c r="G24" s="215">
        <f>SUM(G21:G23)</f>
        <v>84512.195121951227</v>
      </c>
    </row>
    <row r="25" spans="1:7" s="206" customFormat="1">
      <c r="A25" s="208">
        <v>4</v>
      </c>
      <c r="B25" s="212" t="s">
        <v>588</v>
      </c>
      <c r="C25" s="208"/>
      <c r="D25" s="213"/>
      <c r="E25" s="208"/>
      <c r="F25" s="213"/>
      <c r="G25" s="208"/>
    </row>
    <row r="26" spans="1:7" s="206" customFormat="1">
      <c r="A26" s="208">
        <v>4.0999999999999996</v>
      </c>
      <c r="B26" s="208" t="s">
        <v>589</v>
      </c>
      <c r="C26" s="208">
        <v>62</v>
      </c>
      <c r="D26" s="213"/>
      <c r="E26" s="208">
        <v>660</v>
      </c>
      <c r="F26" s="211">
        <f>+C26*E26</f>
        <v>40920</v>
      </c>
      <c r="G26" s="209">
        <f t="shared" ref="G26:G29" si="5">+F26/$C$4</f>
        <v>12475.609756097561</v>
      </c>
    </row>
    <row r="27" spans="1:7" s="206" customFormat="1">
      <c r="A27" s="208">
        <v>4.2</v>
      </c>
      <c r="B27" s="210" t="s">
        <v>590</v>
      </c>
      <c r="C27" s="208">
        <f>62*80</f>
        <v>4960</v>
      </c>
      <c r="D27" s="213" t="s">
        <v>591</v>
      </c>
      <c r="E27" s="209">
        <v>14</v>
      </c>
      <c r="F27" s="211">
        <f>+C27*E27</f>
        <v>69440</v>
      </c>
      <c r="G27" s="209">
        <f t="shared" si="5"/>
        <v>21170.731707317074</v>
      </c>
    </row>
    <row r="28" spans="1:7">
      <c r="A28" s="150">
        <v>4.3</v>
      </c>
      <c r="B28" s="155" t="s">
        <v>592</v>
      </c>
      <c r="C28" s="150">
        <v>62</v>
      </c>
      <c r="D28" s="166"/>
      <c r="E28" s="153">
        <v>6350</v>
      </c>
      <c r="F28" s="180">
        <f t="shared" ref="F28:F29" si="6">+E28*C28</f>
        <v>393700</v>
      </c>
      <c r="G28" s="153">
        <f t="shared" si="5"/>
        <v>120030.48780487805</v>
      </c>
    </row>
    <row r="29" spans="1:7">
      <c r="A29" s="150">
        <v>4.4000000000000004</v>
      </c>
      <c r="B29" s="155" t="s">
        <v>593</v>
      </c>
      <c r="C29" s="150">
        <v>62</v>
      </c>
      <c r="D29" s="166"/>
      <c r="E29" s="153">
        <v>13000</v>
      </c>
      <c r="F29" s="180">
        <f t="shared" si="6"/>
        <v>806000</v>
      </c>
      <c r="G29" s="153">
        <f t="shared" si="5"/>
        <v>245731.70731707319</v>
      </c>
    </row>
    <row r="30" spans="1:7">
      <c r="A30" s="150"/>
      <c r="B30" s="151" t="s">
        <v>570</v>
      </c>
      <c r="C30" s="150"/>
      <c r="D30" s="155"/>
      <c r="E30" s="150"/>
      <c r="F30" s="168">
        <f>SUM(F26:F29)</f>
        <v>1310060</v>
      </c>
      <c r="G30" s="154">
        <f>SUM(G26:G29)</f>
        <v>399408.53658536589</v>
      </c>
    </row>
    <row r="31" spans="1:7">
      <c r="A31" s="150"/>
      <c r="B31" s="151"/>
      <c r="C31" s="150"/>
      <c r="D31" s="155"/>
      <c r="E31" s="150"/>
      <c r="F31" s="168"/>
      <c r="G31" s="154"/>
    </row>
    <row r="32" spans="1:7">
      <c r="A32" s="150"/>
      <c r="B32" s="150" t="s">
        <v>594</v>
      </c>
      <c r="C32" s="150"/>
      <c r="D32" s="155"/>
      <c r="E32" s="154">
        <f>((1500*40*1.5)+(1500*20*1.25))</f>
        <v>127500</v>
      </c>
      <c r="F32" s="169">
        <f>E32*12</f>
        <v>1530000</v>
      </c>
      <c r="G32" s="182">
        <f>+F32/$C$4</f>
        <v>466463.41463414638</v>
      </c>
    </row>
    <row r="33" spans="1:7">
      <c r="A33" s="150"/>
      <c r="B33" s="151"/>
      <c r="C33" s="150"/>
      <c r="D33" s="155"/>
      <c r="E33" s="150"/>
      <c r="F33" s="168"/>
      <c r="G33" s="154"/>
    </row>
    <row r="34" spans="1:7">
      <c r="A34" s="150"/>
      <c r="B34" s="151" t="s">
        <v>577</v>
      </c>
      <c r="C34" s="151"/>
      <c r="D34" s="167"/>
      <c r="E34" s="151"/>
      <c r="F34" s="181">
        <f>+F30+F24+F18+F12+F32</f>
        <v>4042460</v>
      </c>
      <c r="G34" s="154">
        <f>+G30+G24+G18+G12+G32</f>
        <v>1232457.3170731708</v>
      </c>
    </row>
    <row r="35" spans="1:7">
      <c r="A35" s="150"/>
      <c r="B35" s="150"/>
      <c r="C35" s="150"/>
      <c r="D35" s="166"/>
      <c r="E35" s="150"/>
      <c r="F35" s="180"/>
      <c r="G35" s="153"/>
    </row>
    <row r="36" spans="1:7">
      <c r="A36" s="150"/>
      <c r="B36" s="151" t="s">
        <v>570</v>
      </c>
      <c r="C36" s="151"/>
      <c r="D36" s="167"/>
      <c r="E36" s="151"/>
      <c r="F36" s="181">
        <f>+F34</f>
        <v>4042460</v>
      </c>
      <c r="G36" s="154">
        <f>+G34</f>
        <v>1232457.3170731708</v>
      </c>
    </row>
    <row r="37" spans="1:7">
      <c r="A37" s="150"/>
      <c r="B37" s="150" t="s">
        <v>579</v>
      </c>
      <c r="C37" s="163"/>
      <c r="D37" s="166"/>
      <c r="E37" s="163"/>
      <c r="F37" s="180">
        <f>+F36*0.18</f>
        <v>727642.79999999993</v>
      </c>
      <c r="G37" s="164">
        <f>+G36*0.18</f>
        <v>221842.31707317074</v>
      </c>
    </row>
    <row r="38" spans="1:7">
      <c r="A38" s="148"/>
      <c r="B38" s="148" t="s">
        <v>6</v>
      </c>
      <c r="C38" s="148"/>
      <c r="D38" s="148"/>
      <c r="E38" s="148"/>
      <c r="F38" s="156">
        <f>+F36+F37</f>
        <v>4770102.8</v>
      </c>
      <c r="G38" s="156">
        <f>+G36+G37</f>
        <v>1454299.6341463416</v>
      </c>
    </row>
  </sheetData>
  <mergeCells count="1">
    <mergeCell ref="A2:G2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85"/>
  <sheetViews>
    <sheetView zoomScale="130" zoomScaleNormal="130" workbookViewId="0" xr3:uid="{65FA3815-DCC1-5481-872F-D2879ED395ED}">
      <selection activeCell="G14" sqref="G14"/>
    </sheetView>
  </sheetViews>
  <sheetFormatPr defaultColWidth="11.42578125" defaultRowHeight="15"/>
  <cols>
    <col min="1" max="1" width="41.85546875" style="23" customWidth="1"/>
    <col min="2" max="2" width="11.42578125" style="23"/>
    <col min="3" max="3" width="13.5703125" style="23" bestFit="1" customWidth="1"/>
    <col min="4" max="4" width="16.140625" style="23" bestFit="1" customWidth="1"/>
    <col min="5" max="5" width="12.28515625" style="23" bestFit="1" customWidth="1"/>
    <col min="6" max="16384" width="11.42578125" style="23"/>
  </cols>
  <sheetData>
    <row r="2" spans="1:5">
      <c r="A2" s="56" t="s">
        <v>595</v>
      </c>
      <c r="D2" s="23" t="s">
        <v>105</v>
      </c>
      <c r="E2" s="23">
        <v>3.28</v>
      </c>
    </row>
    <row r="3" spans="1:5">
      <c r="C3" s="40" t="s">
        <v>596</v>
      </c>
      <c r="D3" s="57" t="s">
        <v>104</v>
      </c>
      <c r="E3" s="57" t="s">
        <v>105</v>
      </c>
    </row>
    <row r="4" spans="1:5">
      <c r="A4" s="58" t="s">
        <v>597</v>
      </c>
      <c r="B4" s="58" t="s">
        <v>561</v>
      </c>
      <c r="C4" s="58" t="s">
        <v>367</v>
      </c>
      <c r="D4" s="58" t="s">
        <v>598</v>
      </c>
      <c r="E4" s="58" t="s">
        <v>598</v>
      </c>
    </row>
    <row r="5" spans="1:5">
      <c r="A5" s="62" t="s">
        <v>599</v>
      </c>
      <c r="B5" s="37">
        <v>100</v>
      </c>
      <c r="C5" s="185">
        <f>+E65</f>
        <v>5013</v>
      </c>
      <c r="D5" s="183">
        <f>+C5*B5</f>
        <v>501300</v>
      </c>
      <c r="E5" s="183">
        <f>+D5/$E$2</f>
        <v>152835.36585365856</v>
      </c>
    </row>
    <row r="6" spans="1:5">
      <c r="A6" s="62" t="s">
        <v>600</v>
      </c>
      <c r="B6" s="37">
        <v>100</v>
      </c>
      <c r="C6" s="185">
        <f>+E75</f>
        <v>433.9</v>
      </c>
      <c r="D6" s="183">
        <f t="shared" ref="D6:D12" si="0">+C6*B6</f>
        <v>43390</v>
      </c>
      <c r="E6" s="183">
        <f t="shared" ref="E6:E12" si="1">+D6/$E$2</f>
        <v>13228.658536585366</v>
      </c>
    </row>
    <row r="7" spans="1:5">
      <c r="A7" s="37" t="s">
        <v>601</v>
      </c>
      <c r="B7" s="37">
        <v>100</v>
      </c>
      <c r="C7" s="185">
        <f>+E85</f>
        <v>6200</v>
      </c>
      <c r="D7" s="183">
        <f t="shared" si="0"/>
        <v>620000</v>
      </c>
      <c r="E7" s="183">
        <f t="shared" si="1"/>
        <v>189024.39024390245</v>
      </c>
    </row>
    <row r="8" spans="1:5">
      <c r="A8" s="62" t="s">
        <v>602</v>
      </c>
      <c r="B8" s="37">
        <v>15</v>
      </c>
      <c r="C8" s="185">
        <v>250</v>
      </c>
      <c r="D8" s="183">
        <f t="shared" si="0"/>
        <v>3750</v>
      </c>
      <c r="E8" s="183">
        <f t="shared" si="1"/>
        <v>1143.2926829268292</v>
      </c>
    </row>
    <row r="9" spans="1:5">
      <c r="A9" s="37" t="s">
        <v>603</v>
      </c>
      <c r="B9" s="37">
        <v>15</v>
      </c>
      <c r="C9" s="185">
        <v>150</v>
      </c>
      <c r="D9" s="183">
        <f t="shared" si="0"/>
        <v>2250</v>
      </c>
      <c r="E9" s="183">
        <f t="shared" si="1"/>
        <v>685.97560975609758</v>
      </c>
    </row>
    <row r="10" spans="1:5">
      <c r="A10" s="37" t="s">
        <v>604</v>
      </c>
      <c r="B10" s="37">
        <v>100</v>
      </c>
      <c r="C10" s="185">
        <v>200</v>
      </c>
      <c r="D10" s="183">
        <f t="shared" si="0"/>
        <v>20000</v>
      </c>
      <c r="E10" s="183">
        <f t="shared" si="1"/>
        <v>6097.5609756097565</v>
      </c>
    </row>
    <row r="11" spans="1:5">
      <c r="A11" s="37" t="s">
        <v>605</v>
      </c>
      <c r="B11" s="37">
        <v>500</v>
      </c>
      <c r="C11" s="185">
        <v>60</v>
      </c>
      <c r="D11" s="183">
        <f t="shared" si="0"/>
        <v>30000</v>
      </c>
      <c r="E11" s="183">
        <f t="shared" si="1"/>
        <v>9146.3414634146338</v>
      </c>
    </row>
    <row r="12" spans="1:5">
      <c r="A12" s="37" t="s">
        <v>606</v>
      </c>
      <c r="B12" s="37">
        <v>36</v>
      </c>
      <c r="C12" s="185">
        <v>3500</v>
      </c>
      <c r="D12" s="183">
        <f t="shared" si="0"/>
        <v>126000</v>
      </c>
      <c r="E12" s="183">
        <f t="shared" si="1"/>
        <v>38414.634146341465</v>
      </c>
    </row>
    <row r="13" spans="1:5">
      <c r="A13" s="55" t="s">
        <v>607</v>
      </c>
      <c r="B13" s="55">
        <v>1</v>
      </c>
      <c r="C13" s="184">
        <f>SUM(C5:C10)</f>
        <v>12246.9</v>
      </c>
      <c r="D13" s="184">
        <f>SUM(D5:D12)</f>
        <v>1346690</v>
      </c>
      <c r="E13" s="184">
        <f>SUM(E5:E12)</f>
        <v>410576.21951219515</v>
      </c>
    </row>
    <row r="14" spans="1:5">
      <c r="A14" s="37" t="s">
        <v>608</v>
      </c>
      <c r="B14" s="37"/>
      <c r="C14" s="185"/>
      <c r="D14" s="232">
        <v>0.2</v>
      </c>
      <c r="E14" s="183">
        <f>+E13*D14</f>
        <v>82115.243902439033</v>
      </c>
    </row>
    <row r="15" spans="1:5">
      <c r="A15" s="55" t="s">
        <v>598</v>
      </c>
      <c r="B15" s="55"/>
      <c r="C15" s="184"/>
      <c r="D15" s="184"/>
      <c r="E15" s="184">
        <f>+E14+E13</f>
        <v>492691.46341463417</v>
      </c>
    </row>
    <row r="17" spans="1:8" s="65" customFormat="1">
      <c r="A17" s="300" t="s">
        <v>609</v>
      </c>
      <c r="B17" s="300"/>
      <c r="C17" s="300"/>
      <c r="D17" s="300"/>
      <c r="E17" s="300"/>
      <c r="F17" s="23"/>
      <c r="G17" s="64"/>
      <c r="H17" s="64"/>
    </row>
    <row r="18" spans="1:8" s="65" customFormat="1">
      <c r="A18" s="66" t="s">
        <v>610</v>
      </c>
      <c r="B18" s="67" t="s">
        <v>611</v>
      </c>
      <c r="C18" s="67" t="s">
        <v>612</v>
      </c>
      <c r="D18" s="67" t="s">
        <v>613</v>
      </c>
      <c r="E18" s="67" t="s">
        <v>598</v>
      </c>
      <c r="F18" s="64"/>
      <c r="G18" s="64"/>
    </row>
    <row r="19" spans="1:8" s="65" customFormat="1" ht="15" hidden="1" customHeight="1">
      <c r="A19" s="68" t="s">
        <v>614</v>
      </c>
      <c r="B19" s="69" t="s">
        <v>615</v>
      </c>
      <c r="C19" s="70">
        <v>1</v>
      </c>
      <c r="D19" s="71">
        <v>0</v>
      </c>
      <c r="E19" s="71">
        <f>C19*D19</f>
        <v>0</v>
      </c>
      <c r="F19" s="64"/>
      <c r="G19" s="64" t="s">
        <v>616</v>
      </c>
    </row>
    <row r="20" spans="1:8" s="65" customFormat="1" ht="15" hidden="1" customHeight="1">
      <c r="A20" s="68" t="s">
        <v>617</v>
      </c>
      <c r="B20" s="69" t="s">
        <v>615</v>
      </c>
      <c r="C20" s="70">
        <v>1</v>
      </c>
      <c r="D20" s="71"/>
      <c r="E20" s="71">
        <f t="shared" ref="E20:E64" si="2">C20*D20</f>
        <v>0</v>
      </c>
      <c r="F20" s="64"/>
      <c r="G20" s="64"/>
    </row>
    <row r="21" spans="1:8" s="65" customFormat="1">
      <c r="A21" s="72" t="s">
        <v>618</v>
      </c>
      <c r="B21" s="69" t="s">
        <v>615</v>
      </c>
      <c r="C21" s="70">
        <v>1</v>
      </c>
      <c r="D21" s="71">
        <v>123</v>
      </c>
      <c r="E21" s="71">
        <f t="shared" si="2"/>
        <v>123</v>
      </c>
      <c r="F21" s="64"/>
      <c r="G21" s="64" t="s">
        <v>619</v>
      </c>
    </row>
    <row r="22" spans="1:8" s="65" customFormat="1">
      <c r="A22" s="72" t="s">
        <v>620</v>
      </c>
      <c r="B22" s="69" t="s">
        <v>615</v>
      </c>
      <c r="C22" s="70">
        <v>1</v>
      </c>
      <c r="D22" s="71">
        <v>2500</v>
      </c>
      <c r="E22" s="71">
        <f t="shared" si="2"/>
        <v>2500</v>
      </c>
      <c r="F22" s="64"/>
      <c r="G22" s="64" t="s">
        <v>621</v>
      </c>
    </row>
    <row r="23" spans="1:8" s="65" customFormat="1" ht="15" hidden="1" customHeight="1">
      <c r="A23" s="72" t="s">
        <v>622</v>
      </c>
      <c r="B23" s="69" t="s">
        <v>623</v>
      </c>
      <c r="C23" s="70">
        <v>1</v>
      </c>
      <c r="D23" s="71">
        <v>0</v>
      </c>
      <c r="E23" s="71">
        <f t="shared" si="2"/>
        <v>0</v>
      </c>
      <c r="F23" s="64"/>
      <c r="G23" s="64" t="s">
        <v>624</v>
      </c>
    </row>
    <row r="24" spans="1:8" s="65" customFormat="1" ht="15" hidden="1" customHeight="1">
      <c r="A24" s="72" t="s">
        <v>625</v>
      </c>
      <c r="B24" s="69" t="s">
        <v>591</v>
      </c>
      <c r="C24" s="73">
        <v>10</v>
      </c>
      <c r="D24" s="71"/>
      <c r="E24" s="71">
        <f t="shared" si="2"/>
        <v>0</v>
      </c>
      <c r="F24" s="64"/>
      <c r="G24" s="64"/>
    </row>
    <row r="25" spans="1:8" s="65" customFormat="1">
      <c r="A25" s="72" t="s">
        <v>626</v>
      </c>
      <c r="B25" s="69" t="s">
        <v>615</v>
      </c>
      <c r="C25" s="73">
        <v>1</v>
      </c>
      <c r="D25" s="71">
        <v>36</v>
      </c>
      <c r="E25" s="71">
        <f t="shared" si="2"/>
        <v>36</v>
      </c>
      <c r="F25" s="64"/>
      <c r="G25" s="64" t="s">
        <v>619</v>
      </c>
    </row>
    <row r="26" spans="1:8" s="65" customFormat="1">
      <c r="A26" s="72" t="s">
        <v>627</v>
      </c>
      <c r="B26" s="69" t="s">
        <v>615</v>
      </c>
      <c r="C26" s="73">
        <v>1</v>
      </c>
      <c r="D26" s="71">
        <v>45</v>
      </c>
      <c r="E26" s="71">
        <f t="shared" si="2"/>
        <v>45</v>
      </c>
      <c r="F26" s="64"/>
      <c r="G26" s="64" t="s">
        <v>619</v>
      </c>
    </row>
    <row r="27" spans="1:8" s="65" customFormat="1">
      <c r="A27" s="72" t="s">
        <v>628</v>
      </c>
      <c r="B27" s="69" t="s">
        <v>615</v>
      </c>
      <c r="C27" s="73">
        <v>2</v>
      </c>
      <c r="D27" s="71">
        <v>120</v>
      </c>
      <c r="E27" s="71">
        <f t="shared" si="2"/>
        <v>240</v>
      </c>
      <c r="F27" s="64"/>
      <c r="G27" s="64" t="s">
        <v>619</v>
      </c>
    </row>
    <row r="28" spans="1:8" s="65" customFormat="1">
      <c r="A28" s="72" t="s">
        <v>629</v>
      </c>
      <c r="B28" s="69" t="s">
        <v>615</v>
      </c>
      <c r="C28" s="73">
        <v>2</v>
      </c>
      <c r="D28" s="71">
        <v>120</v>
      </c>
      <c r="E28" s="71">
        <f t="shared" si="2"/>
        <v>240</v>
      </c>
      <c r="F28" s="64"/>
      <c r="G28" s="64" t="s">
        <v>619</v>
      </c>
    </row>
    <row r="29" spans="1:8" s="65" customFormat="1">
      <c r="A29" s="72" t="s">
        <v>630</v>
      </c>
      <c r="B29" s="69" t="s">
        <v>615</v>
      </c>
      <c r="C29" s="73">
        <v>1</v>
      </c>
      <c r="D29" s="71">
        <v>50</v>
      </c>
      <c r="E29" s="71">
        <f t="shared" si="2"/>
        <v>50</v>
      </c>
      <c r="F29" s="64"/>
      <c r="G29" s="64" t="s">
        <v>619</v>
      </c>
    </row>
    <row r="30" spans="1:8" s="65" customFormat="1">
      <c r="A30" s="72" t="s">
        <v>631</v>
      </c>
      <c r="B30" s="69" t="s">
        <v>615</v>
      </c>
      <c r="C30" s="73">
        <v>1</v>
      </c>
      <c r="D30" s="71">
        <v>25</v>
      </c>
      <c r="E30" s="71">
        <f t="shared" si="2"/>
        <v>25</v>
      </c>
      <c r="F30" s="64"/>
      <c r="G30" s="64" t="s">
        <v>632</v>
      </c>
    </row>
    <row r="31" spans="1:8" s="65" customFormat="1">
      <c r="A31" s="72" t="s">
        <v>633</v>
      </c>
      <c r="B31" s="69" t="s">
        <v>615</v>
      </c>
      <c r="C31" s="73">
        <v>1</v>
      </c>
      <c r="D31" s="71">
        <v>46</v>
      </c>
      <c r="E31" s="71">
        <f t="shared" si="2"/>
        <v>46</v>
      </c>
      <c r="F31" s="64"/>
      <c r="G31" s="64" t="s">
        <v>619</v>
      </c>
    </row>
    <row r="32" spans="1:8" s="65" customFormat="1">
      <c r="A32" s="72" t="s">
        <v>634</v>
      </c>
      <c r="B32" s="69" t="s">
        <v>615</v>
      </c>
      <c r="C32" s="73">
        <v>1</v>
      </c>
      <c r="D32" s="71">
        <v>25</v>
      </c>
      <c r="E32" s="71">
        <f t="shared" si="2"/>
        <v>25</v>
      </c>
      <c r="F32" s="64"/>
      <c r="G32" s="64" t="s">
        <v>619</v>
      </c>
    </row>
    <row r="33" spans="1:7" s="65" customFormat="1">
      <c r="A33" s="72" t="s">
        <v>635</v>
      </c>
      <c r="B33" s="69" t="s">
        <v>615</v>
      </c>
      <c r="C33" s="73">
        <v>1</v>
      </c>
      <c r="D33" s="71">
        <v>19</v>
      </c>
      <c r="E33" s="71">
        <f t="shared" si="2"/>
        <v>19</v>
      </c>
      <c r="F33" s="64"/>
      <c r="G33" s="64" t="s">
        <v>619</v>
      </c>
    </row>
    <row r="34" spans="1:7" s="65" customFormat="1">
      <c r="A34" s="72" t="s">
        <v>636</v>
      </c>
      <c r="B34" s="69" t="s">
        <v>615</v>
      </c>
      <c r="C34" s="73">
        <v>4</v>
      </c>
      <c r="D34" s="71">
        <v>15</v>
      </c>
      <c r="E34" s="71">
        <f t="shared" si="2"/>
        <v>60</v>
      </c>
      <c r="F34" s="64"/>
      <c r="G34" s="64" t="s">
        <v>619</v>
      </c>
    </row>
    <row r="35" spans="1:7" s="65" customFormat="1" ht="15" hidden="1" customHeight="1">
      <c r="A35" s="72" t="s">
        <v>637</v>
      </c>
      <c r="B35" s="69" t="s">
        <v>615</v>
      </c>
      <c r="C35" s="73">
        <v>1</v>
      </c>
      <c r="D35" s="71"/>
      <c r="E35" s="71">
        <f t="shared" si="2"/>
        <v>0</v>
      </c>
      <c r="F35" s="64"/>
      <c r="G35" s="64"/>
    </row>
    <row r="36" spans="1:7" s="65" customFormat="1">
      <c r="A36" s="72" t="s">
        <v>638</v>
      </c>
      <c r="B36" s="69" t="s">
        <v>615</v>
      </c>
      <c r="C36" s="73">
        <v>1</v>
      </c>
      <c r="D36" s="71">
        <v>23</v>
      </c>
      <c r="E36" s="71">
        <f t="shared" si="2"/>
        <v>23</v>
      </c>
      <c r="F36" s="64"/>
      <c r="G36" s="64" t="s">
        <v>619</v>
      </c>
    </row>
    <row r="37" spans="1:7" s="65" customFormat="1">
      <c r="A37" s="72" t="s">
        <v>639</v>
      </c>
      <c r="B37" s="69" t="s">
        <v>640</v>
      </c>
      <c r="C37" s="73">
        <v>1</v>
      </c>
      <c r="D37" s="71">
        <v>100</v>
      </c>
      <c r="E37" s="71">
        <f t="shared" si="2"/>
        <v>100</v>
      </c>
      <c r="F37" s="64"/>
      <c r="G37" s="64" t="s">
        <v>619</v>
      </c>
    </row>
    <row r="38" spans="1:7" s="65" customFormat="1">
      <c r="A38" s="72" t="s">
        <v>641</v>
      </c>
      <c r="B38" s="69" t="s">
        <v>615</v>
      </c>
      <c r="C38" s="73">
        <v>4</v>
      </c>
      <c r="D38" s="71">
        <v>20</v>
      </c>
      <c r="E38" s="71">
        <f t="shared" si="2"/>
        <v>80</v>
      </c>
      <c r="F38" s="64"/>
      <c r="G38" s="64" t="s">
        <v>619</v>
      </c>
    </row>
    <row r="39" spans="1:7" s="65" customFormat="1">
      <c r="A39" s="72" t="s">
        <v>642</v>
      </c>
      <c r="B39" s="69" t="s">
        <v>615</v>
      </c>
      <c r="C39" s="73">
        <v>1</v>
      </c>
      <c r="D39" s="71">
        <v>25</v>
      </c>
      <c r="E39" s="71">
        <f t="shared" si="2"/>
        <v>25</v>
      </c>
      <c r="F39" s="64"/>
      <c r="G39" s="64" t="s">
        <v>619</v>
      </c>
    </row>
    <row r="40" spans="1:7" s="65" customFormat="1">
      <c r="A40" s="74" t="s">
        <v>643</v>
      </c>
      <c r="B40" s="69" t="s">
        <v>615</v>
      </c>
      <c r="C40" s="73">
        <v>3</v>
      </c>
      <c r="D40" s="71">
        <v>22</v>
      </c>
      <c r="E40" s="71">
        <f t="shared" si="2"/>
        <v>66</v>
      </c>
      <c r="F40" s="64"/>
      <c r="G40" s="64" t="s">
        <v>632</v>
      </c>
    </row>
    <row r="41" spans="1:7" s="65" customFormat="1">
      <c r="A41" s="72" t="s">
        <v>644</v>
      </c>
      <c r="B41" s="69" t="s">
        <v>615</v>
      </c>
      <c r="C41" s="73">
        <v>1</v>
      </c>
      <c r="D41" s="71">
        <v>50</v>
      </c>
      <c r="E41" s="71">
        <f t="shared" si="2"/>
        <v>50</v>
      </c>
      <c r="F41" s="64"/>
      <c r="G41" s="64" t="s">
        <v>632</v>
      </c>
    </row>
    <row r="42" spans="1:7" s="65" customFormat="1">
      <c r="A42" s="72" t="s">
        <v>645</v>
      </c>
      <c r="B42" s="69" t="s">
        <v>615</v>
      </c>
      <c r="C42" s="73">
        <v>1</v>
      </c>
      <c r="D42" s="71">
        <v>10</v>
      </c>
      <c r="E42" s="71">
        <f t="shared" si="2"/>
        <v>10</v>
      </c>
      <c r="F42" s="64"/>
      <c r="G42" s="64" t="s">
        <v>632</v>
      </c>
    </row>
    <row r="43" spans="1:7" s="65" customFormat="1">
      <c r="A43" s="72" t="s">
        <v>646</v>
      </c>
      <c r="B43" s="69" t="s">
        <v>647</v>
      </c>
      <c r="C43" s="73">
        <v>20</v>
      </c>
      <c r="D43" s="71">
        <v>3</v>
      </c>
      <c r="E43" s="71">
        <f t="shared" si="2"/>
        <v>60</v>
      </c>
      <c r="F43" s="64"/>
      <c r="G43" s="64" t="s">
        <v>632</v>
      </c>
    </row>
    <row r="44" spans="1:7" s="65" customFormat="1">
      <c r="A44" s="72" t="s">
        <v>648</v>
      </c>
      <c r="B44" s="69" t="s">
        <v>615</v>
      </c>
      <c r="C44" s="73">
        <v>1</v>
      </c>
      <c r="D44" s="71">
        <v>15</v>
      </c>
      <c r="E44" s="71">
        <f t="shared" si="2"/>
        <v>15</v>
      </c>
      <c r="F44" s="64"/>
      <c r="G44" s="64" t="s">
        <v>619</v>
      </c>
    </row>
    <row r="45" spans="1:7" s="65" customFormat="1">
      <c r="A45" s="72" t="s">
        <v>649</v>
      </c>
      <c r="B45" s="69" t="s">
        <v>615</v>
      </c>
      <c r="C45" s="73">
        <v>1</v>
      </c>
      <c r="D45" s="71">
        <v>15</v>
      </c>
      <c r="E45" s="71">
        <f t="shared" si="2"/>
        <v>15</v>
      </c>
      <c r="F45" s="64"/>
      <c r="G45" s="64" t="s">
        <v>619</v>
      </c>
    </row>
    <row r="46" spans="1:7" s="65" customFormat="1" ht="15" hidden="1" customHeight="1">
      <c r="A46" s="75" t="s">
        <v>650</v>
      </c>
      <c r="B46" s="76" t="s">
        <v>615</v>
      </c>
      <c r="C46" s="73">
        <v>20</v>
      </c>
      <c r="D46" s="71"/>
      <c r="E46" s="71">
        <f t="shared" si="2"/>
        <v>0</v>
      </c>
      <c r="F46" s="64"/>
      <c r="G46" s="64"/>
    </row>
    <row r="47" spans="1:7" s="65" customFormat="1" ht="15" hidden="1" customHeight="1">
      <c r="A47" s="75" t="s">
        <v>651</v>
      </c>
      <c r="B47" s="76" t="s">
        <v>615</v>
      </c>
      <c r="C47" s="73">
        <v>20</v>
      </c>
      <c r="D47" s="71"/>
      <c r="E47" s="71">
        <f t="shared" si="2"/>
        <v>0</v>
      </c>
      <c r="F47" s="64"/>
      <c r="G47" s="64"/>
    </row>
    <row r="48" spans="1:7" s="65" customFormat="1">
      <c r="A48" s="72" t="s">
        <v>652</v>
      </c>
      <c r="B48" s="76" t="s">
        <v>615</v>
      </c>
      <c r="C48" s="73">
        <v>2</v>
      </c>
      <c r="D48" s="71">
        <v>57</v>
      </c>
      <c r="E48" s="71">
        <f t="shared" si="2"/>
        <v>114</v>
      </c>
      <c r="F48" s="64"/>
      <c r="G48" s="64" t="s">
        <v>619</v>
      </c>
    </row>
    <row r="49" spans="1:7" s="65" customFormat="1">
      <c r="A49" s="72" t="s">
        <v>653</v>
      </c>
      <c r="B49" s="69" t="s">
        <v>615</v>
      </c>
      <c r="C49" s="73">
        <v>12</v>
      </c>
      <c r="D49" s="71">
        <v>2</v>
      </c>
      <c r="E49" s="71">
        <f t="shared" si="2"/>
        <v>24</v>
      </c>
      <c r="F49" s="64"/>
      <c r="G49" s="64" t="s">
        <v>619</v>
      </c>
    </row>
    <row r="50" spans="1:7" s="65" customFormat="1">
      <c r="A50" s="72" t="s">
        <v>654</v>
      </c>
      <c r="B50" s="69" t="s">
        <v>615</v>
      </c>
      <c r="C50" s="73">
        <v>2</v>
      </c>
      <c r="D50" s="71">
        <v>30</v>
      </c>
      <c r="E50" s="71">
        <f t="shared" si="2"/>
        <v>60</v>
      </c>
      <c r="F50" s="64"/>
      <c r="G50" s="64" t="s">
        <v>619</v>
      </c>
    </row>
    <row r="51" spans="1:7" s="65" customFormat="1">
      <c r="A51" s="72" t="s">
        <v>655</v>
      </c>
      <c r="B51" s="69" t="s">
        <v>615</v>
      </c>
      <c r="C51" s="73">
        <v>1</v>
      </c>
      <c r="D51" s="71">
        <v>40</v>
      </c>
      <c r="E51" s="71">
        <f>C51*D51</f>
        <v>40</v>
      </c>
      <c r="F51" s="64"/>
      <c r="G51" s="64" t="s">
        <v>619</v>
      </c>
    </row>
    <row r="52" spans="1:7" s="65" customFormat="1">
      <c r="A52" s="74" t="s">
        <v>656</v>
      </c>
      <c r="B52" s="69" t="s">
        <v>615</v>
      </c>
      <c r="C52" s="73">
        <v>2</v>
      </c>
      <c r="D52" s="71">
        <v>150</v>
      </c>
      <c r="E52" s="71">
        <f t="shared" si="2"/>
        <v>300</v>
      </c>
      <c r="F52" s="64"/>
      <c r="G52" s="64" t="s">
        <v>619</v>
      </c>
    </row>
    <row r="53" spans="1:7" s="65" customFormat="1">
      <c r="A53" s="72" t="s">
        <v>657</v>
      </c>
      <c r="B53" s="69" t="s">
        <v>615</v>
      </c>
      <c r="C53" s="73">
        <v>1</v>
      </c>
      <c r="D53" s="71">
        <v>26</v>
      </c>
      <c r="E53" s="71">
        <f t="shared" si="2"/>
        <v>26</v>
      </c>
      <c r="F53" s="64"/>
      <c r="G53" s="64" t="s">
        <v>619</v>
      </c>
    </row>
    <row r="54" spans="1:7" s="65" customFormat="1">
      <c r="A54" s="72" t="s">
        <v>658</v>
      </c>
      <c r="B54" s="69" t="s">
        <v>615</v>
      </c>
      <c r="C54" s="73">
        <v>1</v>
      </c>
      <c r="D54" s="71">
        <v>30</v>
      </c>
      <c r="E54" s="71">
        <f t="shared" si="2"/>
        <v>30</v>
      </c>
      <c r="F54" s="64"/>
      <c r="G54" s="64" t="s">
        <v>619</v>
      </c>
    </row>
    <row r="55" spans="1:7" s="65" customFormat="1">
      <c r="A55" s="72" t="s">
        <v>659</v>
      </c>
      <c r="B55" s="69" t="s">
        <v>615</v>
      </c>
      <c r="C55" s="73">
        <v>1</v>
      </c>
      <c r="D55" s="71">
        <v>78</v>
      </c>
      <c r="E55" s="71">
        <f t="shared" si="2"/>
        <v>78</v>
      </c>
      <c r="F55" s="64"/>
      <c r="G55" s="64" t="s">
        <v>619</v>
      </c>
    </row>
    <row r="56" spans="1:7" s="65" customFormat="1">
      <c r="A56" s="72" t="s">
        <v>660</v>
      </c>
      <c r="B56" s="69" t="s">
        <v>615</v>
      </c>
      <c r="C56" s="73">
        <v>1</v>
      </c>
      <c r="D56" s="71">
        <v>70</v>
      </c>
      <c r="E56" s="71">
        <f t="shared" si="2"/>
        <v>70</v>
      </c>
      <c r="F56" s="64"/>
      <c r="G56" s="64" t="s">
        <v>619</v>
      </c>
    </row>
    <row r="57" spans="1:7" s="65" customFormat="1">
      <c r="A57" s="74" t="s">
        <v>661</v>
      </c>
      <c r="B57" s="69" t="s">
        <v>615</v>
      </c>
      <c r="C57" s="73">
        <v>1</v>
      </c>
      <c r="D57" s="71">
        <v>20</v>
      </c>
      <c r="E57" s="71">
        <f t="shared" si="2"/>
        <v>20</v>
      </c>
      <c r="F57" s="64"/>
      <c r="G57" s="64" t="s">
        <v>619</v>
      </c>
    </row>
    <row r="58" spans="1:7" s="65" customFormat="1">
      <c r="A58" s="72" t="s">
        <v>662</v>
      </c>
      <c r="B58" s="69" t="s">
        <v>615</v>
      </c>
      <c r="C58" s="73">
        <v>1</v>
      </c>
      <c r="D58" s="71">
        <v>35</v>
      </c>
      <c r="E58" s="71">
        <f t="shared" si="2"/>
        <v>35</v>
      </c>
      <c r="F58" s="64"/>
      <c r="G58" s="64" t="s">
        <v>632</v>
      </c>
    </row>
    <row r="59" spans="1:7" s="65" customFormat="1">
      <c r="A59" s="72" t="s">
        <v>663</v>
      </c>
      <c r="B59" s="69" t="s">
        <v>615</v>
      </c>
      <c r="C59" s="73">
        <v>1</v>
      </c>
      <c r="D59" s="71">
        <v>10</v>
      </c>
      <c r="E59" s="71">
        <f t="shared" si="2"/>
        <v>10</v>
      </c>
      <c r="F59" s="64"/>
      <c r="G59" s="64" t="s">
        <v>619</v>
      </c>
    </row>
    <row r="60" spans="1:7" s="65" customFormat="1">
      <c r="A60" s="72" t="s">
        <v>664</v>
      </c>
      <c r="B60" s="69" t="s">
        <v>615</v>
      </c>
      <c r="C60" s="73">
        <v>2</v>
      </c>
      <c r="D60" s="71">
        <v>50</v>
      </c>
      <c r="E60" s="71">
        <f t="shared" si="2"/>
        <v>100</v>
      </c>
      <c r="F60" s="64"/>
      <c r="G60" s="64" t="s">
        <v>619</v>
      </c>
    </row>
    <row r="61" spans="1:7" s="65" customFormat="1">
      <c r="A61" s="72" t="s">
        <v>665</v>
      </c>
      <c r="B61" s="69" t="s">
        <v>615</v>
      </c>
      <c r="C61" s="73">
        <v>2</v>
      </c>
      <c r="D61" s="71">
        <v>20</v>
      </c>
      <c r="E61" s="71">
        <f t="shared" si="2"/>
        <v>40</v>
      </c>
      <c r="F61" s="64"/>
      <c r="G61" s="64" t="s">
        <v>619</v>
      </c>
    </row>
    <row r="62" spans="1:7" s="65" customFormat="1">
      <c r="A62" s="72" t="s">
        <v>666</v>
      </c>
      <c r="B62" s="69" t="s">
        <v>615</v>
      </c>
      <c r="C62" s="73">
        <v>7</v>
      </c>
      <c r="D62" s="71">
        <v>15</v>
      </c>
      <c r="E62" s="71">
        <f t="shared" si="2"/>
        <v>105</v>
      </c>
      <c r="F62" s="64"/>
      <c r="G62" s="64" t="s">
        <v>619</v>
      </c>
    </row>
    <row r="63" spans="1:7" s="65" customFormat="1">
      <c r="A63" s="75" t="s">
        <v>667</v>
      </c>
      <c r="B63" s="76" t="s">
        <v>615</v>
      </c>
      <c r="C63" s="73">
        <v>20</v>
      </c>
      <c r="D63" s="71">
        <v>5</v>
      </c>
      <c r="E63" s="71">
        <f t="shared" si="2"/>
        <v>100</v>
      </c>
      <c r="F63" s="64"/>
      <c r="G63" s="64" t="s">
        <v>619</v>
      </c>
    </row>
    <row r="64" spans="1:7" s="65" customFormat="1">
      <c r="A64" s="68" t="s">
        <v>668</v>
      </c>
      <c r="B64" s="69" t="s">
        <v>615</v>
      </c>
      <c r="C64" s="73">
        <v>1</v>
      </c>
      <c r="D64" s="71">
        <v>8</v>
      </c>
      <c r="E64" s="71">
        <f t="shared" si="2"/>
        <v>8</v>
      </c>
      <c r="F64" s="64"/>
      <c r="G64" s="64" t="s">
        <v>619</v>
      </c>
    </row>
    <row r="65" spans="1:7" s="83" customFormat="1">
      <c r="A65" s="77"/>
      <c r="B65" s="78"/>
      <c r="C65" s="79"/>
      <c r="D65" s="80"/>
      <c r="E65" s="81">
        <f>SUM(E19:E64)</f>
        <v>5013</v>
      </c>
      <c r="F65" s="82"/>
      <c r="G65" s="82"/>
    </row>
    <row r="66" spans="1:7" s="83" customFormat="1">
      <c r="A66" s="77"/>
      <c r="B66" s="78"/>
      <c r="C66" s="79"/>
      <c r="D66" s="85"/>
      <c r="E66" s="84"/>
      <c r="F66" s="82"/>
      <c r="G66" s="82"/>
    </row>
    <row r="67" spans="1:7" s="65" customFormat="1">
      <c r="A67" s="86" t="s">
        <v>669</v>
      </c>
      <c r="B67" s="67" t="s">
        <v>611</v>
      </c>
      <c r="C67" s="67" t="s">
        <v>612</v>
      </c>
      <c r="D67" s="67" t="s">
        <v>613</v>
      </c>
      <c r="E67" s="67" t="s">
        <v>598</v>
      </c>
      <c r="F67" s="64"/>
      <c r="G67" s="64"/>
    </row>
    <row r="68" spans="1:7" s="65" customFormat="1" ht="15" customHeight="1">
      <c r="A68" s="72" t="s">
        <v>670</v>
      </c>
      <c r="B68" s="69" t="s">
        <v>615</v>
      </c>
      <c r="C68" s="73">
        <v>1</v>
      </c>
      <c r="D68" s="71">
        <v>20</v>
      </c>
      <c r="E68" s="71">
        <f>C68*D68</f>
        <v>20</v>
      </c>
      <c r="F68" s="64"/>
      <c r="G68" s="64" t="s">
        <v>619</v>
      </c>
    </row>
    <row r="69" spans="1:7" s="65" customFormat="1" ht="15" customHeight="1">
      <c r="A69" s="87" t="s">
        <v>671</v>
      </c>
      <c r="B69" s="76" t="s">
        <v>615</v>
      </c>
      <c r="C69" s="73">
        <v>1</v>
      </c>
      <c r="D69" s="71">
        <v>13.9</v>
      </c>
      <c r="E69" s="71">
        <f t="shared" ref="E69:E74" si="3">C69*D69</f>
        <v>13.9</v>
      </c>
      <c r="F69" s="64"/>
      <c r="G69" s="64" t="s">
        <v>619</v>
      </c>
    </row>
    <row r="70" spans="1:7" s="65" customFormat="1" ht="15" customHeight="1">
      <c r="A70" s="87" t="s">
        <v>672</v>
      </c>
      <c r="B70" s="76" t="s">
        <v>615</v>
      </c>
      <c r="C70" s="73">
        <v>1</v>
      </c>
      <c r="D70" s="71">
        <v>220</v>
      </c>
      <c r="E70" s="71">
        <f t="shared" si="3"/>
        <v>220</v>
      </c>
      <c r="F70" s="64"/>
      <c r="G70" s="64" t="s">
        <v>619</v>
      </c>
    </row>
    <row r="71" spans="1:7" s="65" customFormat="1" ht="15" customHeight="1">
      <c r="A71" s="88" t="s">
        <v>673</v>
      </c>
      <c r="B71" s="76" t="s">
        <v>615</v>
      </c>
      <c r="C71" s="73">
        <v>1</v>
      </c>
      <c r="D71" s="71">
        <v>90</v>
      </c>
      <c r="E71" s="71">
        <f t="shared" si="3"/>
        <v>90</v>
      </c>
      <c r="F71" s="64"/>
      <c r="G71" s="64" t="s">
        <v>619</v>
      </c>
    </row>
    <row r="72" spans="1:7" s="65" customFormat="1" ht="15" customHeight="1">
      <c r="A72" s="87" t="s">
        <v>674</v>
      </c>
      <c r="B72" s="76" t="s">
        <v>615</v>
      </c>
      <c r="C72" s="73">
        <v>1</v>
      </c>
      <c r="D72" s="71">
        <v>20</v>
      </c>
      <c r="E72" s="71">
        <f t="shared" si="3"/>
        <v>20</v>
      </c>
      <c r="F72" s="64"/>
      <c r="G72" s="64" t="s">
        <v>619</v>
      </c>
    </row>
    <row r="73" spans="1:7" s="65" customFormat="1" ht="15" customHeight="1">
      <c r="A73" s="88" t="s">
        <v>675</v>
      </c>
      <c r="B73" s="76" t="s">
        <v>615</v>
      </c>
      <c r="C73" s="73">
        <v>1</v>
      </c>
      <c r="D73" s="71">
        <v>30</v>
      </c>
      <c r="E73" s="71">
        <f t="shared" si="3"/>
        <v>30</v>
      </c>
      <c r="F73" s="64"/>
      <c r="G73" s="64" t="s">
        <v>619</v>
      </c>
    </row>
    <row r="74" spans="1:7" s="65" customFormat="1" ht="15" customHeight="1">
      <c r="A74" s="87" t="s">
        <v>676</v>
      </c>
      <c r="B74" s="76" t="s">
        <v>615</v>
      </c>
      <c r="C74" s="73">
        <v>1</v>
      </c>
      <c r="D74" s="71">
        <v>40</v>
      </c>
      <c r="E74" s="71">
        <f t="shared" si="3"/>
        <v>40</v>
      </c>
      <c r="F74" s="64"/>
      <c r="G74" s="64" t="s">
        <v>619</v>
      </c>
    </row>
    <row r="75" spans="1:7" s="83" customFormat="1" ht="15" customHeight="1">
      <c r="A75" s="89"/>
      <c r="B75" s="90"/>
      <c r="C75" s="79"/>
      <c r="D75" s="91"/>
      <c r="E75" s="81">
        <f>SUM(E68:E74)</f>
        <v>433.9</v>
      </c>
      <c r="F75" s="82"/>
      <c r="G75" s="82"/>
    </row>
    <row r="76" spans="1:7" s="83" customFormat="1">
      <c r="A76" s="92"/>
      <c r="B76" s="84"/>
      <c r="C76" s="84"/>
      <c r="D76" s="93"/>
      <c r="E76" s="84"/>
      <c r="F76" s="82"/>
      <c r="G76" s="82"/>
    </row>
    <row r="77" spans="1:7" s="83" customFormat="1">
      <c r="A77" s="92"/>
      <c r="B77" s="84"/>
      <c r="C77" s="84"/>
      <c r="D77" s="85"/>
      <c r="E77" s="84"/>
      <c r="F77" s="82"/>
      <c r="G77" s="82"/>
    </row>
    <row r="78" spans="1:7" s="65" customFormat="1" ht="15" customHeight="1">
      <c r="A78" s="95" t="s">
        <v>677</v>
      </c>
      <c r="B78" s="67" t="s">
        <v>611</v>
      </c>
      <c r="C78" s="67" t="s">
        <v>612</v>
      </c>
      <c r="D78" s="67" t="s">
        <v>613</v>
      </c>
      <c r="E78" s="67" t="s">
        <v>598</v>
      </c>
      <c r="F78" s="64"/>
      <c r="G78" s="64"/>
    </row>
    <row r="79" spans="1:7" s="65" customFormat="1">
      <c r="A79" s="94" t="s">
        <v>678</v>
      </c>
      <c r="B79" s="69" t="s">
        <v>615</v>
      </c>
      <c r="C79" s="73">
        <v>1</v>
      </c>
      <c r="D79" s="71">
        <v>1000</v>
      </c>
      <c r="E79" s="71">
        <f>C79*D79</f>
        <v>1000</v>
      </c>
      <c r="F79" s="64"/>
      <c r="G79" s="64" t="s">
        <v>679</v>
      </c>
    </row>
    <row r="80" spans="1:7" s="65" customFormat="1">
      <c r="A80" s="94" t="s">
        <v>680</v>
      </c>
      <c r="B80" s="69" t="s">
        <v>615</v>
      </c>
      <c r="C80" s="73">
        <v>8</v>
      </c>
      <c r="D80" s="71">
        <v>180</v>
      </c>
      <c r="E80" s="71">
        <f t="shared" ref="E80:E84" si="4">C80*D80</f>
        <v>1440</v>
      </c>
      <c r="F80" s="64"/>
      <c r="G80" s="64" t="s">
        <v>681</v>
      </c>
    </row>
    <row r="81" spans="1:7" s="65" customFormat="1">
      <c r="A81" s="94" t="s">
        <v>682</v>
      </c>
      <c r="B81" s="69" t="s">
        <v>615</v>
      </c>
      <c r="C81" s="73">
        <v>1</v>
      </c>
      <c r="D81" s="71">
        <v>530</v>
      </c>
      <c r="E81" s="71">
        <f t="shared" si="4"/>
        <v>530</v>
      </c>
      <c r="F81" s="64"/>
      <c r="G81" s="64" t="s">
        <v>683</v>
      </c>
    </row>
    <row r="82" spans="1:7" s="65" customFormat="1">
      <c r="A82" s="94" t="s">
        <v>684</v>
      </c>
      <c r="B82" s="69" t="s">
        <v>615</v>
      </c>
      <c r="C82" s="73">
        <v>1</v>
      </c>
      <c r="D82" s="71">
        <v>2500</v>
      </c>
      <c r="E82" s="71">
        <f t="shared" si="4"/>
        <v>2500</v>
      </c>
      <c r="F82" s="64"/>
      <c r="G82" s="64" t="s">
        <v>685</v>
      </c>
    </row>
    <row r="83" spans="1:7" s="65" customFormat="1">
      <c r="A83" s="94" t="s">
        <v>686</v>
      </c>
      <c r="B83" s="69" t="s">
        <v>615</v>
      </c>
      <c r="C83" s="73">
        <v>1</v>
      </c>
      <c r="D83" s="71">
        <v>350</v>
      </c>
      <c r="E83" s="71">
        <f t="shared" si="4"/>
        <v>350</v>
      </c>
      <c r="F83" s="64"/>
      <c r="G83" s="64" t="s">
        <v>687</v>
      </c>
    </row>
    <row r="84" spans="1:7" s="65" customFormat="1">
      <c r="A84" s="94" t="s">
        <v>688</v>
      </c>
      <c r="B84" s="69" t="s">
        <v>615</v>
      </c>
      <c r="C84" s="73">
        <v>1</v>
      </c>
      <c r="D84" s="71">
        <v>380</v>
      </c>
      <c r="E84" s="71">
        <f t="shared" si="4"/>
        <v>380</v>
      </c>
      <c r="F84" s="64"/>
      <c r="G84" s="64" t="s">
        <v>689</v>
      </c>
    </row>
    <row r="85" spans="1:7" s="65" customFormat="1">
      <c r="A85" s="97" t="s">
        <v>690</v>
      </c>
      <c r="B85" s="98"/>
      <c r="C85" s="96"/>
      <c r="D85" s="99"/>
      <c r="E85" s="81">
        <f>SUM(E79:E84)</f>
        <v>6200</v>
      </c>
      <c r="F85" s="64"/>
      <c r="G85" s="64"/>
    </row>
  </sheetData>
  <mergeCells count="1">
    <mergeCell ref="A17:E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4"/>
  <sheetViews>
    <sheetView topLeftCell="A5" workbookViewId="0" xr3:uid="{FF0BDA26-1AD6-5648-BD9A-E01AA4DDCA7C}">
      <selection activeCell="G25" sqref="G25"/>
    </sheetView>
  </sheetViews>
  <sheetFormatPr defaultColWidth="11.42578125" defaultRowHeight="15"/>
  <cols>
    <col min="2" max="2" width="45.5703125" bestFit="1" customWidth="1"/>
    <col min="6" max="6" width="11.7109375" bestFit="1" customWidth="1"/>
    <col min="7" max="7" width="11.140625" style="23" bestFit="1" customWidth="1"/>
  </cols>
  <sheetData>
    <row r="1" spans="1:7" s="23" customFormat="1"/>
    <row r="2" spans="1:7" s="155" customFormat="1">
      <c r="A2" s="186" t="s">
        <v>691</v>
      </c>
      <c r="E2" s="23" t="s">
        <v>105</v>
      </c>
      <c r="F2" s="23">
        <v>3.28</v>
      </c>
      <c r="G2" s="23"/>
    </row>
    <row r="3" spans="1:7" s="155" customFormat="1" ht="12.75">
      <c r="A3" s="186"/>
    </row>
    <row r="4" spans="1:7" s="155" customFormat="1" ht="38.25">
      <c r="A4" s="148" t="s">
        <v>407</v>
      </c>
      <c r="B4" s="149" t="s">
        <v>560</v>
      </c>
      <c r="C4" s="149" t="s">
        <v>561</v>
      </c>
      <c r="D4" s="149" t="s">
        <v>562</v>
      </c>
      <c r="E4" s="149" t="s">
        <v>563</v>
      </c>
      <c r="F4" s="149" t="s">
        <v>564</v>
      </c>
      <c r="G4" s="149" t="s">
        <v>565</v>
      </c>
    </row>
    <row r="5" spans="1:7" s="155" customFormat="1" ht="12.75">
      <c r="A5" s="150">
        <v>1</v>
      </c>
      <c r="B5" s="151" t="s">
        <v>692</v>
      </c>
      <c r="C5" s="152"/>
      <c r="D5" s="152"/>
      <c r="E5" s="152"/>
      <c r="F5" s="152"/>
      <c r="G5" s="152"/>
    </row>
    <row r="6" spans="1:7" s="155" customFormat="1" ht="12.75">
      <c r="A6" s="150">
        <v>1.1000000000000001</v>
      </c>
      <c r="B6" s="150" t="s">
        <v>693</v>
      </c>
      <c r="C6" s="150">
        <v>9</v>
      </c>
      <c r="D6" s="150">
        <v>12</v>
      </c>
      <c r="E6" s="153">
        <v>14000</v>
      </c>
      <c r="F6" s="153">
        <f>+D6*E6*C6</f>
        <v>1512000</v>
      </c>
      <c r="G6" s="192">
        <f>+F6/$F$2</f>
        <v>460975.6097560976</v>
      </c>
    </row>
    <row r="7" spans="1:7" s="155" customFormat="1" ht="12.75">
      <c r="A7" s="150">
        <v>1.2</v>
      </c>
      <c r="B7" s="150" t="s">
        <v>694</v>
      </c>
      <c r="C7" s="150">
        <v>9</v>
      </c>
      <c r="D7" s="150">
        <v>12</v>
      </c>
      <c r="E7" s="153">
        <v>14000</v>
      </c>
      <c r="F7" s="153">
        <f t="shared" ref="F7:F8" si="0">+D7*E7*C7</f>
        <v>1512000</v>
      </c>
      <c r="G7" s="192">
        <f t="shared" ref="G7:G8" si="1">+F7/$F$2</f>
        <v>460975.6097560976</v>
      </c>
    </row>
    <row r="8" spans="1:7" s="155" customFormat="1" ht="12.75">
      <c r="A8" s="150">
        <v>1.3</v>
      </c>
      <c r="B8" s="150" t="s">
        <v>695</v>
      </c>
      <c r="C8" s="150">
        <v>5</v>
      </c>
      <c r="D8" s="150">
        <v>8</v>
      </c>
      <c r="E8" s="153">
        <v>11700</v>
      </c>
      <c r="F8" s="153">
        <f t="shared" si="0"/>
        <v>468000</v>
      </c>
      <c r="G8" s="192">
        <f t="shared" si="1"/>
        <v>142682.92682926831</v>
      </c>
    </row>
    <row r="9" spans="1:7" s="155" customFormat="1" ht="12.75">
      <c r="A9" s="150"/>
      <c r="B9" s="151" t="s">
        <v>570</v>
      </c>
      <c r="C9" s="150"/>
      <c r="D9" s="150"/>
      <c r="E9" s="153"/>
      <c r="F9" s="154">
        <f>SUM(F6:F8)</f>
        <v>3492000</v>
      </c>
      <c r="G9" s="193">
        <f>SUM(G6:G8)</f>
        <v>1064634.1463414636</v>
      </c>
    </row>
    <row r="10" spans="1:7" s="155" customFormat="1" ht="12.75">
      <c r="A10" s="150"/>
      <c r="B10" s="186"/>
      <c r="C10" s="150"/>
      <c r="D10" s="150"/>
      <c r="E10" s="150"/>
      <c r="F10" s="153"/>
      <c r="G10" s="153"/>
    </row>
    <row r="11" spans="1:7" s="155" customFormat="1" ht="12.75">
      <c r="A11" s="150">
        <v>3</v>
      </c>
      <c r="B11" s="151" t="s">
        <v>696</v>
      </c>
      <c r="C11" s="150"/>
      <c r="D11" s="150"/>
      <c r="E11" s="150"/>
      <c r="F11" s="150"/>
      <c r="G11" s="150"/>
    </row>
    <row r="12" spans="1:7" s="155" customFormat="1" ht="12.75">
      <c r="A12" s="150">
        <v>3.1</v>
      </c>
      <c r="B12" s="150" t="s">
        <v>697</v>
      </c>
      <c r="C12" s="150">
        <f>+SUM(C6:C9)*2</f>
        <v>46</v>
      </c>
      <c r="D12" s="150"/>
      <c r="E12" s="153">
        <v>600</v>
      </c>
      <c r="F12" s="153">
        <f>+C12*E12</f>
        <v>27600</v>
      </c>
      <c r="G12" s="192">
        <f>+F12/$F$2</f>
        <v>8414.6341463414647</v>
      </c>
    </row>
    <row r="13" spans="1:7" s="155" customFormat="1" ht="12.75">
      <c r="A13" s="150">
        <v>3.2</v>
      </c>
      <c r="B13" s="150" t="s">
        <v>587</v>
      </c>
      <c r="C13" s="150">
        <f>100*2</f>
        <v>200</v>
      </c>
      <c r="D13" s="150"/>
      <c r="E13" s="153">
        <v>180</v>
      </c>
      <c r="F13" s="153">
        <f>+C13*E13</f>
        <v>36000</v>
      </c>
      <c r="G13" s="192">
        <f t="shared" ref="G13:G14" si="2">+F13/$F$2</f>
        <v>10975.609756097561</v>
      </c>
    </row>
    <row r="14" spans="1:7" s="155" customFormat="1" ht="12.75">
      <c r="A14" s="150">
        <v>3.3</v>
      </c>
      <c r="B14" s="150" t="s">
        <v>576</v>
      </c>
      <c r="C14" s="150">
        <f>SUM(C15:C17)</f>
        <v>7680</v>
      </c>
      <c r="D14" s="150"/>
      <c r="E14" s="153">
        <v>150</v>
      </c>
      <c r="F14" s="153">
        <f>+E14*C14</f>
        <v>1152000</v>
      </c>
      <c r="G14" s="192">
        <f t="shared" si="2"/>
        <v>351219.51219512196</v>
      </c>
    </row>
    <row r="15" spans="1:7" s="190" customFormat="1" ht="12">
      <c r="A15" s="188"/>
      <c r="B15" s="189" t="s">
        <v>693</v>
      </c>
      <c r="C15" s="190">
        <f>+C6*D15*30</f>
        <v>3240</v>
      </c>
      <c r="D15" s="188">
        <v>12</v>
      </c>
      <c r="E15" s="191">
        <v>30</v>
      </c>
      <c r="F15" s="191"/>
      <c r="G15" s="191"/>
    </row>
    <row r="16" spans="1:7" s="190" customFormat="1" ht="12">
      <c r="A16" s="188"/>
      <c r="B16" s="189" t="s">
        <v>694</v>
      </c>
      <c r="C16" s="190">
        <f>+C7*D16*30</f>
        <v>3240</v>
      </c>
      <c r="D16" s="188">
        <v>12</v>
      </c>
      <c r="E16" s="191">
        <v>30</v>
      </c>
      <c r="F16" s="191"/>
      <c r="G16" s="191"/>
    </row>
    <row r="17" spans="1:7" s="190" customFormat="1" ht="12">
      <c r="A17" s="188"/>
      <c r="B17" s="189" t="s">
        <v>695</v>
      </c>
      <c r="C17" s="190">
        <f>+C8*D17*30</f>
        <v>1200</v>
      </c>
      <c r="D17" s="188">
        <v>8</v>
      </c>
      <c r="E17" s="191">
        <v>30</v>
      </c>
      <c r="F17" s="191"/>
      <c r="G17" s="191"/>
    </row>
    <row r="18" spans="1:7" s="190" customFormat="1" ht="12">
      <c r="A18" s="188"/>
      <c r="B18" s="188"/>
      <c r="C18" s="188"/>
      <c r="D18" s="188"/>
      <c r="E18" s="191"/>
      <c r="F18" s="191"/>
      <c r="G18" s="191"/>
    </row>
    <row r="19" spans="1:7" s="155" customFormat="1" ht="12.75">
      <c r="A19" s="150"/>
      <c r="B19" s="151" t="s">
        <v>570</v>
      </c>
      <c r="C19" s="150"/>
      <c r="D19" s="150"/>
      <c r="E19" s="153"/>
      <c r="F19" s="154">
        <f>SUM(F12:F14)</f>
        <v>1215600</v>
      </c>
      <c r="G19" s="193">
        <f>SUM(G12:G14)</f>
        <v>370609.75609756098</v>
      </c>
    </row>
    <row r="20" spans="1:7" s="155" customFormat="1" ht="12.75">
      <c r="A20" s="150"/>
      <c r="B20" s="151" t="s">
        <v>577</v>
      </c>
      <c r="C20" s="151"/>
      <c r="D20" s="151"/>
      <c r="E20" s="151"/>
      <c r="F20" s="154">
        <f>+F9+F19</f>
        <v>4707600</v>
      </c>
      <c r="G20" s="193">
        <f>+G9+G19</f>
        <v>1435243.9024390245</v>
      </c>
    </row>
    <row r="21" spans="1:7" s="155" customFormat="1" ht="12.75">
      <c r="A21" s="150"/>
      <c r="B21" s="150" t="s">
        <v>578</v>
      </c>
      <c r="C21" s="150"/>
      <c r="D21" s="150"/>
      <c r="E21" s="150"/>
      <c r="F21" s="153">
        <f>+F20*0.18</f>
        <v>847368</v>
      </c>
      <c r="G21" s="192">
        <f>+G20*0.18</f>
        <v>258343.90243902442</v>
      </c>
    </row>
    <row r="22" spans="1:7" s="155" customFormat="1" ht="12.75">
      <c r="A22" s="150"/>
      <c r="B22" s="150" t="s">
        <v>570</v>
      </c>
      <c r="C22" s="150"/>
      <c r="D22" s="150"/>
      <c r="E22" s="150"/>
      <c r="F22" s="153">
        <f>+F20+F21</f>
        <v>5554968</v>
      </c>
      <c r="G22" s="192">
        <f>+G20+G21</f>
        <v>1693587.8048780491</v>
      </c>
    </row>
    <row r="23" spans="1:7" s="155" customFormat="1" ht="12.75">
      <c r="A23" s="150"/>
      <c r="B23" s="150" t="s">
        <v>579</v>
      </c>
      <c r="C23" s="150"/>
      <c r="D23" s="150"/>
      <c r="E23" s="150"/>
      <c r="F23" s="153">
        <f>+F22*0.18</f>
        <v>999894.24</v>
      </c>
      <c r="G23" s="192">
        <f>+G22*0.18</f>
        <v>304845.80487804883</v>
      </c>
    </row>
    <row r="24" spans="1:7" s="155" customFormat="1" ht="12.75">
      <c r="A24" s="165"/>
      <c r="B24" s="148" t="s">
        <v>6</v>
      </c>
      <c r="C24" s="148"/>
      <c r="D24" s="148"/>
      <c r="E24" s="148"/>
      <c r="F24" s="156">
        <f>+F22+F23</f>
        <v>6554862.2400000002</v>
      </c>
      <c r="G24" s="194">
        <f>+G22+G23+1566</f>
        <v>1999999.6097560979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0"/>
  <sheetViews>
    <sheetView workbookViewId="0" xr3:uid="{C67EF94B-0B3B-5838-830C-E3A509766221}">
      <selection activeCell="J17" sqref="J17"/>
    </sheetView>
  </sheetViews>
  <sheetFormatPr defaultColWidth="11.42578125" defaultRowHeight="15"/>
  <cols>
    <col min="2" max="2" width="59.85546875" customWidth="1"/>
    <col min="6" max="6" width="11.42578125" style="23"/>
  </cols>
  <sheetData>
    <row r="1" spans="1:6">
      <c r="A1" s="23" t="s">
        <v>698</v>
      </c>
      <c r="B1" s="23"/>
      <c r="C1" s="23"/>
      <c r="D1" s="23"/>
      <c r="E1" s="23"/>
    </row>
    <row r="2" spans="1:6">
      <c r="A2" s="23"/>
      <c r="B2" s="23"/>
      <c r="C2" s="23" t="s">
        <v>104</v>
      </c>
      <c r="D2" s="23">
        <v>3.28</v>
      </c>
      <c r="E2" s="23"/>
    </row>
    <row r="3" spans="1:6" s="23" customFormat="1"/>
    <row r="4" spans="1:6" s="187" customFormat="1" ht="38.25">
      <c r="A4" s="149" t="s">
        <v>407</v>
      </c>
      <c r="B4" s="149" t="s">
        <v>699</v>
      </c>
      <c r="C4" s="149" t="s">
        <v>700</v>
      </c>
      <c r="D4" s="149" t="s">
        <v>561</v>
      </c>
      <c r="E4" s="149" t="s">
        <v>564</v>
      </c>
      <c r="F4" s="149" t="s">
        <v>565</v>
      </c>
    </row>
    <row r="5" spans="1:6" s="187" customFormat="1" ht="12">
      <c r="A5" s="195">
        <v>1</v>
      </c>
      <c r="B5" s="195" t="s">
        <v>701</v>
      </c>
      <c r="C5" s="199">
        <v>53050</v>
      </c>
      <c r="D5" s="195">
        <v>1</v>
      </c>
      <c r="E5" s="199">
        <f>+C5*D5</f>
        <v>53050</v>
      </c>
      <c r="F5" s="199">
        <f>+E5/$D$2</f>
        <v>16173.780487804879</v>
      </c>
    </row>
    <row r="6" spans="1:6" s="187" customFormat="1" ht="24">
      <c r="A6" s="195">
        <v>2</v>
      </c>
      <c r="B6" s="196" t="s">
        <v>702</v>
      </c>
      <c r="C6" s="199">
        <v>16400</v>
      </c>
      <c r="D6" s="195">
        <v>7</v>
      </c>
      <c r="E6" s="199">
        <f t="shared" ref="E6:E19" si="0">+C6*D6</f>
        <v>114800</v>
      </c>
      <c r="F6" s="199">
        <f t="shared" ref="F6:F19" si="1">+E6/$D$2</f>
        <v>35000</v>
      </c>
    </row>
    <row r="7" spans="1:6" s="187" customFormat="1" ht="24">
      <c r="A7" s="195">
        <v>3</v>
      </c>
      <c r="B7" s="196" t="s">
        <v>703</v>
      </c>
      <c r="C7" s="199">
        <v>18500</v>
      </c>
      <c r="D7" s="195">
        <v>28</v>
      </c>
      <c r="E7" s="199">
        <f t="shared" si="0"/>
        <v>518000</v>
      </c>
      <c r="F7" s="199">
        <f t="shared" si="1"/>
        <v>157926.8292682927</v>
      </c>
    </row>
    <row r="8" spans="1:6" s="187" customFormat="1" ht="12">
      <c r="A8" s="195">
        <v>4</v>
      </c>
      <c r="B8" s="196" t="s">
        <v>704</v>
      </c>
      <c r="C8" s="199">
        <v>2790</v>
      </c>
      <c r="D8" s="195">
        <v>28</v>
      </c>
      <c r="E8" s="199">
        <f t="shared" si="0"/>
        <v>78120</v>
      </c>
      <c r="F8" s="199">
        <f t="shared" si="1"/>
        <v>23817.07317073171</v>
      </c>
    </row>
    <row r="9" spans="1:6" s="187" customFormat="1" ht="12">
      <c r="A9" s="195">
        <v>5</v>
      </c>
      <c r="B9" s="196" t="s">
        <v>705</v>
      </c>
      <c r="C9" s="199">
        <v>15</v>
      </c>
      <c r="D9" s="195">
        <v>4000</v>
      </c>
      <c r="E9" s="199">
        <f t="shared" si="0"/>
        <v>60000</v>
      </c>
      <c r="F9" s="199">
        <f t="shared" si="1"/>
        <v>18292.682926829268</v>
      </c>
    </row>
    <row r="10" spans="1:6" s="187" customFormat="1" ht="12">
      <c r="A10" s="195">
        <v>6</v>
      </c>
      <c r="B10" s="196" t="s">
        <v>706</v>
      </c>
      <c r="C10" s="199">
        <v>12000</v>
      </c>
      <c r="D10" s="195">
        <v>4</v>
      </c>
      <c r="E10" s="199">
        <f t="shared" si="0"/>
        <v>48000</v>
      </c>
      <c r="F10" s="199">
        <f t="shared" si="1"/>
        <v>14634.146341463416</v>
      </c>
    </row>
    <row r="11" spans="1:6" s="187" customFormat="1" ht="12">
      <c r="A11" s="195">
        <v>7</v>
      </c>
      <c r="B11" s="196" t="s">
        <v>707</v>
      </c>
      <c r="C11" s="199">
        <v>50</v>
      </c>
      <c r="D11" s="195">
        <v>1100</v>
      </c>
      <c r="E11" s="199">
        <f t="shared" si="0"/>
        <v>55000</v>
      </c>
      <c r="F11" s="199">
        <f t="shared" si="1"/>
        <v>16768.292682926829</v>
      </c>
    </row>
    <row r="12" spans="1:6" s="187" customFormat="1" ht="12">
      <c r="A12" s="197">
        <v>8</v>
      </c>
      <c r="B12" s="198" t="s">
        <v>708</v>
      </c>
      <c r="C12" s="200">
        <v>3240</v>
      </c>
      <c r="D12" s="187">
        <v>12</v>
      </c>
      <c r="E12" s="201">
        <f t="shared" si="0"/>
        <v>38880</v>
      </c>
      <c r="F12" s="199">
        <f t="shared" si="1"/>
        <v>11853.658536585366</v>
      </c>
    </row>
    <row r="13" spans="1:6" s="187" customFormat="1" ht="12">
      <c r="A13" s="195">
        <v>9</v>
      </c>
      <c r="B13" s="195" t="s">
        <v>709</v>
      </c>
      <c r="C13" s="199">
        <v>23000</v>
      </c>
      <c r="D13" s="195">
        <v>1</v>
      </c>
      <c r="E13" s="199">
        <f t="shared" si="0"/>
        <v>23000</v>
      </c>
      <c r="F13" s="199">
        <f t="shared" si="1"/>
        <v>7012.1951219512202</v>
      </c>
    </row>
    <row r="14" spans="1:6" s="187" customFormat="1" ht="12">
      <c r="A14" s="195">
        <v>10</v>
      </c>
      <c r="B14" s="195" t="s">
        <v>710</v>
      </c>
      <c r="C14" s="199">
        <v>500</v>
      </c>
      <c r="D14" s="195">
        <v>48</v>
      </c>
      <c r="E14" s="199">
        <f t="shared" si="0"/>
        <v>24000</v>
      </c>
      <c r="F14" s="199">
        <f t="shared" si="1"/>
        <v>7317.0731707317082</v>
      </c>
    </row>
    <row r="15" spans="1:6" s="187" customFormat="1" ht="12">
      <c r="A15" s="195">
        <v>11</v>
      </c>
      <c r="B15" s="195" t="s">
        <v>711</v>
      </c>
      <c r="C15" s="199">
        <v>500</v>
      </c>
      <c r="D15" s="195">
        <v>48</v>
      </c>
      <c r="E15" s="199">
        <f t="shared" si="0"/>
        <v>24000</v>
      </c>
      <c r="F15" s="199">
        <f t="shared" si="1"/>
        <v>7317.0731707317082</v>
      </c>
    </row>
    <row r="16" spans="1:6" s="187" customFormat="1" ht="12">
      <c r="A16" s="195">
        <v>12</v>
      </c>
      <c r="B16" s="195" t="s">
        <v>712</v>
      </c>
      <c r="C16" s="199">
        <v>10</v>
      </c>
      <c r="D16" s="199">
        <v>4000</v>
      </c>
      <c r="E16" s="199">
        <f t="shared" si="0"/>
        <v>40000</v>
      </c>
      <c r="F16" s="199">
        <f t="shared" si="1"/>
        <v>12195.121951219513</v>
      </c>
    </row>
    <row r="17" spans="1:6" s="187" customFormat="1" ht="12">
      <c r="A17" s="195">
        <v>13</v>
      </c>
      <c r="B17" s="195" t="s">
        <v>713</v>
      </c>
      <c r="C17" s="199">
        <v>50</v>
      </c>
      <c r="D17" s="199">
        <v>500</v>
      </c>
      <c r="E17" s="199">
        <f t="shared" si="0"/>
        <v>25000</v>
      </c>
      <c r="F17" s="199">
        <f t="shared" si="1"/>
        <v>7621.9512195121952</v>
      </c>
    </row>
    <row r="18" spans="1:6" s="187" customFormat="1" ht="12">
      <c r="A18" s="195">
        <v>14</v>
      </c>
      <c r="B18" s="195" t="s">
        <v>714</v>
      </c>
      <c r="C18" s="199">
        <v>1</v>
      </c>
      <c r="D18" s="199">
        <v>27000</v>
      </c>
      <c r="E18" s="199">
        <f t="shared" si="0"/>
        <v>27000</v>
      </c>
      <c r="F18" s="199">
        <f t="shared" si="1"/>
        <v>8231.707317073171</v>
      </c>
    </row>
    <row r="19" spans="1:6" s="187" customFormat="1" ht="24">
      <c r="A19" s="195">
        <v>15</v>
      </c>
      <c r="B19" s="196" t="s">
        <v>715</v>
      </c>
      <c r="C19" s="199">
        <v>1</v>
      </c>
      <c r="D19" s="199">
        <v>3000</v>
      </c>
      <c r="E19" s="199">
        <f t="shared" si="0"/>
        <v>3000</v>
      </c>
      <c r="F19" s="199">
        <f t="shared" si="1"/>
        <v>914.63414634146352</v>
      </c>
    </row>
    <row r="20" spans="1:6" s="187" customFormat="1" ht="12">
      <c r="A20" s="301" t="s">
        <v>598</v>
      </c>
      <c r="B20" s="302"/>
      <c r="C20" s="302"/>
      <c r="D20" s="303"/>
      <c r="E20" s="202">
        <f>SUM(E5:E19)</f>
        <v>1131850</v>
      </c>
      <c r="F20" s="202">
        <f>SUM(F5:F19)</f>
        <v>345076.21951219515</v>
      </c>
    </row>
  </sheetData>
  <mergeCells count="1">
    <mergeCell ref="A20:D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48"/>
  <sheetViews>
    <sheetView workbookViewId="0" xr3:uid="{274F5AE0-5452-572F-8038-C13FFDA59D49}">
      <selection activeCell="B1" sqref="B1:E1"/>
    </sheetView>
  </sheetViews>
  <sheetFormatPr defaultColWidth="11.42578125" defaultRowHeight="15"/>
  <cols>
    <col min="2" max="2" width="71.140625" customWidth="1"/>
    <col min="3" max="3" width="14.7109375" customWidth="1"/>
    <col min="5" max="5" width="18.140625" customWidth="1"/>
    <col min="6" max="6" width="18.140625" style="23" customWidth="1"/>
  </cols>
  <sheetData>
    <row r="1" spans="1:11" s="27" customFormat="1" ht="12.75">
      <c r="A1" s="19"/>
      <c r="B1" s="299" t="s">
        <v>716</v>
      </c>
      <c r="C1" s="299"/>
      <c r="D1" s="299"/>
      <c r="E1" s="299"/>
      <c r="F1" s="3"/>
    </row>
    <row r="2" spans="1:11" s="27" customFormat="1" ht="12.75">
      <c r="A2" s="19"/>
      <c r="C2" s="2"/>
      <c r="D2" s="2"/>
      <c r="E2" s="3"/>
      <c r="F2" s="3"/>
      <c r="G2" s="3"/>
      <c r="H2" s="2"/>
      <c r="I2" s="3"/>
      <c r="J2" s="3"/>
      <c r="K2" s="3"/>
    </row>
    <row r="3" spans="1:11" s="27" customFormat="1" ht="12.75">
      <c r="A3" s="19"/>
      <c r="B3" s="2" t="s">
        <v>29</v>
      </c>
      <c r="C3" s="4">
        <v>3.28</v>
      </c>
      <c r="G3" s="3"/>
      <c r="J3" s="3"/>
      <c r="K3" s="3"/>
    </row>
    <row r="4" spans="1:11" s="27" customFormat="1" ht="12.75">
      <c r="A4" s="19"/>
      <c r="B4" s="2"/>
      <c r="G4" s="3"/>
      <c r="J4" s="3"/>
      <c r="K4" s="3"/>
    </row>
    <row r="5" spans="1:11" ht="29.25" customHeight="1">
      <c r="A5" s="149" t="s">
        <v>407</v>
      </c>
      <c r="B5" s="149" t="s">
        <v>699</v>
      </c>
      <c r="C5" s="149" t="s">
        <v>700</v>
      </c>
      <c r="D5" s="149" t="s">
        <v>561</v>
      </c>
      <c r="E5" s="149" t="s">
        <v>564</v>
      </c>
      <c r="F5" s="149" t="s">
        <v>565</v>
      </c>
      <c r="G5" s="23"/>
      <c r="H5" s="23"/>
      <c r="I5" s="23"/>
      <c r="J5" s="23"/>
      <c r="K5" s="23"/>
    </row>
    <row r="6" spans="1:11" ht="24">
      <c r="A6" s="37">
        <v>1</v>
      </c>
      <c r="B6" s="157" t="s">
        <v>717</v>
      </c>
      <c r="C6" s="158">
        <v>721600</v>
      </c>
      <c r="D6" s="158">
        <v>1</v>
      </c>
      <c r="E6" s="158">
        <f t="shared" ref="E6:E10" si="0">+D6*C6</f>
        <v>721600</v>
      </c>
      <c r="F6" s="158">
        <f t="shared" ref="F6:F10" si="1">+E6/$C$3</f>
        <v>220000</v>
      </c>
      <c r="G6" s="23"/>
      <c r="H6" s="23"/>
      <c r="I6" s="23"/>
      <c r="J6" s="23"/>
      <c r="K6" s="23"/>
    </row>
    <row r="7" spans="1:11" ht="24">
      <c r="A7" s="37">
        <v>2</v>
      </c>
      <c r="B7" s="157" t="s">
        <v>718</v>
      </c>
      <c r="C7" s="220">
        <f>+F30</f>
        <v>101102.39999999999</v>
      </c>
      <c r="D7" s="158">
        <v>1</v>
      </c>
      <c r="E7" s="158">
        <f t="shared" si="0"/>
        <v>101102.39999999999</v>
      </c>
      <c r="F7" s="158">
        <f t="shared" si="1"/>
        <v>30823.90243902439</v>
      </c>
      <c r="G7" s="23">
        <v>7</v>
      </c>
      <c r="H7" s="23"/>
      <c r="I7" s="23"/>
      <c r="J7" s="23"/>
      <c r="K7" s="23"/>
    </row>
    <row r="8" spans="1:11" ht="24">
      <c r="A8" s="37">
        <v>3</v>
      </c>
      <c r="B8" s="157" t="s">
        <v>719</v>
      </c>
      <c r="C8" s="158">
        <f>+F47</f>
        <v>71614.2</v>
      </c>
      <c r="D8" s="158">
        <v>1</v>
      </c>
      <c r="E8" s="158">
        <f t="shared" si="0"/>
        <v>71614.2</v>
      </c>
      <c r="F8" s="158">
        <f t="shared" si="1"/>
        <v>21833.59756097561</v>
      </c>
      <c r="G8" s="23"/>
      <c r="H8" s="23"/>
      <c r="I8" s="23"/>
      <c r="J8" s="23"/>
      <c r="K8" s="23"/>
    </row>
    <row r="9" spans="1:11" s="23" customFormat="1">
      <c r="A9" s="41">
        <v>4</v>
      </c>
      <c r="B9" s="157" t="s">
        <v>720</v>
      </c>
      <c r="C9" s="158">
        <f>540353*3.28</f>
        <v>1772357.8399999999</v>
      </c>
      <c r="D9" s="158">
        <v>1</v>
      </c>
      <c r="E9" s="158">
        <f t="shared" ref="E9" si="2">+C9*D9</f>
        <v>1772357.8399999999</v>
      </c>
      <c r="F9" s="158">
        <f t="shared" si="1"/>
        <v>540353</v>
      </c>
    </row>
    <row r="10" spans="1:11">
      <c r="A10" s="37">
        <v>5</v>
      </c>
      <c r="B10" s="157" t="s">
        <v>721</v>
      </c>
      <c r="C10" s="158">
        <v>100000</v>
      </c>
      <c r="D10" s="158">
        <v>1</v>
      </c>
      <c r="E10" s="158">
        <f t="shared" si="0"/>
        <v>100000</v>
      </c>
      <c r="F10" s="158">
        <f t="shared" si="1"/>
        <v>30487.804878048781</v>
      </c>
      <c r="G10" s="23"/>
      <c r="H10" s="23"/>
      <c r="I10" s="23"/>
      <c r="J10" s="23"/>
      <c r="K10" s="23"/>
    </row>
    <row r="11" spans="1:11">
      <c r="A11" s="304" t="s">
        <v>598</v>
      </c>
      <c r="B11" s="304"/>
      <c r="C11" s="304"/>
      <c r="D11" s="304"/>
      <c r="E11" s="159">
        <f>SUM(E6:E10)</f>
        <v>2766674.44</v>
      </c>
      <c r="F11" s="159">
        <f>SUM(F6:F10)</f>
        <v>843498.30487804883</v>
      </c>
      <c r="G11" s="23"/>
      <c r="H11" s="23"/>
      <c r="I11" s="23"/>
      <c r="J11" s="23"/>
      <c r="K11" s="23"/>
    </row>
    <row r="13" spans="1:11" s="23" customFormat="1">
      <c r="A13" s="23" t="s">
        <v>722</v>
      </c>
    </row>
    <row r="14" spans="1:11" s="23" customFormat="1" ht="25.5">
      <c r="A14" s="149" t="s">
        <v>407</v>
      </c>
      <c r="B14" s="149" t="s">
        <v>560</v>
      </c>
      <c r="C14" s="149" t="s">
        <v>561</v>
      </c>
      <c r="D14" s="149" t="s">
        <v>562</v>
      </c>
      <c r="E14" s="149" t="s">
        <v>563</v>
      </c>
      <c r="F14" s="149" t="s">
        <v>723</v>
      </c>
    </row>
    <row r="15" spans="1:11" s="23" customFormat="1">
      <c r="A15" s="150">
        <v>1</v>
      </c>
      <c r="B15" s="160" t="s">
        <v>692</v>
      </c>
      <c r="C15" s="161"/>
      <c r="D15" s="161"/>
      <c r="E15" s="161"/>
      <c r="F15" s="161"/>
    </row>
    <row r="16" spans="1:11" s="206" customFormat="1">
      <c r="A16" s="208">
        <v>1.1000000000000001</v>
      </c>
      <c r="B16" s="208" t="s">
        <v>567</v>
      </c>
      <c r="C16" s="217">
        <v>1</v>
      </c>
      <c r="D16" s="217">
        <v>2</v>
      </c>
      <c r="E16" s="209">
        <v>12000</v>
      </c>
      <c r="F16" s="209">
        <f>+D16*C16*E16</f>
        <v>24000</v>
      </c>
    </row>
    <row r="17" spans="1:6" s="206" customFormat="1">
      <c r="A17" s="208">
        <v>1.2</v>
      </c>
      <c r="B17" s="208" t="s">
        <v>568</v>
      </c>
      <c r="C17" s="217">
        <v>1</v>
      </c>
      <c r="D17" s="217">
        <v>2</v>
      </c>
      <c r="E17" s="209">
        <v>12000</v>
      </c>
      <c r="F17" s="209">
        <f t="shared" ref="F17:F19" si="3">+D17*C17*E17</f>
        <v>24000</v>
      </c>
    </row>
    <row r="18" spans="1:6" s="206" customFormat="1">
      <c r="A18" s="208">
        <v>1.3</v>
      </c>
      <c r="B18" s="218" t="s">
        <v>724</v>
      </c>
      <c r="C18" s="217">
        <v>1</v>
      </c>
      <c r="D18" s="217">
        <v>0.5</v>
      </c>
      <c r="E18" s="209">
        <v>12000</v>
      </c>
      <c r="F18" s="209">
        <f t="shared" si="3"/>
        <v>6000</v>
      </c>
    </row>
    <row r="19" spans="1:6" s="206" customFormat="1" ht="14.25" customHeight="1">
      <c r="A19" s="208">
        <v>1.4</v>
      </c>
      <c r="B19" s="218" t="s">
        <v>725</v>
      </c>
      <c r="C19" s="217">
        <v>2</v>
      </c>
      <c r="D19" s="217">
        <v>0.5</v>
      </c>
      <c r="E19" s="209">
        <v>12000</v>
      </c>
      <c r="F19" s="209">
        <f t="shared" si="3"/>
        <v>12000</v>
      </c>
    </row>
    <row r="20" spans="1:6" s="206" customFormat="1">
      <c r="A20" s="208"/>
      <c r="B20" s="218"/>
      <c r="C20" s="208"/>
      <c r="D20" s="208"/>
      <c r="E20" s="209"/>
      <c r="F20" s="209"/>
    </row>
    <row r="21" spans="1:6" s="206" customFormat="1">
      <c r="A21" s="208"/>
      <c r="B21" s="219" t="s">
        <v>570</v>
      </c>
      <c r="C21" s="208"/>
      <c r="D21" s="208"/>
      <c r="E21" s="209"/>
      <c r="F21" s="215">
        <f>SUM(F16:F20)</f>
        <v>66000</v>
      </c>
    </row>
    <row r="22" spans="1:6" s="206" customFormat="1">
      <c r="A22" s="208">
        <v>2</v>
      </c>
      <c r="B22" s="219" t="s">
        <v>696</v>
      </c>
      <c r="C22" s="208"/>
      <c r="D22" s="208"/>
      <c r="E22" s="208"/>
      <c r="F22" s="208"/>
    </row>
    <row r="23" spans="1:6" s="206" customFormat="1">
      <c r="A23" s="208">
        <v>2.1</v>
      </c>
      <c r="B23" s="218" t="s">
        <v>726</v>
      </c>
      <c r="C23" s="208">
        <v>2</v>
      </c>
      <c r="D23" s="208"/>
      <c r="E23" s="209">
        <v>3000</v>
      </c>
      <c r="F23" s="209">
        <f>+C23*E23</f>
        <v>6000</v>
      </c>
    </row>
    <row r="24" spans="1:6" s="23" customFormat="1">
      <c r="A24" s="150"/>
      <c r="B24" s="162"/>
      <c r="C24" s="150"/>
      <c r="D24" s="150"/>
      <c r="E24" s="153"/>
      <c r="F24" s="153"/>
    </row>
    <row r="25" spans="1:6" s="23" customFormat="1">
      <c r="A25" s="150"/>
      <c r="B25" s="160" t="s">
        <v>570</v>
      </c>
      <c r="C25" s="150"/>
      <c r="D25" s="150"/>
      <c r="E25" s="153"/>
      <c r="F25" s="154">
        <f>SUM(F23:F24)</f>
        <v>6000</v>
      </c>
    </row>
    <row r="26" spans="1:6" s="23" customFormat="1">
      <c r="A26" s="150"/>
      <c r="B26" s="160" t="s">
        <v>577</v>
      </c>
      <c r="C26" s="151"/>
      <c r="D26" s="151"/>
      <c r="E26" s="151"/>
      <c r="F26" s="154">
        <f>+F21+F25</f>
        <v>72000</v>
      </c>
    </row>
    <row r="27" spans="1:6" s="23" customFormat="1">
      <c r="A27" s="150"/>
      <c r="B27" s="162" t="s">
        <v>578</v>
      </c>
      <c r="C27" s="150"/>
      <c r="D27" s="150"/>
      <c r="E27" s="150"/>
      <c r="F27" s="153">
        <f>+F26*0.19</f>
        <v>13680</v>
      </c>
    </row>
    <row r="28" spans="1:6" s="23" customFormat="1">
      <c r="A28" s="150"/>
      <c r="B28" s="162" t="s">
        <v>570</v>
      </c>
      <c r="C28" s="150"/>
      <c r="D28" s="150"/>
      <c r="E28" s="150"/>
      <c r="F28" s="153">
        <f>+F26+F27</f>
        <v>85680</v>
      </c>
    </row>
    <row r="29" spans="1:6" s="23" customFormat="1">
      <c r="A29" s="150"/>
      <c r="B29" s="162" t="s">
        <v>579</v>
      </c>
      <c r="C29" s="163"/>
      <c r="D29" s="163"/>
      <c r="E29" s="163"/>
      <c r="F29" s="164">
        <f>+F28*0.18</f>
        <v>15422.4</v>
      </c>
    </row>
    <row r="30" spans="1:6" s="23" customFormat="1">
      <c r="A30" s="165"/>
      <c r="B30" s="148" t="s">
        <v>6</v>
      </c>
      <c r="C30" s="148"/>
      <c r="D30" s="148"/>
      <c r="E30" s="148"/>
      <c r="F30" s="156">
        <f>+F28+F29</f>
        <v>101102.39999999999</v>
      </c>
    </row>
    <row r="31" spans="1:6" s="23" customFormat="1"/>
    <row r="32" spans="1:6" s="23" customFormat="1">
      <c r="A32" s="23" t="s">
        <v>727</v>
      </c>
    </row>
    <row r="33" spans="1:6" s="23" customFormat="1" ht="25.5">
      <c r="A33" s="149" t="s">
        <v>407</v>
      </c>
      <c r="B33" s="149" t="s">
        <v>560</v>
      </c>
      <c r="C33" s="149" t="s">
        <v>561</v>
      </c>
      <c r="D33" s="149" t="s">
        <v>562</v>
      </c>
      <c r="E33" s="149" t="s">
        <v>563</v>
      </c>
      <c r="F33" s="149" t="s">
        <v>723</v>
      </c>
    </row>
    <row r="34" spans="1:6" s="23" customFormat="1">
      <c r="A34" s="150">
        <v>1</v>
      </c>
      <c r="B34" s="160" t="s">
        <v>692</v>
      </c>
      <c r="C34" s="161"/>
      <c r="D34" s="161"/>
      <c r="E34" s="161"/>
      <c r="F34" s="161"/>
    </row>
    <row r="35" spans="1:6" s="23" customFormat="1">
      <c r="A35" s="150">
        <v>1.1000000000000001</v>
      </c>
      <c r="B35" s="162" t="s">
        <v>728</v>
      </c>
      <c r="C35" s="150">
        <v>1</v>
      </c>
      <c r="D35" s="150">
        <v>1.5</v>
      </c>
      <c r="E35" s="153">
        <v>16500</v>
      </c>
      <c r="F35" s="153">
        <f>+D35*E35*C35</f>
        <v>24750</v>
      </c>
    </row>
    <row r="36" spans="1:6" s="23" customFormat="1">
      <c r="A36" s="150">
        <v>1.2</v>
      </c>
      <c r="B36" s="162" t="s">
        <v>725</v>
      </c>
      <c r="C36" s="150">
        <v>2</v>
      </c>
      <c r="D36" s="150">
        <v>0.75</v>
      </c>
      <c r="E36" s="153">
        <v>15500</v>
      </c>
      <c r="F36" s="153">
        <f>+D36*E36*C36</f>
        <v>23250</v>
      </c>
    </row>
    <row r="37" spans="1:6" s="23" customFormat="1">
      <c r="A37" s="150"/>
      <c r="B37" s="162"/>
      <c r="C37" s="150"/>
      <c r="D37" s="150"/>
      <c r="E37" s="153"/>
      <c r="F37" s="153"/>
    </row>
    <row r="38" spans="1:6" s="23" customFormat="1">
      <c r="A38" s="150"/>
      <c r="B38" s="160" t="s">
        <v>570</v>
      </c>
      <c r="C38" s="150"/>
      <c r="D38" s="150"/>
      <c r="E38" s="153"/>
      <c r="F38" s="154">
        <f>SUM(F35:F37)</f>
        <v>48000</v>
      </c>
    </row>
    <row r="39" spans="1:6" s="23" customFormat="1">
      <c r="A39" s="150">
        <v>2</v>
      </c>
      <c r="B39" s="160" t="s">
        <v>696</v>
      </c>
      <c r="C39" s="150"/>
      <c r="D39" s="150"/>
      <c r="E39" s="150"/>
      <c r="F39" s="150"/>
    </row>
    <row r="40" spans="1:6" s="23" customFormat="1">
      <c r="A40" s="150">
        <v>2.1</v>
      </c>
      <c r="B40" s="162" t="s">
        <v>726</v>
      </c>
      <c r="C40" s="150">
        <v>1</v>
      </c>
      <c r="D40" s="150"/>
      <c r="E40" s="153">
        <v>3000</v>
      </c>
      <c r="F40" s="153">
        <f>+C40*E40</f>
        <v>3000</v>
      </c>
    </row>
    <row r="41" spans="1:6" s="23" customFormat="1">
      <c r="A41" s="150"/>
      <c r="B41" s="162"/>
      <c r="C41" s="150"/>
      <c r="D41" s="150"/>
      <c r="E41" s="153"/>
      <c r="F41" s="153"/>
    </row>
    <row r="42" spans="1:6" s="23" customFormat="1">
      <c r="A42" s="150"/>
      <c r="B42" s="160" t="s">
        <v>570</v>
      </c>
      <c r="C42" s="150"/>
      <c r="D42" s="150"/>
      <c r="E42" s="153"/>
      <c r="F42" s="154">
        <f>SUM(F40:F41)</f>
        <v>3000</v>
      </c>
    </row>
    <row r="43" spans="1:6" s="23" customFormat="1">
      <c r="A43" s="150"/>
      <c r="B43" s="160" t="s">
        <v>577</v>
      </c>
      <c r="C43" s="151"/>
      <c r="D43" s="151"/>
      <c r="E43" s="151"/>
      <c r="F43" s="154">
        <f>+F38+F42</f>
        <v>51000</v>
      </c>
    </row>
    <row r="44" spans="1:6" s="23" customFormat="1">
      <c r="A44" s="150"/>
      <c r="B44" s="162" t="s">
        <v>729</v>
      </c>
      <c r="C44" s="150"/>
      <c r="D44" s="150"/>
      <c r="E44" s="150"/>
      <c r="F44" s="153">
        <f>+F43*0.19</f>
        <v>9690</v>
      </c>
    </row>
    <row r="45" spans="1:6" s="23" customFormat="1">
      <c r="A45" s="150"/>
      <c r="B45" s="162" t="s">
        <v>570</v>
      </c>
      <c r="C45" s="150"/>
      <c r="D45" s="150"/>
      <c r="E45" s="150"/>
      <c r="F45" s="153">
        <f>+F43+F44</f>
        <v>60690</v>
      </c>
    </row>
    <row r="46" spans="1:6" s="23" customFormat="1">
      <c r="A46" s="150"/>
      <c r="B46" s="162" t="s">
        <v>579</v>
      </c>
      <c r="C46" s="163"/>
      <c r="D46" s="163"/>
      <c r="E46" s="163"/>
      <c r="F46" s="164">
        <f>+F45*0.18</f>
        <v>10924.199999999999</v>
      </c>
    </row>
    <row r="47" spans="1:6" s="23" customFormat="1">
      <c r="A47" s="165"/>
      <c r="B47" s="148" t="s">
        <v>6</v>
      </c>
      <c r="C47" s="148"/>
      <c r="D47" s="148"/>
      <c r="E47" s="148"/>
      <c r="F47" s="156">
        <f>+F45+F46</f>
        <v>71614.2</v>
      </c>
    </row>
    <row r="48" spans="1:6" s="23" customFormat="1"/>
  </sheetData>
  <mergeCells count="2">
    <mergeCell ref="A11:D11"/>
    <mergeCell ref="B1:E1"/>
  </mergeCells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0"/>
  <sheetViews>
    <sheetView workbookViewId="0" xr3:uid="{33642244-9AC9-5136-AF77-195C889548CE}">
      <selection activeCell="K20" sqref="K20"/>
    </sheetView>
  </sheetViews>
  <sheetFormatPr defaultColWidth="11.42578125" defaultRowHeight="15"/>
  <cols>
    <col min="2" max="2" width="36.140625" bestFit="1" customWidth="1"/>
    <col min="7" max="7" width="11.42578125" style="23"/>
  </cols>
  <sheetData>
    <row r="1" spans="1:7" s="155" customFormat="1" ht="12.75"/>
    <row r="2" spans="1:7" s="155" customFormat="1" ht="12.75">
      <c r="A2" s="155" t="s">
        <v>730</v>
      </c>
      <c r="F2" s="155" t="s">
        <v>104</v>
      </c>
      <c r="G2" s="155">
        <v>3.28</v>
      </c>
    </row>
    <row r="3" spans="1:7" s="155" customFormat="1" ht="12.75"/>
    <row r="4" spans="1:7" s="155" customFormat="1" ht="38.25">
      <c r="A4" s="149" t="s">
        <v>407</v>
      </c>
      <c r="B4" s="149" t="s">
        <v>560</v>
      </c>
      <c r="C4" s="149" t="s">
        <v>561</v>
      </c>
      <c r="D4" s="149" t="s">
        <v>562</v>
      </c>
      <c r="E4" s="149" t="s">
        <v>563</v>
      </c>
      <c r="F4" s="149" t="s">
        <v>564</v>
      </c>
      <c r="G4" s="149" t="s">
        <v>564</v>
      </c>
    </row>
    <row r="5" spans="1:7" s="155" customFormat="1" ht="12.75">
      <c r="A5" s="203">
        <v>1</v>
      </c>
      <c r="B5" s="160" t="s">
        <v>692</v>
      </c>
      <c r="C5" s="161"/>
      <c r="D5" s="161"/>
      <c r="E5" s="161"/>
      <c r="F5" s="161"/>
      <c r="G5" s="161"/>
    </row>
    <row r="6" spans="1:7" s="155" customFormat="1" ht="12.75">
      <c r="A6" s="150">
        <v>1.1000000000000001</v>
      </c>
      <c r="B6" s="162" t="s">
        <v>693</v>
      </c>
      <c r="C6" s="150">
        <v>10</v>
      </c>
      <c r="D6" s="150">
        <v>3</v>
      </c>
      <c r="E6" s="192">
        <v>14500</v>
      </c>
      <c r="F6" s="192">
        <f>+D6*E6*C6</f>
        <v>435000</v>
      </c>
      <c r="G6" s="192">
        <f>+F6/$G$2</f>
        <v>132621.95121951221</v>
      </c>
    </row>
    <row r="7" spans="1:7" s="155" customFormat="1" ht="12.75">
      <c r="A7" s="150">
        <v>1.2</v>
      </c>
      <c r="B7" s="162" t="s">
        <v>731</v>
      </c>
      <c r="C7" s="150">
        <v>5</v>
      </c>
      <c r="D7" s="150">
        <v>3</v>
      </c>
      <c r="E7" s="192">
        <v>15500</v>
      </c>
      <c r="F7" s="192">
        <f t="shared" ref="F7:F9" si="0">+D7*E7*C7</f>
        <v>232500</v>
      </c>
      <c r="G7" s="192">
        <f t="shared" ref="G7:G19" si="1">+F7/$G$2</f>
        <v>70884.14634146342</v>
      </c>
    </row>
    <row r="8" spans="1:7" s="155" customFormat="1" ht="12.75">
      <c r="A8" s="150">
        <v>1.4</v>
      </c>
      <c r="B8" s="162" t="s">
        <v>732</v>
      </c>
      <c r="C8" s="150">
        <v>3</v>
      </c>
      <c r="D8" s="150">
        <v>3</v>
      </c>
      <c r="E8" s="192">
        <v>15500</v>
      </c>
      <c r="F8" s="192">
        <f t="shared" si="0"/>
        <v>139500</v>
      </c>
      <c r="G8" s="192">
        <f t="shared" si="1"/>
        <v>42530.487804878052</v>
      </c>
    </row>
    <row r="9" spans="1:7" s="155" customFormat="1" ht="12.75">
      <c r="A9" s="150">
        <v>1.5</v>
      </c>
      <c r="B9" s="162" t="s">
        <v>733</v>
      </c>
      <c r="C9" s="150">
        <v>15</v>
      </c>
      <c r="D9" s="150">
        <v>3</v>
      </c>
      <c r="E9" s="192">
        <v>5500</v>
      </c>
      <c r="F9" s="192">
        <f t="shared" si="0"/>
        <v>247500</v>
      </c>
      <c r="G9" s="192">
        <f t="shared" si="1"/>
        <v>75457.317073170736</v>
      </c>
    </row>
    <row r="10" spans="1:7" s="155" customFormat="1" ht="12.75">
      <c r="A10" s="150"/>
      <c r="B10" s="160" t="s">
        <v>570</v>
      </c>
      <c r="C10" s="150"/>
      <c r="D10" s="150"/>
      <c r="E10" s="192"/>
      <c r="F10" s="193">
        <f>SUM(F6:F9)</f>
        <v>1054500</v>
      </c>
      <c r="G10" s="193">
        <f t="shared" si="1"/>
        <v>321493.90243902442</v>
      </c>
    </row>
    <row r="11" spans="1:7" s="155" customFormat="1" ht="12.75">
      <c r="A11" s="150">
        <v>3</v>
      </c>
      <c r="B11" s="160" t="s">
        <v>696</v>
      </c>
      <c r="C11" s="150"/>
      <c r="D11" s="150"/>
      <c r="E11" s="192"/>
      <c r="F11" s="192"/>
      <c r="G11" s="192"/>
    </row>
    <row r="12" spans="1:7" s="155" customFormat="1" ht="12.75">
      <c r="A12" s="150">
        <v>3.1</v>
      </c>
      <c r="B12" s="162" t="s">
        <v>697</v>
      </c>
      <c r="C12" s="150">
        <v>10</v>
      </c>
      <c r="D12" s="150"/>
      <c r="E12" s="192">
        <v>600</v>
      </c>
      <c r="F12" s="192">
        <f>+C12*E12</f>
        <v>6000</v>
      </c>
      <c r="G12" s="192">
        <f t="shared" si="1"/>
        <v>1829.268292682927</v>
      </c>
    </row>
    <row r="13" spans="1:7" s="155" customFormat="1" ht="12.75">
      <c r="A13" s="150">
        <v>3.2</v>
      </c>
      <c r="B13" s="162" t="s">
        <v>587</v>
      </c>
      <c r="C13" s="150">
        <f>100*3</f>
        <v>300</v>
      </c>
      <c r="D13" s="150"/>
      <c r="E13" s="192">
        <v>180</v>
      </c>
      <c r="F13" s="192">
        <f>+C13*E13</f>
        <v>54000</v>
      </c>
      <c r="G13" s="192">
        <f t="shared" si="1"/>
        <v>16463.414634146342</v>
      </c>
    </row>
    <row r="14" spans="1:7" s="155" customFormat="1" ht="12.75">
      <c r="A14" s="150">
        <v>3.3</v>
      </c>
      <c r="B14" s="162" t="s">
        <v>576</v>
      </c>
      <c r="C14" s="150">
        <f>+(C6*D6*30)+(C7*D7*30)+(C8*D8*30)+(C9*D9*30)</f>
        <v>2970</v>
      </c>
      <c r="D14" s="150"/>
      <c r="E14" s="192">
        <v>250</v>
      </c>
      <c r="F14" s="192">
        <f t="shared" ref="F14" si="2">+C14*E14</f>
        <v>742500</v>
      </c>
      <c r="G14" s="192">
        <f t="shared" si="1"/>
        <v>226371.95121951221</v>
      </c>
    </row>
    <row r="15" spans="1:7" s="155" customFormat="1" ht="12.75">
      <c r="A15" s="150"/>
      <c r="B15" s="160" t="s">
        <v>570</v>
      </c>
      <c r="C15" s="150"/>
      <c r="D15" s="150"/>
      <c r="E15" s="192"/>
      <c r="F15" s="193">
        <f>SUM(F12:F14)</f>
        <v>802500</v>
      </c>
      <c r="G15" s="193">
        <f t="shared" si="1"/>
        <v>244664.63414634147</v>
      </c>
    </row>
    <row r="16" spans="1:7" s="155" customFormat="1" ht="12.75">
      <c r="A16" s="150"/>
      <c r="B16" s="160" t="s">
        <v>577</v>
      </c>
      <c r="C16" s="151"/>
      <c r="D16" s="151"/>
      <c r="E16" s="193"/>
      <c r="F16" s="193">
        <f>+F15+F62+F10</f>
        <v>1857000</v>
      </c>
      <c r="G16" s="193">
        <f t="shared" si="1"/>
        <v>566158.53658536589</v>
      </c>
    </row>
    <row r="17" spans="1:8" s="155" customFormat="1" ht="12.75">
      <c r="A17" s="150"/>
      <c r="B17" s="162" t="s">
        <v>578</v>
      </c>
      <c r="C17" s="150"/>
      <c r="D17" s="150"/>
      <c r="E17" s="192"/>
      <c r="F17" s="192">
        <f>+F16*0.18</f>
        <v>334260</v>
      </c>
      <c r="G17" s="192">
        <f t="shared" si="1"/>
        <v>101908.53658536586</v>
      </c>
    </row>
    <row r="18" spans="1:8" s="155" customFormat="1" ht="12.75">
      <c r="A18" s="150"/>
      <c r="B18" s="160" t="s">
        <v>570</v>
      </c>
      <c r="C18" s="151"/>
      <c r="D18" s="151"/>
      <c r="E18" s="193"/>
      <c r="F18" s="193">
        <f>+F16+F17</f>
        <v>2191260</v>
      </c>
      <c r="G18" s="193">
        <f t="shared" si="1"/>
        <v>668067.07317073178</v>
      </c>
    </row>
    <row r="19" spans="1:8" s="155" customFormat="1" ht="12.75">
      <c r="A19" s="150"/>
      <c r="B19" s="162" t="s">
        <v>579</v>
      </c>
      <c r="C19" s="163"/>
      <c r="D19" s="163"/>
      <c r="E19" s="205"/>
      <c r="F19" s="205">
        <f>+F18*0.18</f>
        <v>394426.8</v>
      </c>
      <c r="G19" s="192">
        <f t="shared" si="1"/>
        <v>120252.07317073172</v>
      </c>
    </row>
    <row r="20" spans="1:8" s="155" customFormat="1" ht="12.75">
      <c r="A20" s="165"/>
      <c r="B20" s="148" t="s">
        <v>6</v>
      </c>
      <c r="C20" s="148"/>
      <c r="D20" s="148"/>
      <c r="E20" s="194"/>
      <c r="F20" s="194">
        <f>+F18+F19</f>
        <v>2585686.7999999998</v>
      </c>
      <c r="G20" s="194">
        <f>+G18+G19</f>
        <v>788319.14634146355</v>
      </c>
      <c r="H20" s="20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1"/>
  <sheetViews>
    <sheetView zoomScale="82" zoomScaleNormal="82" workbookViewId="0" xr3:uid="{958C4451-9541-5A59-BF78-D2F731DF1C81}">
      <pane ySplit="8" topLeftCell="A9" activePane="bottomLeft" state="frozen"/>
      <selection pane="bottomLeft" activeCell="E16" sqref="E16"/>
    </sheetView>
  </sheetViews>
  <sheetFormatPr defaultColWidth="11.42578125" defaultRowHeight="11.25"/>
  <cols>
    <col min="1" max="1" width="5.7109375" style="20" bestFit="1" customWidth="1"/>
    <col min="2" max="2" width="69" style="5" bestFit="1" customWidth="1"/>
    <col min="3" max="3" width="10.28515625" style="5" customWidth="1"/>
    <col min="4" max="4" width="12.85546875" style="5" bestFit="1" customWidth="1"/>
    <col min="5" max="5" width="13.140625" style="5" bestFit="1" customWidth="1"/>
    <col min="6" max="6" width="12.140625" style="5" bestFit="1" customWidth="1"/>
    <col min="7" max="16384" width="11.42578125" style="5"/>
  </cols>
  <sheetData>
    <row r="1" spans="1:6" s="27" customFormat="1" ht="12.75">
      <c r="A1" s="19"/>
      <c r="C1" s="2"/>
      <c r="D1" s="3"/>
      <c r="E1" s="3"/>
      <c r="F1" s="3"/>
    </row>
    <row r="2" spans="1:6" s="27" customFormat="1" ht="12.75">
      <c r="A2" s="19"/>
      <c r="B2" s="269" t="s">
        <v>28</v>
      </c>
      <c r="C2" s="269"/>
      <c r="D2" s="269"/>
      <c r="E2" s="269"/>
      <c r="F2" s="269"/>
    </row>
    <row r="3" spans="1:6" s="27" customFormat="1" ht="12.75">
      <c r="A3" s="19"/>
      <c r="C3" s="2"/>
      <c r="D3" s="3"/>
      <c r="E3" s="3"/>
      <c r="F3" s="3"/>
    </row>
    <row r="4" spans="1:6" s="27" customFormat="1" ht="12.75">
      <c r="A4" s="19"/>
      <c r="B4" s="2" t="s">
        <v>29</v>
      </c>
      <c r="C4" s="4">
        <v>3.28</v>
      </c>
      <c r="D4" s="3"/>
      <c r="E4" s="3"/>
      <c r="F4" s="100"/>
    </row>
    <row r="5" spans="1:6" s="27" customFormat="1" ht="12.75">
      <c r="A5" s="19"/>
      <c r="C5" s="2"/>
      <c r="D5" s="3"/>
      <c r="E5" s="3"/>
      <c r="F5" s="100"/>
    </row>
    <row r="6" spans="1:6" ht="15" customHeight="1">
      <c r="B6" s="270" t="s">
        <v>3</v>
      </c>
      <c r="C6" s="270" t="s">
        <v>30</v>
      </c>
      <c r="D6" s="270" t="s">
        <v>31</v>
      </c>
      <c r="E6" s="270" t="s">
        <v>32</v>
      </c>
      <c r="F6" s="270"/>
    </row>
    <row r="7" spans="1:6" ht="21" customHeight="1">
      <c r="B7" s="270"/>
      <c r="C7" s="270"/>
      <c r="D7" s="270"/>
      <c r="E7" s="263" t="s">
        <v>4</v>
      </c>
      <c r="F7" s="263" t="s">
        <v>5</v>
      </c>
    </row>
    <row r="8" spans="1:6" s="7" customFormat="1">
      <c r="A8" s="20">
        <v>1</v>
      </c>
      <c r="B8" s="268" t="s">
        <v>33</v>
      </c>
      <c r="C8" s="268"/>
      <c r="D8" s="6">
        <f>+D9+D33</f>
        <v>114483379.65381998</v>
      </c>
      <c r="E8" s="6">
        <f t="shared" ref="E8:F8" si="0">+E9+E33</f>
        <v>94237285.845400661</v>
      </c>
      <c r="F8" s="6">
        <f t="shared" si="0"/>
        <v>20246091.808419302</v>
      </c>
    </row>
    <row r="9" spans="1:6" s="7" customFormat="1">
      <c r="A9" s="20">
        <v>1.1000000000000001</v>
      </c>
      <c r="B9" s="262" t="s">
        <v>8</v>
      </c>
      <c r="C9" s="262"/>
      <c r="D9" s="6">
        <f>+D17+D24+D26+D10</f>
        <v>106733513.08233431</v>
      </c>
      <c r="E9" s="6">
        <f t="shared" ref="E9:F9" si="1">+E17+E24+E26+E10</f>
        <v>87882395.256782413</v>
      </c>
      <c r="F9" s="6">
        <f t="shared" si="1"/>
        <v>18851115.825551882</v>
      </c>
    </row>
    <row r="10" spans="1:6" s="7" customFormat="1">
      <c r="A10" s="20" t="s">
        <v>34</v>
      </c>
      <c r="B10" s="262" t="s">
        <v>35</v>
      </c>
      <c r="C10" s="262"/>
      <c r="D10" s="6">
        <f t="shared" ref="D10:F10" si="2">SUM(D11:D16)</f>
        <v>99668832.396990135</v>
      </c>
      <c r="E10" s="6">
        <f t="shared" si="2"/>
        <v>82774562.8255319</v>
      </c>
      <c r="F10" s="6">
        <f t="shared" si="2"/>
        <v>16894267.571458224</v>
      </c>
    </row>
    <row r="11" spans="1:6" s="13" customFormat="1">
      <c r="A11" s="20" t="s">
        <v>36</v>
      </c>
      <c r="B11" s="30" t="s">
        <v>37</v>
      </c>
      <c r="C11" s="10" t="s">
        <v>38</v>
      </c>
      <c r="D11" s="29">
        <f>+'C1_Contrata'!E10</f>
        <v>15441387.403163752</v>
      </c>
      <c r="E11" s="29">
        <f>+D11-F11</f>
        <v>12661937.670594277</v>
      </c>
      <c r="F11" s="29">
        <f>+D11*0.18</f>
        <v>2779449.7325694752</v>
      </c>
    </row>
    <row r="12" spans="1:6" s="13" customFormat="1">
      <c r="A12" s="20" t="s">
        <v>39</v>
      </c>
      <c r="B12" s="30" t="s">
        <v>40</v>
      </c>
      <c r="C12" s="10" t="s">
        <v>38</v>
      </c>
      <c r="D12" s="29">
        <f>+'C1_Contrata'!I10</f>
        <v>21139425.965763893</v>
      </c>
      <c r="E12" s="29">
        <f>+D12-F12</f>
        <v>17334329.291926391</v>
      </c>
      <c r="F12" s="29">
        <f>+D12*0.18</f>
        <v>3805096.6738375006</v>
      </c>
    </row>
    <row r="13" spans="1:6" s="13" customFormat="1">
      <c r="A13" s="20" t="s">
        <v>41</v>
      </c>
      <c r="B13" s="30" t="s">
        <v>42</v>
      </c>
      <c r="C13" s="10" t="s">
        <v>38</v>
      </c>
      <c r="D13" s="29">
        <f>+'C1_Nucleo Ejecutores'!E10</f>
        <v>2389903.9303390048</v>
      </c>
      <c r="E13" s="29">
        <f>+D13-F13</f>
        <v>1959721.2228779839</v>
      </c>
      <c r="F13" s="29">
        <f>+D13*0.18</f>
        <v>430182.70746102085</v>
      </c>
    </row>
    <row r="14" spans="1:6" s="13" customFormat="1">
      <c r="A14" s="20" t="s">
        <v>43</v>
      </c>
      <c r="B14" s="30" t="s">
        <v>44</v>
      </c>
      <c r="C14" s="10" t="s">
        <v>38</v>
      </c>
      <c r="D14" s="29">
        <f>+'C1_Nucleo Ejecutores'!I10</f>
        <v>4649194.0977234831</v>
      </c>
      <c r="E14" s="29">
        <f>+D14-F14</f>
        <v>3812339.1601332561</v>
      </c>
      <c r="F14" s="29">
        <f>+D14*0.18</f>
        <v>836854.93759022688</v>
      </c>
    </row>
    <row r="15" spans="1:6" s="13" customFormat="1">
      <c r="A15" s="20" t="s">
        <v>45</v>
      </c>
      <c r="B15" s="30" t="s">
        <v>46</v>
      </c>
      <c r="C15" s="10" t="s">
        <v>38</v>
      </c>
      <c r="D15" s="29">
        <v>22965014</v>
      </c>
      <c r="E15" s="29">
        <f>+D15-F15+1046120</f>
        <v>20923551.48</v>
      </c>
      <c r="F15" s="29">
        <f>+(D15*0.18)-1046120</f>
        <v>3087582.52</v>
      </c>
    </row>
    <row r="16" spans="1:6" s="13" customFormat="1">
      <c r="A16" s="20" t="s">
        <v>47</v>
      </c>
      <c r="B16" s="30" t="s">
        <v>48</v>
      </c>
      <c r="C16" s="10" t="s">
        <v>38</v>
      </c>
      <c r="D16" s="29">
        <v>33083907</v>
      </c>
      <c r="E16" s="29">
        <v>26082684</v>
      </c>
      <c r="F16" s="29">
        <v>5955101</v>
      </c>
    </row>
    <row r="17" spans="1:6" s="7" customFormat="1">
      <c r="A17" s="20" t="s">
        <v>49</v>
      </c>
      <c r="B17" s="262" t="s">
        <v>50</v>
      </c>
      <c r="C17" s="262"/>
      <c r="D17" s="6">
        <f t="shared" ref="D17:F17" si="3">SUM(D18:D23)</f>
        <v>4703876.0822356706</v>
      </c>
      <c r="E17" s="6">
        <f t="shared" si="3"/>
        <v>3857178.3874332495</v>
      </c>
      <c r="F17" s="6">
        <f t="shared" si="3"/>
        <v>846697.69480242068</v>
      </c>
    </row>
    <row r="18" spans="1:6" s="13" customFormat="1">
      <c r="A18" s="20" t="s">
        <v>51</v>
      </c>
      <c r="B18" s="30" t="s">
        <v>37</v>
      </c>
      <c r="C18" s="10" t="s">
        <v>38</v>
      </c>
      <c r="D18" s="29">
        <f>+'C1_Contrata'!E41</f>
        <v>657656.34354264394</v>
      </c>
      <c r="E18" s="29">
        <f t="shared" ref="E18:E23" si="4">+D18-F18</f>
        <v>539278.201704968</v>
      </c>
      <c r="F18" s="29">
        <f t="shared" ref="F18:F23" si="5">+D18*0.18</f>
        <v>118378.14183767591</v>
      </c>
    </row>
    <row r="19" spans="1:6" s="13" customFormat="1">
      <c r="A19" s="20" t="s">
        <v>52</v>
      </c>
      <c r="B19" s="30" t="s">
        <v>40</v>
      </c>
      <c r="C19" s="10" t="s">
        <v>38</v>
      </c>
      <c r="D19" s="29">
        <f>+'C1_Contrata'!I41</f>
        <v>918688.39722961199</v>
      </c>
      <c r="E19" s="29">
        <f t="shared" si="4"/>
        <v>753324.48572828178</v>
      </c>
      <c r="F19" s="29">
        <f t="shared" si="5"/>
        <v>165363.91150133015</v>
      </c>
    </row>
    <row r="20" spans="1:6" s="13" customFormat="1">
      <c r="A20" s="20" t="s">
        <v>53</v>
      </c>
      <c r="B20" s="30" t="s">
        <v>42</v>
      </c>
      <c r="C20" s="10" t="s">
        <v>38</v>
      </c>
      <c r="D20" s="29">
        <f>+'C1_Nucleo Ejecutores'!E26</f>
        <v>101592.48033994602</v>
      </c>
      <c r="E20" s="29">
        <f t="shared" si="4"/>
        <v>83305.833878755744</v>
      </c>
      <c r="F20" s="29">
        <f t="shared" si="5"/>
        <v>18286.646461190285</v>
      </c>
    </row>
    <row r="21" spans="1:6" s="13" customFormat="1">
      <c r="A21" s="20" t="s">
        <v>54</v>
      </c>
      <c r="B21" s="30" t="s">
        <v>44</v>
      </c>
      <c r="C21" s="10" t="s">
        <v>38</v>
      </c>
      <c r="D21" s="29">
        <f>+'C1_Nucleo Ejecutores'!I26</f>
        <v>200053.86112346864</v>
      </c>
      <c r="E21" s="29">
        <f t="shared" si="4"/>
        <v>164044.16612124429</v>
      </c>
      <c r="F21" s="29">
        <f t="shared" si="5"/>
        <v>36009.695002224355</v>
      </c>
    </row>
    <row r="22" spans="1:6" s="13" customFormat="1">
      <c r="A22" s="20" t="s">
        <v>55</v>
      </c>
      <c r="B22" s="30" t="s">
        <v>46</v>
      </c>
      <c r="C22" s="10" t="s">
        <v>38</v>
      </c>
      <c r="D22" s="29">
        <v>1130354</v>
      </c>
      <c r="E22" s="29">
        <f t="shared" si="4"/>
        <v>926890.28</v>
      </c>
      <c r="F22" s="29">
        <f t="shared" si="5"/>
        <v>203463.72</v>
      </c>
    </row>
    <row r="23" spans="1:6" s="13" customFormat="1">
      <c r="A23" s="20" t="s">
        <v>56</v>
      </c>
      <c r="B23" s="30" t="s">
        <v>48</v>
      </c>
      <c r="C23" s="10" t="s">
        <v>38</v>
      </c>
      <c r="D23" s="29">
        <v>1695531</v>
      </c>
      <c r="E23" s="29">
        <f t="shared" si="4"/>
        <v>1390335.42</v>
      </c>
      <c r="F23" s="29">
        <f t="shared" si="5"/>
        <v>305195.58</v>
      </c>
    </row>
    <row r="24" spans="1:6" s="7" customFormat="1">
      <c r="A24" s="20" t="s">
        <v>57</v>
      </c>
      <c r="B24" s="262" t="s">
        <v>11</v>
      </c>
      <c r="C24" s="262"/>
      <c r="D24" s="6">
        <f t="shared" ref="D24:F24" si="6">+D25</f>
        <v>1596808</v>
      </c>
      <c r="E24" s="6">
        <f t="shared" si="6"/>
        <v>624176.82926829276</v>
      </c>
      <c r="F24" s="6">
        <f t="shared" si="6"/>
        <v>972631.17073170724</v>
      </c>
    </row>
    <row r="25" spans="1:6" s="13" customFormat="1">
      <c r="A25" s="20" t="s">
        <v>58</v>
      </c>
      <c r="B25" s="30" t="s">
        <v>11</v>
      </c>
      <c r="C25" s="10" t="s">
        <v>38</v>
      </c>
      <c r="D25" s="29">
        <v>1596808</v>
      </c>
      <c r="E25" s="29">
        <f>2047300/C4</f>
        <v>624176.82926829276</v>
      </c>
      <c r="F25" s="29">
        <f>+D25-E25</f>
        <v>972631.17073170724</v>
      </c>
    </row>
    <row r="26" spans="1:6" s="7" customFormat="1">
      <c r="A26" s="20" t="s">
        <v>59</v>
      </c>
      <c r="B26" s="262" t="s">
        <v>60</v>
      </c>
      <c r="C26" s="262"/>
      <c r="D26" s="6">
        <f t="shared" ref="D26:F26" si="7">SUM(D27:D32)</f>
        <v>763996.60310850106</v>
      </c>
      <c r="E26" s="6">
        <f t="shared" si="7"/>
        <v>626477.21454897092</v>
      </c>
      <c r="F26" s="6">
        <f t="shared" si="7"/>
        <v>137519.3885595302</v>
      </c>
    </row>
    <row r="27" spans="1:6" s="13" customFormat="1">
      <c r="A27" s="20" t="s">
        <v>61</v>
      </c>
      <c r="B27" s="30" t="s">
        <v>37</v>
      </c>
      <c r="C27" s="10" t="s">
        <v>38</v>
      </c>
      <c r="D27" s="29">
        <f>+'C1_Contrata'!E72</f>
        <v>273341.09091337916</v>
      </c>
      <c r="E27" s="29">
        <f>+D27-F27</f>
        <v>224139.6945489709</v>
      </c>
      <c r="F27" s="29">
        <f>+D27*0.18</f>
        <v>49201.396364408247</v>
      </c>
    </row>
    <row r="28" spans="1:6" s="13" customFormat="1">
      <c r="A28" s="20" t="s">
        <v>62</v>
      </c>
      <c r="B28" s="30" t="s">
        <v>40</v>
      </c>
      <c r="C28" s="10" t="s">
        <v>38</v>
      </c>
      <c r="D28" s="29">
        <f>+'C1_Contrata'!I72</f>
        <v>0</v>
      </c>
      <c r="E28" s="29">
        <f t="shared" ref="E28:E30" si="8">+D28</f>
        <v>0</v>
      </c>
      <c r="F28" s="29">
        <v>0</v>
      </c>
    </row>
    <row r="29" spans="1:6" s="13" customFormat="1">
      <c r="A29" s="20" t="s">
        <v>63</v>
      </c>
      <c r="B29" s="30" t="s">
        <v>42</v>
      </c>
      <c r="C29" s="10" t="s">
        <v>38</v>
      </c>
      <c r="D29" s="29">
        <f>+'C1_Nucleo Ejecutores'!E42</f>
        <v>81844.512195121977</v>
      </c>
      <c r="E29" s="29">
        <f>+D29-F29</f>
        <v>67112.500000000029</v>
      </c>
      <c r="F29" s="29">
        <f>+D29*0.18</f>
        <v>14732.012195121955</v>
      </c>
    </row>
    <row r="30" spans="1:6" s="13" customFormat="1">
      <c r="A30" s="20" t="s">
        <v>64</v>
      </c>
      <c r="B30" s="30" t="s">
        <v>44</v>
      </c>
      <c r="C30" s="10" t="s">
        <v>38</v>
      </c>
      <c r="D30" s="29">
        <f>+'C1_Nucleo Ejecutores'!I42</f>
        <v>0</v>
      </c>
      <c r="E30" s="29">
        <f t="shared" si="8"/>
        <v>0</v>
      </c>
      <c r="F30" s="29">
        <v>0</v>
      </c>
    </row>
    <row r="31" spans="1:6" s="13" customFormat="1">
      <c r="A31" s="20" t="s">
        <v>65</v>
      </c>
      <c r="B31" s="30" t="s">
        <v>46</v>
      </c>
      <c r="C31" s="10" t="s">
        <v>38</v>
      </c>
      <c r="D31" s="29">
        <v>163524</v>
      </c>
      <c r="E31" s="29">
        <f>+D31-F31</f>
        <v>134089.68</v>
      </c>
      <c r="F31" s="29">
        <f>+D31*0.18</f>
        <v>29434.32</v>
      </c>
    </row>
    <row r="32" spans="1:6" s="13" customFormat="1">
      <c r="A32" s="20" t="s">
        <v>66</v>
      </c>
      <c r="B32" s="30" t="s">
        <v>48</v>
      </c>
      <c r="C32" s="10" t="s">
        <v>38</v>
      </c>
      <c r="D32" s="29">
        <v>245287</v>
      </c>
      <c r="E32" s="29">
        <f>+D32-F32</f>
        <v>201135.34</v>
      </c>
      <c r="F32" s="29">
        <f>+D32*0.18</f>
        <v>44151.659999999996</v>
      </c>
    </row>
    <row r="33" spans="1:6" s="7" customFormat="1">
      <c r="A33" s="20">
        <v>1.2</v>
      </c>
      <c r="B33" s="262" t="s">
        <v>13</v>
      </c>
      <c r="C33" s="262"/>
      <c r="D33" s="6">
        <f t="shared" ref="D33:F33" si="9">+D34+D41+D48+D55</f>
        <v>7749866.5714856759</v>
      </c>
      <c r="E33" s="6">
        <f t="shared" si="9"/>
        <v>6354890.5886182543</v>
      </c>
      <c r="F33" s="6">
        <f t="shared" si="9"/>
        <v>1394975.9828674216</v>
      </c>
    </row>
    <row r="34" spans="1:6" s="7" customFormat="1">
      <c r="A34" s="20" t="s">
        <v>67</v>
      </c>
      <c r="B34" s="262" t="s">
        <v>68</v>
      </c>
      <c r="C34" s="262"/>
      <c r="D34" s="6">
        <f t="shared" ref="D34:F34" si="10">SUM(D35:D40)</f>
        <v>2793291.2044754876</v>
      </c>
      <c r="E34" s="6">
        <f t="shared" si="10"/>
        <v>2290498.7876698999</v>
      </c>
      <c r="F34" s="6">
        <f t="shared" si="10"/>
        <v>502792.41680558783</v>
      </c>
    </row>
    <row r="35" spans="1:6" s="13" customFormat="1">
      <c r="A35" s="20" t="s">
        <v>69</v>
      </c>
      <c r="B35" s="30" t="s">
        <v>37</v>
      </c>
      <c r="C35" s="10" t="s">
        <v>38</v>
      </c>
      <c r="D35" s="29">
        <f>+'C1_Contrata'!E103</f>
        <v>410311.3255815981</v>
      </c>
      <c r="E35" s="29">
        <f t="shared" ref="E35:E40" si="11">+D35-F35</f>
        <v>336455.28697691043</v>
      </c>
      <c r="F35" s="29">
        <f t="shared" ref="F35:F40" si="12">+D35*0.18</f>
        <v>73856.038604687652</v>
      </c>
    </row>
    <row r="36" spans="1:6" s="13" customFormat="1">
      <c r="A36" s="20" t="s">
        <v>70</v>
      </c>
      <c r="B36" s="30" t="s">
        <v>40</v>
      </c>
      <c r="C36" s="10" t="s">
        <v>38</v>
      </c>
      <c r="D36" s="29">
        <f>+'C1_Contrata'!I103</f>
        <v>561852.69722740503</v>
      </c>
      <c r="E36" s="29">
        <f t="shared" si="11"/>
        <v>460719.21172647213</v>
      </c>
      <c r="F36" s="29">
        <f t="shared" si="12"/>
        <v>101133.4855009329</v>
      </c>
    </row>
    <row r="37" spans="1:6" s="13" customFormat="1">
      <c r="A37" s="20" t="s">
        <v>71</v>
      </c>
      <c r="B37" s="30" t="s">
        <v>42</v>
      </c>
      <c r="C37" s="10" t="s">
        <v>38</v>
      </c>
      <c r="D37" s="29">
        <f>+'C1_Nucleo Ejecutores'!E58</f>
        <v>98680.84153657702</v>
      </c>
      <c r="E37" s="29">
        <f t="shared" si="11"/>
        <v>80918.29005999316</v>
      </c>
      <c r="F37" s="29">
        <f t="shared" si="12"/>
        <v>17762.551476583863</v>
      </c>
    </row>
    <row r="38" spans="1:6" s="13" customFormat="1">
      <c r="A38" s="20" t="s">
        <v>72</v>
      </c>
      <c r="B38" s="30" t="s">
        <v>44</v>
      </c>
      <c r="C38" s="10" t="s">
        <v>38</v>
      </c>
      <c r="D38" s="29">
        <f>+'C1_Nucleo Ejecutores'!I58</f>
        <v>208750.64012990773</v>
      </c>
      <c r="E38" s="29">
        <f t="shared" si="11"/>
        <v>171175.52490652434</v>
      </c>
      <c r="F38" s="29">
        <f t="shared" si="12"/>
        <v>37575.115223383393</v>
      </c>
    </row>
    <row r="39" spans="1:6" s="13" customFormat="1">
      <c r="A39" s="20" t="s">
        <v>73</v>
      </c>
      <c r="B39" s="30" t="s">
        <v>46</v>
      </c>
      <c r="C39" s="10" t="s">
        <v>38</v>
      </c>
      <c r="D39" s="29">
        <v>605478.69999999995</v>
      </c>
      <c r="E39" s="29">
        <f t="shared" si="11"/>
        <v>496492.53399999999</v>
      </c>
      <c r="F39" s="29">
        <f t="shared" si="12"/>
        <v>108986.16599999998</v>
      </c>
    </row>
    <row r="40" spans="1:6" s="13" customFormat="1">
      <c r="A40" s="20" t="s">
        <v>74</v>
      </c>
      <c r="B40" s="30" t="s">
        <v>48</v>
      </c>
      <c r="C40" s="10" t="s">
        <v>38</v>
      </c>
      <c r="D40" s="29">
        <v>908217</v>
      </c>
      <c r="E40" s="29">
        <f t="shared" si="11"/>
        <v>744737.94</v>
      </c>
      <c r="F40" s="29">
        <f t="shared" si="12"/>
        <v>163479.06</v>
      </c>
    </row>
    <row r="41" spans="1:6" s="7" customFormat="1">
      <c r="A41" s="20" t="s">
        <v>75</v>
      </c>
      <c r="B41" s="262" t="s">
        <v>76</v>
      </c>
      <c r="C41" s="262"/>
      <c r="D41" s="6">
        <f t="shared" ref="D41:F41" si="13">SUM(D42:D47)</f>
        <v>2517309.7468228946</v>
      </c>
      <c r="E41" s="6">
        <f t="shared" si="13"/>
        <v>2064193.9923947733</v>
      </c>
      <c r="F41" s="6">
        <f t="shared" si="13"/>
        <v>453115.75442812097</v>
      </c>
    </row>
    <row r="42" spans="1:6" s="13" customFormat="1">
      <c r="A42" s="20" t="s">
        <v>77</v>
      </c>
      <c r="B42" s="30" t="s">
        <v>37</v>
      </c>
      <c r="C42" s="10" t="s">
        <v>38</v>
      </c>
      <c r="D42" s="29">
        <f>+'C1_Contrata'!E134</f>
        <v>417620.24100335228</v>
      </c>
      <c r="E42" s="29">
        <f t="shared" ref="E42:E47" si="14">+D42-F42</f>
        <v>342448.59762274887</v>
      </c>
      <c r="F42" s="29">
        <f t="shared" ref="F42:F47" si="15">+D42*0.18</f>
        <v>75171.643380603404</v>
      </c>
    </row>
    <row r="43" spans="1:6" s="13" customFormat="1">
      <c r="A43" s="20" t="s">
        <v>78</v>
      </c>
      <c r="B43" s="30" t="s">
        <v>40</v>
      </c>
      <c r="C43" s="10" t="s">
        <v>38</v>
      </c>
      <c r="D43" s="29">
        <f>+'C1_Contrata'!I134</f>
        <v>574959.85603291553</v>
      </c>
      <c r="E43" s="29">
        <f t="shared" si="14"/>
        <v>471467.08194699074</v>
      </c>
      <c r="F43" s="29">
        <f t="shared" si="15"/>
        <v>103492.77408592479</v>
      </c>
    </row>
    <row r="44" spans="1:6" s="13" customFormat="1">
      <c r="A44" s="20" t="s">
        <v>79</v>
      </c>
      <c r="B44" s="30" t="s">
        <v>42</v>
      </c>
      <c r="C44" s="10" t="s">
        <v>38</v>
      </c>
      <c r="D44" s="29">
        <f>+'C1_Nucleo Ejecutores'!E74</f>
        <v>97742.67672758775</v>
      </c>
      <c r="E44" s="29">
        <f t="shared" si="14"/>
        <v>80148.994916621959</v>
      </c>
      <c r="F44" s="29">
        <f t="shared" si="15"/>
        <v>17593.681810965794</v>
      </c>
    </row>
    <row r="45" spans="1:6" s="13" customFormat="1">
      <c r="A45" s="20" t="s">
        <v>80</v>
      </c>
      <c r="B45" s="30" t="s">
        <v>44</v>
      </c>
      <c r="C45" s="10" t="s">
        <v>38</v>
      </c>
      <c r="D45" s="29">
        <f>+'C1_Nucleo Ejecutores'!I74</f>
        <v>203140.97305903884</v>
      </c>
      <c r="E45" s="29">
        <f t="shared" si="14"/>
        <v>166575.59790841184</v>
      </c>
      <c r="F45" s="29">
        <f t="shared" si="15"/>
        <v>36565.375150626991</v>
      </c>
    </row>
    <row r="46" spans="1:6" s="13" customFormat="1">
      <c r="A46" s="20" t="s">
        <v>81</v>
      </c>
      <c r="B46" s="30" t="s">
        <v>46</v>
      </c>
      <c r="C46" s="10" t="s">
        <v>38</v>
      </c>
      <c r="D46" s="29">
        <v>489538</v>
      </c>
      <c r="E46" s="29">
        <f t="shared" si="14"/>
        <v>401421.16000000003</v>
      </c>
      <c r="F46" s="29">
        <f t="shared" si="15"/>
        <v>88116.84</v>
      </c>
    </row>
    <row r="47" spans="1:6" s="13" customFormat="1">
      <c r="A47" s="20" t="s">
        <v>82</v>
      </c>
      <c r="B47" s="30" t="s">
        <v>48</v>
      </c>
      <c r="C47" s="10" t="s">
        <v>38</v>
      </c>
      <c r="D47" s="29">
        <v>734308</v>
      </c>
      <c r="E47" s="29">
        <f t="shared" si="14"/>
        <v>602132.56000000006</v>
      </c>
      <c r="F47" s="29">
        <f t="shared" si="15"/>
        <v>132175.44</v>
      </c>
    </row>
    <row r="48" spans="1:6" s="7" customFormat="1">
      <c r="A48" s="20" t="s">
        <v>83</v>
      </c>
      <c r="B48" s="262" t="s">
        <v>84</v>
      </c>
      <c r="C48" s="262"/>
      <c r="D48" s="6">
        <f t="shared" ref="D48:F48" si="16">SUM(D49:D54)</f>
        <v>455800.52093694662</v>
      </c>
      <c r="E48" s="6">
        <f t="shared" si="16"/>
        <v>373756.42716829624</v>
      </c>
      <c r="F48" s="6">
        <f t="shared" si="16"/>
        <v>82044.093768650389</v>
      </c>
    </row>
    <row r="49" spans="1:6" s="13" customFormat="1">
      <c r="A49" s="20" t="s">
        <v>85</v>
      </c>
      <c r="B49" s="30" t="s">
        <v>37</v>
      </c>
      <c r="C49" s="10" t="s">
        <v>38</v>
      </c>
      <c r="D49" s="29">
        <v>0</v>
      </c>
      <c r="E49" s="29">
        <f t="shared" ref="E49:E54" si="17">+D49-F49</f>
        <v>0</v>
      </c>
      <c r="F49" s="29">
        <f t="shared" ref="F49:F54" si="18">+D49*0.18</f>
        <v>0</v>
      </c>
    </row>
    <row r="50" spans="1:6" s="13" customFormat="1">
      <c r="A50" s="20" t="s">
        <v>86</v>
      </c>
      <c r="B50" s="30" t="s">
        <v>40</v>
      </c>
      <c r="C50" s="10" t="s">
        <v>38</v>
      </c>
      <c r="D50" s="29">
        <v>0</v>
      </c>
      <c r="E50" s="29">
        <f t="shared" si="17"/>
        <v>0</v>
      </c>
      <c r="F50" s="29">
        <f t="shared" si="18"/>
        <v>0</v>
      </c>
    </row>
    <row r="51" spans="1:6" s="13" customFormat="1">
      <c r="A51" s="20" t="s">
        <v>87</v>
      </c>
      <c r="B51" s="30" t="s">
        <v>42</v>
      </c>
      <c r="C51" s="10" t="s">
        <v>38</v>
      </c>
      <c r="D51" s="29">
        <f>+'C1_Nucleo Ejecutores'!E90</f>
        <v>68823.245839856187</v>
      </c>
      <c r="E51" s="29">
        <f t="shared" si="17"/>
        <v>56435.061588682074</v>
      </c>
      <c r="F51" s="29">
        <f t="shared" si="18"/>
        <v>12388.184251174112</v>
      </c>
    </row>
    <row r="52" spans="1:6" s="13" customFormat="1">
      <c r="A52" s="20" t="s">
        <v>88</v>
      </c>
      <c r="B52" s="30" t="s">
        <v>44</v>
      </c>
      <c r="C52" s="10" t="s">
        <v>38</v>
      </c>
      <c r="D52" s="29">
        <f>+'C1_Nucleo Ejecutores'!I90</f>
        <v>137593.27509709043</v>
      </c>
      <c r="E52" s="29">
        <f t="shared" si="17"/>
        <v>112826.48557961415</v>
      </c>
      <c r="F52" s="29">
        <f t="shared" si="18"/>
        <v>24766.789517476278</v>
      </c>
    </row>
    <row r="53" spans="1:6" s="13" customFormat="1">
      <c r="A53" s="20" t="s">
        <v>89</v>
      </c>
      <c r="B53" s="30" t="s">
        <v>46</v>
      </c>
      <c r="C53" s="10" t="s">
        <v>38</v>
      </c>
      <c r="D53" s="29">
        <v>99754</v>
      </c>
      <c r="E53" s="29">
        <f t="shared" si="17"/>
        <v>81798.28</v>
      </c>
      <c r="F53" s="29">
        <f t="shared" si="18"/>
        <v>17955.719999999998</v>
      </c>
    </row>
    <row r="54" spans="1:6" s="13" customFormat="1">
      <c r="A54" s="20" t="s">
        <v>90</v>
      </c>
      <c r="B54" s="30" t="s">
        <v>48</v>
      </c>
      <c r="C54" s="10" t="s">
        <v>38</v>
      </c>
      <c r="D54" s="29">
        <v>149630</v>
      </c>
      <c r="E54" s="29">
        <f t="shared" si="17"/>
        <v>122696.6</v>
      </c>
      <c r="F54" s="29">
        <f t="shared" si="18"/>
        <v>26933.399999999998</v>
      </c>
    </row>
    <row r="55" spans="1:6" s="7" customFormat="1">
      <c r="A55" s="20" t="s">
        <v>91</v>
      </c>
      <c r="B55" s="262" t="s">
        <v>92</v>
      </c>
      <c r="C55" s="262"/>
      <c r="D55" s="6">
        <f t="shared" ref="D55:F55" si="19">SUM(D56:D61)</f>
        <v>1983465.0992503476</v>
      </c>
      <c r="E55" s="6">
        <f t="shared" si="19"/>
        <v>1626441.3813852849</v>
      </c>
      <c r="F55" s="6">
        <f t="shared" si="19"/>
        <v>357023.71786506253</v>
      </c>
    </row>
    <row r="56" spans="1:6" s="13" customFormat="1">
      <c r="A56" s="20" t="s">
        <v>93</v>
      </c>
      <c r="B56" s="30" t="s">
        <v>37</v>
      </c>
      <c r="C56" s="10" t="s">
        <v>38</v>
      </c>
      <c r="D56" s="29">
        <f>+'C1_Contrata'!E165</f>
        <v>325631.2030046258</v>
      </c>
      <c r="E56" s="29">
        <f t="shared" ref="E56:E61" si="20">+D56-F56</f>
        <v>267017.58646379318</v>
      </c>
      <c r="F56" s="29">
        <f t="shared" ref="F56:F61" si="21">+D56*0.18</f>
        <v>58613.616540832641</v>
      </c>
    </row>
    <row r="57" spans="1:6" s="13" customFormat="1">
      <c r="A57" s="20" t="s">
        <v>94</v>
      </c>
      <c r="B57" s="30" t="s">
        <v>40</v>
      </c>
      <c r="C57" s="10" t="s">
        <v>38</v>
      </c>
      <c r="D57" s="29">
        <f>+'C1_Contrata'!I165</f>
        <v>437786.61815849313</v>
      </c>
      <c r="E57" s="29">
        <f t="shared" si="20"/>
        <v>358985.02688996436</v>
      </c>
      <c r="F57" s="29">
        <f t="shared" si="21"/>
        <v>78801.591268528762</v>
      </c>
    </row>
    <row r="58" spans="1:6" s="13" customFormat="1">
      <c r="A58" s="20" t="s">
        <v>95</v>
      </c>
      <c r="B58" s="30" t="s">
        <v>42</v>
      </c>
      <c r="C58" s="10" t="s">
        <v>38</v>
      </c>
      <c r="D58" s="29">
        <f>+'C1_Nucleo Ejecutores'!E106</f>
        <v>93276.023868197401</v>
      </c>
      <c r="E58" s="29">
        <f t="shared" si="20"/>
        <v>76486.339571921868</v>
      </c>
      <c r="F58" s="29">
        <f t="shared" si="21"/>
        <v>16789.684296275533</v>
      </c>
    </row>
    <row r="59" spans="1:6" s="13" customFormat="1">
      <c r="A59" s="20" t="s">
        <v>96</v>
      </c>
      <c r="B59" s="30" t="s">
        <v>44</v>
      </c>
      <c r="C59" s="10" t="s">
        <v>38</v>
      </c>
      <c r="D59" s="29">
        <f>+'C1_Nucleo Ejecutores'!I106</f>
        <v>190874.25421903117</v>
      </c>
      <c r="E59" s="29">
        <f t="shared" si="20"/>
        <v>156516.88845960557</v>
      </c>
      <c r="F59" s="29">
        <f t="shared" si="21"/>
        <v>34357.365759425607</v>
      </c>
    </row>
    <row r="60" spans="1:6" s="13" customFormat="1">
      <c r="A60" s="20" t="s">
        <v>97</v>
      </c>
      <c r="B60" s="30" t="s">
        <v>46</v>
      </c>
      <c r="C60" s="10" t="s">
        <v>38</v>
      </c>
      <c r="D60" s="29">
        <v>374359</v>
      </c>
      <c r="E60" s="29">
        <f t="shared" si="20"/>
        <v>306974.38</v>
      </c>
      <c r="F60" s="29">
        <f t="shared" si="21"/>
        <v>67384.62</v>
      </c>
    </row>
    <row r="61" spans="1:6" s="13" customFormat="1">
      <c r="A61" s="20" t="s">
        <v>98</v>
      </c>
      <c r="B61" s="30" t="s">
        <v>48</v>
      </c>
      <c r="C61" s="10" t="s">
        <v>38</v>
      </c>
      <c r="D61" s="29">
        <v>561538</v>
      </c>
      <c r="E61" s="29">
        <f t="shared" si="20"/>
        <v>460461.16000000003</v>
      </c>
      <c r="F61" s="29">
        <f t="shared" si="21"/>
        <v>101076.84</v>
      </c>
    </row>
  </sheetData>
  <mergeCells count="6">
    <mergeCell ref="B8:C8"/>
    <mergeCell ref="B2:F2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6"/>
  <sheetViews>
    <sheetView zoomScale="91" zoomScaleNormal="91" workbookViewId="0" xr3:uid="{842E5F09-E766-5B8D-85AF-A39847EA96FD}">
      <selection activeCell="B24" sqref="B24"/>
    </sheetView>
  </sheetViews>
  <sheetFormatPr defaultColWidth="11.42578125" defaultRowHeight="11.25"/>
  <cols>
    <col min="1" max="1" width="5.7109375" style="20" bestFit="1" customWidth="1"/>
    <col min="2" max="2" width="94.42578125" style="241" bestFit="1" customWidth="1"/>
    <col min="3" max="3" width="10.5703125" style="5" bestFit="1" customWidth="1"/>
    <col min="4" max="4" width="11.5703125" style="5" bestFit="1" customWidth="1"/>
    <col min="5" max="5" width="11.28515625" style="5" bestFit="1" customWidth="1"/>
    <col min="6" max="6" width="11" style="5" bestFit="1" customWidth="1"/>
    <col min="7" max="16384" width="11.42578125" style="5"/>
  </cols>
  <sheetData>
    <row r="1" spans="1:6" s="27" customFormat="1" ht="12.75">
      <c r="A1" s="19"/>
      <c r="B1" s="2"/>
      <c r="C1" s="2"/>
      <c r="D1" s="3"/>
      <c r="E1" s="3"/>
      <c r="F1" s="3"/>
    </row>
    <row r="2" spans="1:6" s="27" customFormat="1" ht="12.75">
      <c r="A2" s="19"/>
      <c r="B2" s="269" t="s">
        <v>99</v>
      </c>
      <c r="C2" s="269"/>
      <c r="D2" s="269"/>
      <c r="E2" s="269"/>
      <c r="F2" s="269"/>
    </row>
    <row r="3" spans="1:6" s="27" customFormat="1" ht="12.75">
      <c r="A3" s="19"/>
      <c r="B3" s="2"/>
      <c r="C3" s="2"/>
      <c r="D3" s="3"/>
      <c r="E3" s="3"/>
      <c r="F3" s="3"/>
    </row>
    <row r="4" spans="1:6" s="27" customFormat="1" ht="12.75">
      <c r="A4" s="19"/>
      <c r="B4" s="2" t="s">
        <v>29</v>
      </c>
      <c r="C4" s="4">
        <v>3.28</v>
      </c>
      <c r="D4" s="3"/>
      <c r="E4" s="3"/>
      <c r="F4" s="100"/>
    </row>
    <row r="5" spans="1:6" s="27" customFormat="1" ht="12.75">
      <c r="A5" s="19"/>
      <c r="B5" s="2"/>
      <c r="C5" s="2"/>
      <c r="D5" s="3"/>
      <c r="E5" s="3"/>
      <c r="F5" s="100"/>
    </row>
    <row r="6" spans="1:6" ht="15" customHeight="1">
      <c r="B6" s="270" t="s">
        <v>3</v>
      </c>
      <c r="C6" s="270" t="s">
        <v>30</v>
      </c>
      <c r="D6" s="270" t="s">
        <v>31</v>
      </c>
      <c r="E6" s="270" t="s">
        <v>32</v>
      </c>
      <c r="F6" s="270"/>
    </row>
    <row r="7" spans="1:6" ht="21" customHeight="1">
      <c r="B7" s="270"/>
      <c r="C7" s="270"/>
      <c r="D7" s="270"/>
      <c r="E7" s="263" t="s">
        <v>4</v>
      </c>
      <c r="F7" s="263" t="s">
        <v>5</v>
      </c>
    </row>
    <row r="8" spans="1:6" s="7" customFormat="1" ht="12" customHeight="1">
      <c r="A8" s="20">
        <v>2</v>
      </c>
      <c r="B8" s="178" t="s">
        <v>100</v>
      </c>
      <c r="C8" s="177"/>
      <c r="D8" s="6">
        <f t="shared" ref="D8:F8" si="0">SUM(D9:D15)</f>
        <v>6274743.7073170738</v>
      </c>
      <c r="E8" s="6">
        <f t="shared" si="0"/>
        <v>5145289.8400000008</v>
      </c>
      <c r="F8" s="6">
        <f t="shared" si="0"/>
        <v>1129453.8673170733</v>
      </c>
    </row>
    <row r="9" spans="1:6" s="13" customFormat="1">
      <c r="A9" s="20">
        <v>2.1</v>
      </c>
      <c r="B9" s="240" t="s">
        <v>19</v>
      </c>
      <c r="C9" s="10" t="s">
        <v>38</v>
      </c>
      <c r="D9" s="29">
        <f>+'C2_Gob Regionales'!G26</f>
        <v>350859.32926829276</v>
      </c>
      <c r="E9" s="29">
        <f t="shared" ref="E9:E15" si="1">+D9-F9</f>
        <v>287704.65000000008</v>
      </c>
      <c r="F9" s="29">
        <f t="shared" ref="F9:F15" si="2">+D9*0.18</f>
        <v>63154.679268292697</v>
      </c>
    </row>
    <row r="10" spans="1:6" s="13" customFormat="1">
      <c r="A10" s="20">
        <v>2.2000000000000002</v>
      </c>
      <c r="B10" s="240" t="s">
        <v>20</v>
      </c>
      <c r="C10" s="10" t="s">
        <v>38</v>
      </c>
      <c r="D10" s="29">
        <f>+'C2_Gob Locales'!G38</f>
        <v>1454299.6341463416</v>
      </c>
      <c r="E10" s="29">
        <f t="shared" si="1"/>
        <v>1192525.7000000002</v>
      </c>
      <c r="F10" s="29">
        <f t="shared" si="2"/>
        <v>261773.93414634149</v>
      </c>
    </row>
    <row r="11" spans="1:6" s="13" customFormat="1">
      <c r="A11" s="20">
        <v>2.2999999999999998</v>
      </c>
      <c r="B11" s="240" t="s">
        <v>21</v>
      </c>
      <c r="C11" s="10" t="s">
        <v>38</v>
      </c>
      <c r="D11" s="29">
        <f>+'C2-Equi JASS'!E15</f>
        <v>492691.46341463417</v>
      </c>
      <c r="E11" s="29">
        <f t="shared" si="1"/>
        <v>404007</v>
      </c>
      <c r="F11" s="29">
        <f>+D11*0.18</f>
        <v>88684.463414634141</v>
      </c>
    </row>
    <row r="12" spans="1:6" s="13" customFormat="1">
      <c r="A12" s="20">
        <v>2.4</v>
      </c>
      <c r="B12" s="240" t="s">
        <v>22</v>
      </c>
      <c r="C12" s="10" t="s">
        <v>38</v>
      </c>
      <c r="D12" s="29">
        <f>+'C2-Super Sostenib'!G24</f>
        <v>1999999.6097560979</v>
      </c>
      <c r="E12" s="29">
        <f t="shared" si="1"/>
        <v>1639999.6800000002</v>
      </c>
      <c r="F12" s="29">
        <f t="shared" si="2"/>
        <v>359999.92975609761</v>
      </c>
    </row>
    <row r="13" spans="1:6" s="13" customFormat="1">
      <c r="A13" s="20">
        <v>2.6</v>
      </c>
      <c r="B13" s="240" t="s">
        <v>23</v>
      </c>
      <c r="C13" s="10" t="s">
        <v>38</v>
      </c>
      <c r="D13" s="29">
        <f>+'C2-Comunicacion'!F20</f>
        <v>345076.21951219515</v>
      </c>
      <c r="E13" s="29">
        <f t="shared" si="1"/>
        <v>282962.5</v>
      </c>
      <c r="F13" s="29">
        <f t="shared" si="2"/>
        <v>62113.719512195123</v>
      </c>
    </row>
    <row r="14" spans="1:6" s="13" customFormat="1">
      <c r="A14" s="20">
        <v>2.7</v>
      </c>
      <c r="B14" s="240" t="s">
        <v>24</v>
      </c>
      <c r="C14" s="10" t="s">
        <v>38</v>
      </c>
      <c r="D14" s="29">
        <f>+'C2 - PNSR'!F11</f>
        <v>843498.30487804883</v>
      </c>
      <c r="E14" s="29">
        <f t="shared" si="1"/>
        <v>691668.6100000001</v>
      </c>
      <c r="F14" s="29">
        <f t="shared" si="2"/>
        <v>151829.69487804879</v>
      </c>
    </row>
    <row r="15" spans="1:6" s="13" customFormat="1">
      <c r="A15" s="20">
        <v>2.8</v>
      </c>
      <c r="B15" s="240" t="s">
        <v>25</v>
      </c>
      <c r="C15" s="10" t="s">
        <v>38</v>
      </c>
      <c r="D15" s="29">
        <f>+'C2-Oper Asistida'!G20</f>
        <v>788319.14634146355</v>
      </c>
      <c r="E15" s="29">
        <f t="shared" si="1"/>
        <v>646421.70000000019</v>
      </c>
      <c r="F15" s="29">
        <f t="shared" si="2"/>
        <v>141897.44634146342</v>
      </c>
    </row>
    <row r="16" spans="1:6">
      <c r="D16" s="231"/>
    </row>
  </sheetData>
  <mergeCells count="5">
    <mergeCell ref="B2:F2"/>
    <mergeCell ref="B6:B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95"/>
  <sheetViews>
    <sheetView topLeftCell="C5" zoomScale="75" zoomScaleNormal="75" workbookViewId="0" xr3:uid="{51F8DEE0-4D01-5F28-A812-FC0BD7CAC4A5}">
      <pane ySplit="5" topLeftCell="A10" activePane="bottomLeft" state="frozen"/>
      <selection pane="bottomLeft" activeCell="O19" sqref="O19"/>
      <selection activeCell="C5" sqref="C5"/>
    </sheetView>
  </sheetViews>
  <sheetFormatPr defaultColWidth="11.42578125" defaultRowHeight="11.25"/>
  <cols>
    <col min="1" max="1" width="7.140625" style="20" customWidth="1"/>
    <col min="2" max="2" width="39.7109375" style="5" bestFit="1" customWidth="1"/>
    <col min="3" max="3" width="12" style="5" bestFit="1" customWidth="1"/>
    <col min="4" max="4" width="12.5703125" style="5" customWidth="1"/>
    <col min="5" max="5" width="13.28515625" style="5" customWidth="1"/>
    <col min="6" max="6" width="12.7109375" style="5" bestFit="1" customWidth="1"/>
    <col min="7" max="7" width="11.28515625" style="5" customWidth="1"/>
    <col min="8" max="8" width="12.28515625" style="5" customWidth="1"/>
    <col min="9" max="9" width="12.7109375" style="5" customWidth="1"/>
    <col min="10" max="10" width="12.85546875" style="5" bestFit="1" customWidth="1"/>
    <col min="11" max="11" width="12.140625" style="5" bestFit="1" customWidth="1"/>
    <col min="12" max="16384" width="11.42578125" style="5"/>
  </cols>
  <sheetData>
    <row r="1" spans="1:11" s="27" customFormat="1" ht="12.75">
      <c r="A1" s="19"/>
      <c r="C1" s="2"/>
      <c r="D1" s="2"/>
      <c r="E1" s="3"/>
      <c r="F1" s="3"/>
      <c r="G1" s="3"/>
      <c r="H1" s="2"/>
      <c r="I1" s="3"/>
      <c r="J1" s="3"/>
      <c r="K1" s="3"/>
    </row>
    <row r="2" spans="1:11" s="27" customFormat="1" ht="12.75">
      <c r="A2" s="19"/>
      <c r="B2" s="269" t="s">
        <v>101</v>
      </c>
      <c r="C2" s="269"/>
      <c r="D2" s="269"/>
      <c r="E2" s="269"/>
      <c r="F2" s="269"/>
      <c r="G2" s="269"/>
    </row>
    <row r="3" spans="1:11" s="27" customFormat="1" ht="12.75">
      <c r="A3" s="19"/>
      <c r="C3" s="2"/>
      <c r="D3" s="2"/>
      <c r="E3" s="3"/>
      <c r="F3" s="3"/>
      <c r="G3" s="3"/>
      <c r="H3" s="2"/>
      <c r="I3" s="3"/>
      <c r="J3" s="3"/>
      <c r="K3" s="3"/>
    </row>
    <row r="4" spans="1:11" s="27" customFormat="1" ht="12.75">
      <c r="A4" s="19"/>
      <c r="B4" s="2" t="s">
        <v>29</v>
      </c>
      <c r="C4" s="63">
        <v>3.28</v>
      </c>
      <c r="F4" s="3"/>
      <c r="G4" s="3"/>
      <c r="J4" s="3"/>
      <c r="K4" s="3"/>
    </row>
    <row r="5" spans="1:11" s="27" customFormat="1" ht="12.75">
      <c r="A5" s="19"/>
      <c r="C5" s="2"/>
      <c r="D5" s="2"/>
      <c r="E5" s="3"/>
      <c r="F5" s="3"/>
      <c r="G5" s="3"/>
      <c r="H5" s="2"/>
      <c r="I5" s="3"/>
      <c r="J5" s="3"/>
      <c r="K5" s="3"/>
    </row>
    <row r="6" spans="1:11" ht="27" customHeight="1">
      <c r="B6" s="270" t="s">
        <v>3</v>
      </c>
      <c r="C6" s="270" t="s">
        <v>30</v>
      </c>
      <c r="D6" s="271" t="s">
        <v>102</v>
      </c>
      <c r="E6" s="272"/>
      <c r="F6" s="272"/>
      <c r="G6" s="273"/>
      <c r="H6" s="271" t="s">
        <v>103</v>
      </c>
      <c r="I6" s="272"/>
      <c r="J6" s="272"/>
      <c r="K6" s="273"/>
    </row>
    <row r="7" spans="1:11">
      <c r="B7" s="270"/>
      <c r="C7" s="270"/>
      <c r="D7" s="263" t="s">
        <v>104</v>
      </c>
      <c r="E7" s="263" t="s">
        <v>105</v>
      </c>
      <c r="F7" s="263" t="s">
        <v>4</v>
      </c>
      <c r="G7" s="263" t="s">
        <v>5</v>
      </c>
      <c r="H7" s="264" t="s">
        <v>104</v>
      </c>
      <c r="I7" s="264" t="s">
        <v>105</v>
      </c>
      <c r="J7" s="263" t="s">
        <v>4</v>
      </c>
      <c r="K7" s="263" t="s">
        <v>5</v>
      </c>
    </row>
    <row r="8" spans="1:11" s="7" customFormat="1">
      <c r="A8" s="20">
        <v>1</v>
      </c>
      <c r="B8" s="274" t="s">
        <v>106</v>
      </c>
      <c r="C8" s="275"/>
      <c r="D8" s="60">
        <f>+D9</f>
        <v>57485108.151646659</v>
      </c>
      <c r="E8" s="60">
        <f t="shared" ref="E8" si="0">+E9</f>
        <v>17525947.607209351</v>
      </c>
      <c r="F8" s="60">
        <f t="shared" ref="F8:K8" si="1">+F9</f>
        <v>14371277.037911667</v>
      </c>
      <c r="G8" s="60">
        <f t="shared" si="1"/>
        <v>3154670.569297682</v>
      </c>
      <c r="H8" s="60">
        <f t="shared" si="1"/>
        <v>77515300.392872393</v>
      </c>
      <c r="I8" s="60">
        <f t="shared" si="1"/>
        <v>23632713.534412317</v>
      </c>
      <c r="J8" s="60">
        <f t="shared" si="1"/>
        <v>19378825.098218098</v>
      </c>
      <c r="K8" s="60">
        <f t="shared" si="1"/>
        <v>4253888.4361942168</v>
      </c>
    </row>
    <row r="9" spans="1:11" s="7" customFormat="1">
      <c r="A9" s="20">
        <v>1.1000000000000001</v>
      </c>
      <c r="B9" s="43" t="s">
        <v>107</v>
      </c>
      <c r="C9" s="43"/>
      <c r="D9" s="59">
        <f t="shared" ref="D9:K9" si="2">+D10+D41+D72+D103+D134+D165</f>
        <v>57485108.151646659</v>
      </c>
      <c r="E9" s="59">
        <f t="shared" si="2"/>
        <v>17525947.607209351</v>
      </c>
      <c r="F9" s="59">
        <f t="shared" si="2"/>
        <v>14371277.037911667</v>
      </c>
      <c r="G9" s="59">
        <f t="shared" si="2"/>
        <v>3154670.569297682</v>
      </c>
      <c r="H9" s="59">
        <f t="shared" si="2"/>
        <v>77515300.392872393</v>
      </c>
      <c r="I9" s="59">
        <f t="shared" si="2"/>
        <v>23632713.534412317</v>
      </c>
      <c r="J9" s="59">
        <f t="shared" si="2"/>
        <v>19378825.098218098</v>
      </c>
      <c r="K9" s="59">
        <f t="shared" si="2"/>
        <v>4253888.4361942168</v>
      </c>
    </row>
    <row r="10" spans="1:11" s="7" customFormat="1">
      <c r="A10" s="20" t="s">
        <v>34</v>
      </c>
      <c r="B10" s="44" t="s">
        <v>108</v>
      </c>
      <c r="C10" s="44"/>
      <c r="D10" s="54">
        <f t="shared" ref="D10:K10" si="3">SUM(D11:D40)</f>
        <v>50647750.6823771</v>
      </c>
      <c r="E10" s="54">
        <f t="shared" si="3"/>
        <v>15441387.403163752</v>
      </c>
      <c r="F10" s="54">
        <f t="shared" si="3"/>
        <v>12661937.670594277</v>
      </c>
      <c r="G10" s="54">
        <f t="shared" si="3"/>
        <v>2779449.7325694747</v>
      </c>
      <c r="H10" s="54">
        <f t="shared" si="3"/>
        <v>69337317.167705551</v>
      </c>
      <c r="I10" s="54">
        <f t="shared" si="3"/>
        <v>21139425.965763893</v>
      </c>
      <c r="J10" s="54">
        <f t="shared" si="3"/>
        <v>17334329.291926388</v>
      </c>
      <c r="K10" s="54">
        <f t="shared" si="3"/>
        <v>3805096.6738374992</v>
      </c>
    </row>
    <row r="11" spans="1:11" s="7" customFormat="1">
      <c r="A11" s="20" t="s">
        <v>36</v>
      </c>
      <c r="B11" s="39" t="s">
        <v>109</v>
      </c>
      <c r="C11" s="10" t="s">
        <v>38</v>
      </c>
      <c r="D11" s="146">
        <f>+'[1]Datos de los PIPS'!I19</f>
        <v>2107461.863579527</v>
      </c>
      <c r="E11" s="11">
        <f t="shared" ref="E11:E40" si="4">+D11/$C$4</f>
        <v>642518.8608474168</v>
      </c>
      <c r="F11" s="11">
        <f>+E11-G11</f>
        <v>526865.46589488175</v>
      </c>
      <c r="G11" s="29">
        <f>+E11*0.18</f>
        <v>115653.39495253502</v>
      </c>
      <c r="H11" s="146">
        <f>+'[1]Datos de los PIPS'!L19</f>
        <v>2949734.0042204731</v>
      </c>
      <c r="I11" s="11">
        <f t="shared" ref="I11:I40" si="5">+H11/$C$4</f>
        <v>899309.14762819302</v>
      </c>
      <c r="J11" s="11">
        <f t="shared" ref="J11:J71" si="6">+I11-K11</f>
        <v>737433.50105511828</v>
      </c>
      <c r="K11" s="29">
        <f t="shared" ref="K11" si="7">+I11*0.18</f>
        <v>161875.64657307474</v>
      </c>
    </row>
    <row r="12" spans="1:11" s="13" customFormat="1">
      <c r="A12" s="20" t="s">
        <v>39</v>
      </c>
      <c r="B12" s="39" t="s">
        <v>110</v>
      </c>
      <c r="C12" s="10" t="s">
        <v>38</v>
      </c>
      <c r="D12" s="42">
        <f>+'[1]Datos de los PIPS'!I20</f>
        <v>1651403.6457771643</v>
      </c>
      <c r="E12" s="11">
        <f t="shared" si="4"/>
        <v>503476.72127352573</v>
      </c>
      <c r="F12" s="11">
        <f t="shared" ref="F12:F40" si="8">+E12-G12</f>
        <v>412850.91144429112</v>
      </c>
      <c r="G12" s="29">
        <f t="shared" ref="G12:G39" si="9">+E12*0.18</f>
        <v>90625.809829234626</v>
      </c>
      <c r="H12" s="42">
        <f>+'[1]Datos de los PIPS'!L20</f>
        <v>1607774.629944365</v>
      </c>
      <c r="I12" s="11">
        <f t="shared" si="5"/>
        <v>490175.19205620885</v>
      </c>
      <c r="J12" s="11">
        <f t="shared" si="6"/>
        <v>401943.65748609125</v>
      </c>
      <c r="K12" s="29">
        <f t="shared" ref="K12:K40" si="10">+I12*0.18</f>
        <v>88231.534570117583</v>
      </c>
    </row>
    <row r="13" spans="1:11" s="13" customFormat="1">
      <c r="A13" s="20" t="s">
        <v>41</v>
      </c>
      <c r="B13" s="39" t="s">
        <v>111</v>
      </c>
      <c r="C13" s="10" t="s">
        <v>38</v>
      </c>
      <c r="D13" s="42">
        <f>+'[1]Datos de los PIPS'!I21</f>
        <v>2937916.1701381039</v>
      </c>
      <c r="E13" s="11">
        <f t="shared" si="4"/>
        <v>895706.14943234879</v>
      </c>
      <c r="F13" s="11">
        <f t="shared" si="8"/>
        <v>734479.04253452597</v>
      </c>
      <c r="G13" s="29">
        <f t="shared" si="9"/>
        <v>161227.10689782278</v>
      </c>
      <c r="H13" s="42">
        <f>+'[1]Datos de los PIPS'!L21</f>
        <v>4015286.5522618955</v>
      </c>
      <c r="I13" s="11">
        <f t="shared" si="5"/>
        <v>1224172.7293481389</v>
      </c>
      <c r="J13" s="11">
        <f t="shared" si="6"/>
        <v>1003821.6380654739</v>
      </c>
      <c r="K13" s="29">
        <f t="shared" si="10"/>
        <v>220351.091282665</v>
      </c>
    </row>
    <row r="14" spans="1:11" s="13" customFormat="1">
      <c r="A14" s="20" t="s">
        <v>43</v>
      </c>
      <c r="B14" s="39" t="s">
        <v>112</v>
      </c>
      <c r="C14" s="10" t="s">
        <v>38</v>
      </c>
      <c r="D14" s="42">
        <f>+'[1]Datos de los PIPS'!I22</f>
        <v>1691989.9446904284</v>
      </c>
      <c r="E14" s="11">
        <f t="shared" si="4"/>
        <v>515850.59289342334</v>
      </c>
      <c r="F14" s="11">
        <f t="shared" si="8"/>
        <v>422997.48617260717</v>
      </c>
      <c r="G14" s="29">
        <f t="shared" si="9"/>
        <v>92853.106720816199</v>
      </c>
      <c r="H14" s="42">
        <f>+'[1]Datos de los PIPS'!L22</f>
        <v>2876553.8929095715</v>
      </c>
      <c r="I14" s="11">
        <f t="shared" si="5"/>
        <v>876998.13808218646</v>
      </c>
      <c r="J14" s="11">
        <f t="shared" si="6"/>
        <v>719138.47322739288</v>
      </c>
      <c r="K14" s="29">
        <f t="shared" si="10"/>
        <v>157859.66485479355</v>
      </c>
    </row>
    <row r="15" spans="1:11" s="13" customFormat="1">
      <c r="A15" s="20" t="s">
        <v>45</v>
      </c>
      <c r="B15" s="39" t="s">
        <v>113</v>
      </c>
      <c r="C15" s="10" t="s">
        <v>38</v>
      </c>
      <c r="D15" s="42">
        <f>+'[1]Datos de los PIPS'!I23</f>
        <v>1387660.2491566394</v>
      </c>
      <c r="E15" s="11">
        <f t="shared" si="4"/>
        <v>423067.14913312183</v>
      </c>
      <c r="F15" s="11">
        <f t="shared" si="8"/>
        <v>346915.06228915992</v>
      </c>
      <c r="G15" s="29">
        <f t="shared" si="9"/>
        <v>76152.086843961923</v>
      </c>
      <c r="H15" s="42">
        <f>+'[1]Datos de los PIPS'!L23</f>
        <v>2459192.0459590508</v>
      </c>
      <c r="I15" s="11">
        <f t="shared" si="5"/>
        <v>749753.67254849116</v>
      </c>
      <c r="J15" s="11">
        <f t="shared" si="6"/>
        <v>614798.01148976269</v>
      </c>
      <c r="K15" s="29">
        <f t="shared" si="10"/>
        <v>134955.66105872841</v>
      </c>
    </row>
    <row r="16" spans="1:11" s="13" customFormat="1">
      <c r="A16" s="20" t="s">
        <v>47</v>
      </c>
      <c r="B16" s="39" t="s">
        <v>114</v>
      </c>
      <c r="C16" s="10" t="s">
        <v>38</v>
      </c>
      <c r="D16" s="42">
        <f>+'[1]Datos de los PIPS'!I24</f>
        <v>2018396.6917658346</v>
      </c>
      <c r="E16" s="11">
        <f t="shared" si="4"/>
        <v>615364.84505055938</v>
      </c>
      <c r="F16" s="11">
        <f t="shared" si="8"/>
        <v>504599.1729414587</v>
      </c>
      <c r="G16" s="29">
        <f t="shared" si="9"/>
        <v>110765.67210910069</v>
      </c>
      <c r="H16" s="42">
        <f>+'[1]Datos de los PIPS'!L24</f>
        <v>2296074.4533332903</v>
      </c>
      <c r="I16" s="11">
        <f t="shared" si="5"/>
        <v>700022.69918697875</v>
      </c>
      <c r="J16" s="11">
        <f t="shared" si="6"/>
        <v>574018.61333332257</v>
      </c>
      <c r="K16" s="29">
        <f t="shared" si="10"/>
        <v>126004.08585365617</v>
      </c>
    </row>
    <row r="17" spans="1:11" s="13" customFormat="1">
      <c r="A17" s="20" t="s">
        <v>115</v>
      </c>
      <c r="B17" s="39" t="s">
        <v>116</v>
      </c>
      <c r="C17" s="10" t="s">
        <v>38</v>
      </c>
      <c r="D17" s="42">
        <f>+'[1]Datos de los PIPS'!I31</f>
        <v>1469972.4847313957</v>
      </c>
      <c r="E17" s="11">
        <f t="shared" si="4"/>
        <v>448162.34290591336</v>
      </c>
      <c r="F17" s="11">
        <f t="shared" si="8"/>
        <v>367493.12118284893</v>
      </c>
      <c r="G17" s="29">
        <f t="shared" si="9"/>
        <v>80669.221723064402</v>
      </c>
      <c r="H17" s="42">
        <f>+'[1]Datos de los PIPS'!L31</f>
        <v>2368779.2308686045</v>
      </c>
      <c r="I17" s="11">
        <f t="shared" si="5"/>
        <v>722188.78989896481</v>
      </c>
      <c r="J17" s="11">
        <f t="shared" si="6"/>
        <v>592194.80771715112</v>
      </c>
      <c r="K17" s="29">
        <f t="shared" si="10"/>
        <v>129993.98218181366</v>
      </c>
    </row>
    <row r="18" spans="1:11" s="13" customFormat="1">
      <c r="A18" s="20" t="s">
        <v>117</v>
      </c>
      <c r="B18" s="39" t="s">
        <v>118</v>
      </c>
      <c r="C18" s="10" t="s">
        <v>38</v>
      </c>
      <c r="D18" s="42">
        <f>+'[1]Datos de los PIPS'!I33</f>
        <v>2864650.7234911053</v>
      </c>
      <c r="E18" s="11">
        <f t="shared" si="4"/>
        <v>873369.12301558093</v>
      </c>
      <c r="F18" s="11">
        <f t="shared" si="8"/>
        <v>716162.68087277631</v>
      </c>
      <c r="G18" s="29">
        <f t="shared" si="9"/>
        <v>157206.44214280456</v>
      </c>
      <c r="H18" s="146">
        <f>+'[1]Datos de los PIPS'!L33</f>
        <v>2540106.1629127944</v>
      </c>
      <c r="I18" s="11">
        <f t="shared" si="5"/>
        <v>774422.6106441447</v>
      </c>
      <c r="J18" s="11">
        <f t="shared" si="6"/>
        <v>635026.5407281986</v>
      </c>
      <c r="K18" s="29">
        <f t="shared" si="10"/>
        <v>139396.06991594605</v>
      </c>
    </row>
    <row r="19" spans="1:11" s="13" customFormat="1">
      <c r="A19" s="20" t="s">
        <v>119</v>
      </c>
      <c r="B19" s="39" t="s">
        <v>120</v>
      </c>
      <c r="C19" s="10" t="s">
        <v>38</v>
      </c>
      <c r="D19" s="146">
        <f>+'[1]Datos de los PIPS'!I34</f>
        <v>1413940.1656145074</v>
      </c>
      <c r="E19" s="8">
        <f t="shared" si="4"/>
        <v>431079.31878491084</v>
      </c>
      <c r="F19" s="11">
        <f t="shared" si="8"/>
        <v>353485.04140362691</v>
      </c>
      <c r="G19" s="29">
        <f t="shared" si="9"/>
        <v>77594.277381283944</v>
      </c>
      <c r="H19" s="42">
        <f>+'[1]Datos de los PIPS'!L34</f>
        <v>1538048.6084331064</v>
      </c>
      <c r="I19" s="11">
        <f t="shared" si="5"/>
        <v>468917.25866863003</v>
      </c>
      <c r="J19" s="11">
        <f t="shared" si="6"/>
        <v>384512.15210827661</v>
      </c>
      <c r="K19" s="29">
        <f t="shared" si="10"/>
        <v>84405.106560353408</v>
      </c>
    </row>
    <row r="20" spans="1:11" s="13" customFormat="1">
      <c r="A20" s="20" t="s">
        <v>121</v>
      </c>
      <c r="B20" s="39" t="s">
        <v>122</v>
      </c>
      <c r="C20" s="10" t="s">
        <v>38</v>
      </c>
      <c r="D20" s="146">
        <f>+'[1]Datos de los PIPS'!I36</f>
        <v>1948756.4067975576</v>
      </c>
      <c r="E20" s="11">
        <f t="shared" si="4"/>
        <v>594133.05085291399</v>
      </c>
      <c r="F20" s="11">
        <f t="shared" si="8"/>
        <v>487189.10169938946</v>
      </c>
      <c r="G20" s="29">
        <f t="shared" si="9"/>
        <v>106943.94915352452</v>
      </c>
      <c r="H20" s="42">
        <f>+'[1]Datos de los PIPS'!L36</f>
        <v>2381681.5202024425</v>
      </c>
      <c r="I20" s="11">
        <f t="shared" si="5"/>
        <v>726122.41469586664</v>
      </c>
      <c r="J20" s="11">
        <f t="shared" si="6"/>
        <v>595420.38005061063</v>
      </c>
      <c r="K20" s="29">
        <f t="shared" si="10"/>
        <v>130702.03464525599</v>
      </c>
    </row>
    <row r="21" spans="1:11" s="13" customFormat="1">
      <c r="A21" s="20" t="s">
        <v>123</v>
      </c>
      <c r="B21" s="39" t="s">
        <v>124</v>
      </c>
      <c r="C21" s="10" t="s">
        <v>38</v>
      </c>
      <c r="D21" s="42">
        <f>+'[1]Datos de los PIPS'!I65</f>
        <v>1236907.7222732026</v>
      </c>
      <c r="E21" s="11">
        <f>+D21/$C$4</f>
        <v>377106.01288817154</v>
      </c>
      <c r="F21" s="11">
        <f>+E21-G21</f>
        <v>309226.93056830065</v>
      </c>
      <c r="G21" s="29">
        <f>+E21*0.18</f>
        <v>67879.082319870868</v>
      </c>
      <c r="H21" s="42">
        <f>+'[1]Datos de los PIPS'!L65</f>
        <v>1979481.8677267977</v>
      </c>
      <c r="I21" s="11">
        <f>+H21/$C$4</f>
        <v>603500.56942890177</v>
      </c>
      <c r="J21" s="11">
        <f>+I21-K21</f>
        <v>494870.46693169943</v>
      </c>
      <c r="K21" s="29">
        <f>+I21*0.18</f>
        <v>108630.10249720232</v>
      </c>
    </row>
    <row r="22" spans="1:11" s="13" customFormat="1">
      <c r="A22" s="20" t="s">
        <v>125</v>
      </c>
      <c r="B22" s="30" t="s">
        <v>126</v>
      </c>
      <c r="C22" s="10" t="s">
        <v>38</v>
      </c>
      <c r="D22" s="146">
        <f>+'[1]Datos de los PIPS'!I44</f>
        <v>1689405.3606284894</v>
      </c>
      <c r="E22" s="11">
        <f t="shared" si="4"/>
        <v>515062.60994771024</v>
      </c>
      <c r="F22" s="11">
        <f t="shared" si="8"/>
        <v>422351.34015712241</v>
      </c>
      <c r="G22" s="29">
        <f t="shared" si="9"/>
        <v>92711.269790587845</v>
      </c>
      <c r="H22" s="42">
        <f>+'[1]Datos de los PIPS'!L44</f>
        <v>3168582.966171511</v>
      </c>
      <c r="I22" s="11">
        <f t="shared" si="5"/>
        <v>966031.39212546067</v>
      </c>
      <c r="J22" s="11">
        <f t="shared" si="6"/>
        <v>792145.74154287775</v>
      </c>
      <c r="K22" s="29">
        <f t="shared" si="10"/>
        <v>173885.65058258292</v>
      </c>
    </row>
    <row r="23" spans="1:11" s="13" customFormat="1">
      <c r="A23" s="20" t="s">
        <v>127</v>
      </c>
      <c r="B23" s="30" t="s">
        <v>128</v>
      </c>
      <c r="C23" s="10" t="s">
        <v>38</v>
      </c>
      <c r="D23" s="146">
        <f>+'[1]Datos de los PIPS'!I57</f>
        <v>1923807.9750195551</v>
      </c>
      <c r="E23" s="11">
        <f t="shared" si="4"/>
        <v>586526.82165230345</v>
      </c>
      <c r="F23" s="11">
        <f t="shared" si="8"/>
        <v>480951.99375488883</v>
      </c>
      <c r="G23" s="29">
        <f t="shared" si="9"/>
        <v>105574.82789741462</v>
      </c>
      <c r="H23" s="175">
        <f>+'[1]Datos de los PIPS'!L57</f>
        <v>1957098.8511804449</v>
      </c>
      <c r="I23" s="11">
        <f t="shared" si="5"/>
        <v>596676.47901842836</v>
      </c>
      <c r="J23" s="11">
        <f t="shared" si="6"/>
        <v>489274.71279511123</v>
      </c>
      <c r="K23" s="29">
        <f t="shared" si="10"/>
        <v>107401.7662233171</v>
      </c>
    </row>
    <row r="24" spans="1:11" s="13" customFormat="1">
      <c r="A24" s="20" t="s">
        <v>129</v>
      </c>
      <c r="B24" s="30" t="s">
        <v>130</v>
      </c>
      <c r="C24" s="10" t="s">
        <v>38</v>
      </c>
      <c r="D24" s="146">
        <f>+'[1]Datos de los PIPS'!I58</f>
        <v>1075185.3382819206</v>
      </c>
      <c r="E24" s="8">
        <f t="shared" si="4"/>
        <v>327800.40801278071</v>
      </c>
      <c r="F24" s="11">
        <f t="shared" si="8"/>
        <v>268796.33457048016</v>
      </c>
      <c r="G24" s="29">
        <f t="shared" si="9"/>
        <v>59004.073442300527</v>
      </c>
      <c r="H24" s="146">
        <f>+'[1]Datos de los PIPS'!L58</f>
        <v>2478742.5240982152</v>
      </c>
      <c r="I24" s="11">
        <f t="shared" si="5"/>
        <v>755714.18417628517</v>
      </c>
      <c r="J24" s="11">
        <f t="shared" si="6"/>
        <v>619685.63102455391</v>
      </c>
      <c r="K24" s="29">
        <f t="shared" si="10"/>
        <v>136028.55315173132</v>
      </c>
    </row>
    <row r="25" spans="1:11" s="13" customFormat="1">
      <c r="A25" s="20" t="s">
        <v>131</v>
      </c>
      <c r="B25" s="30" t="s">
        <v>132</v>
      </c>
      <c r="C25" s="10" t="s">
        <v>38</v>
      </c>
      <c r="D25" s="146">
        <f>+'[1]Datos de los PIPS'!I59</f>
        <v>1085475.1470032732</v>
      </c>
      <c r="E25" s="11">
        <f t="shared" si="4"/>
        <v>330937.54481807112</v>
      </c>
      <c r="F25" s="11">
        <f t="shared" si="8"/>
        <v>271368.78675081831</v>
      </c>
      <c r="G25" s="29">
        <f t="shared" si="9"/>
        <v>59568.758067252798</v>
      </c>
      <c r="H25" s="42">
        <f>+'[1]Datos de los PIPS'!L59</f>
        <v>1891798.304974657</v>
      </c>
      <c r="I25" s="11">
        <f t="shared" si="5"/>
        <v>576767.77590690763</v>
      </c>
      <c r="J25" s="11">
        <f t="shared" si="6"/>
        <v>472949.57624366425</v>
      </c>
      <c r="K25" s="29">
        <f t="shared" si="10"/>
        <v>103818.19966324337</v>
      </c>
    </row>
    <row r="26" spans="1:11" s="13" customFormat="1">
      <c r="A26" s="20" t="s">
        <v>133</v>
      </c>
      <c r="B26" s="30" t="s">
        <v>134</v>
      </c>
      <c r="C26" s="10" t="s">
        <v>38</v>
      </c>
      <c r="D26" s="146">
        <f>+'[1]Datos de los PIPS'!I60</f>
        <v>1715826.4568953258</v>
      </c>
      <c r="E26" s="11">
        <f t="shared" si="4"/>
        <v>523117.82222418475</v>
      </c>
      <c r="F26" s="11">
        <f t="shared" si="8"/>
        <v>428956.61422383151</v>
      </c>
      <c r="G26" s="29">
        <f t="shared" si="9"/>
        <v>94161.208000353246</v>
      </c>
      <c r="H26" s="42">
        <f>+'[1]Datos de los PIPS'!L60</f>
        <v>2349765.8155046743</v>
      </c>
      <c r="I26" s="11">
        <f t="shared" si="5"/>
        <v>716392.01692215691</v>
      </c>
      <c r="J26" s="11">
        <f t="shared" si="6"/>
        <v>587441.4538761687</v>
      </c>
      <c r="K26" s="29">
        <f t="shared" si="10"/>
        <v>128950.56304598824</v>
      </c>
    </row>
    <row r="27" spans="1:11" s="13" customFormat="1">
      <c r="A27" s="20" t="s">
        <v>135</v>
      </c>
      <c r="B27" s="30" t="s">
        <v>136</v>
      </c>
      <c r="C27" s="10" t="s">
        <v>38</v>
      </c>
      <c r="D27" s="146">
        <f>+'[1]Datos de los PIPS'!I61</f>
        <v>1483713.4126535626</v>
      </c>
      <c r="E27" s="11">
        <f t="shared" si="4"/>
        <v>452351.6501992569</v>
      </c>
      <c r="F27" s="11">
        <f t="shared" si="8"/>
        <v>370928.35316339065</v>
      </c>
      <c r="G27" s="29">
        <f t="shared" si="9"/>
        <v>81423.297035866242</v>
      </c>
      <c r="H27" s="42">
        <f>+'[1]Datos de los PIPS'!L61</f>
        <v>2840178.8657350778</v>
      </c>
      <c r="I27" s="11">
        <f t="shared" si="5"/>
        <v>865908.19077288965</v>
      </c>
      <c r="J27" s="11">
        <f t="shared" si="6"/>
        <v>710044.71643376956</v>
      </c>
      <c r="K27" s="29">
        <f t="shared" si="10"/>
        <v>155863.47433912012</v>
      </c>
    </row>
    <row r="28" spans="1:11" s="13" customFormat="1">
      <c r="A28" s="20" t="s">
        <v>137</v>
      </c>
      <c r="B28" s="30" t="s">
        <v>138</v>
      </c>
      <c r="C28" s="10" t="s">
        <v>38</v>
      </c>
      <c r="D28" s="146">
        <f>+'[1]Datos de los PIPS'!I62</f>
        <v>1205546.8875469856</v>
      </c>
      <c r="E28" s="8">
        <f t="shared" si="4"/>
        <v>367544.78278871515</v>
      </c>
      <c r="F28" s="11">
        <f t="shared" si="8"/>
        <v>301386.72188674641</v>
      </c>
      <c r="G28" s="29">
        <f t="shared" si="9"/>
        <v>66158.060901968725</v>
      </c>
      <c r="H28" s="146">
        <f>+'[1]Datos de los PIPS'!L62</f>
        <v>1969623.2494530142</v>
      </c>
      <c r="I28" s="11">
        <f t="shared" si="5"/>
        <v>600494.89312591904</v>
      </c>
      <c r="J28" s="11">
        <f t="shared" si="6"/>
        <v>492405.81236325362</v>
      </c>
      <c r="K28" s="29">
        <f t="shared" si="10"/>
        <v>108089.08076266543</v>
      </c>
    </row>
    <row r="29" spans="1:11" s="13" customFormat="1">
      <c r="A29" s="20" t="s">
        <v>139</v>
      </c>
      <c r="B29" s="30" t="s">
        <v>140</v>
      </c>
      <c r="C29" s="10" t="s">
        <v>38</v>
      </c>
      <c r="D29" s="146">
        <f>+'[1]Datos de los PIPS'!I63</f>
        <v>1365731.0374369058</v>
      </c>
      <c r="E29" s="11">
        <f t="shared" si="4"/>
        <v>416381.41385271522</v>
      </c>
      <c r="F29" s="11">
        <f t="shared" si="8"/>
        <v>341432.7593592265</v>
      </c>
      <c r="G29" s="29">
        <f t="shared" si="9"/>
        <v>74948.654493488735</v>
      </c>
      <c r="H29" s="42">
        <f>+'[1]Datos de los PIPS'!L63</f>
        <v>1605134.6982205044</v>
      </c>
      <c r="I29" s="11">
        <f t="shared" si="5"/>
        <v>489370.33482332458</v>
      </c>
      <c r="J29" s="11">
        <f t="shared" si="6"/>
        <v>401283.67455512617</v>
      </c>
      <c r="K29" s="29">
        <f t="shared" si="10"/>
        <v>88086.660268198422</v>
      </c>
    </row>
    <row r="30" spans="1:11" s="13" customFormat="1">
      <c r="A30" s="20" t="s">
        <v>141</v>
      </c>
      <c r="B30" s="30" t="s">
        <v>142</v>
      </c>
      <c r="C30" s="10" t="s">
        <v>38</v>
      </c>
      <c r="D30" s="146">
        <f>+'[1]Datos de los PIPS'!I64</f>
        <v>953205.24968597945</v>
      </c>
      <c r="E30" s="11">
        <f t="shared" si="4"/>
        <v>290611.35661157913</v>
      </c>
      <c r="F30" s="11">
        <f t="shared" si="8"/>
        <v>238301.31242149489</v>
      </c>
      <c r="G30" s="29">
        <f t="shared" si="9"/>
        <v>52310.044190084242</v>
      </c>
      <c r="H30" s="42">
        <f>+'[1]Datos de los PIPS'!L64</f>
        <v>1450647.6095140206</v>
      </c>
      <c r="I30" s="11">
        <f t="shared" si="5"/>
        <v>442270.61265671364</v>
      </c>
      <c r="J30" s="11">
        <f t="shared" si="6"/>
        <v>362661.90237850521</v>
      </c>
      <c r="K30" s="29">
        <f t="shared" si="10"/>
        <v>79608.710278208455</v>
      </c>
    </row>
    <row r="31" spans="1:11" s="13" customFormat="1">
      <c r="A31" s="20" t="s">
        <v>143</v>
      </c>
      <c r="B31" s="30" t="s">
        <v>144</v>
      </c>
      <c r="C31" s="10" t="s">
        <v>38</v>
      </c>
      <c r="D31" s="42">
        <f>+'[1]Datos de los PIPS'!I69</f>
        <v>3706853.4936145558</v>
      </c>
      <c r="E31" s="8">
        <f t="shared" si="4"/>
        <v>1130138.2602483402</v>
      </c>
      <c r="F31" s="11">
        <f t="shared" si="8"/>
        <v>926713.37340363895</v>
      </c>
      <c r="G31" s="29">
        <f t="shared" si="9"/>
        <v>203424.88684470122</v>
      </c>
      <c r="H31" s="146">
        <f>+'[1]Datos de los PIPS'!L69</f>
        <v>2311720.2931854445</v>
      </c>
      <c r="I31" s="11">
        <f t="shared" si="5"/>
        <v>704792.77231263556</v>
      </c>
      <c r="J31" s="11">
        <f t="shared" si="6"/>
        <v>577930.07329636114</v>
      </c>
      <c r="K31" s="29">
        <f t="shared" si="10"/>
        <v>126862.69901627439</v>
      </c>
    </row>
    <row r="32" spans="1:11" s="13" customFormat="1">
      <c r="A32" s="20" t="s">
        <v>145</v>
      </c>
      <c r="B32" s="30" t="s">
        <v>146</v>
      </c>
      <c r="C32" s="10" t="s">
        <v>38</v>
      </c>
      <c r="D32" s="42">
        <f>+'[1]Datos de los PIPS'!I78</f>
        <v>980955.0944267367</v>
      </c>
      <c r="E32" s="11">
        <f t="shared" si="4"/>
        <v>299071.67513010267</v>
      </c>
      <c r="F32" s="11">
        <f t="shared" si="8"/>
        <v>245238.77360668418</v>
      </c>
      <c r="G32" s="29">
        <f t="shared" si="9"/>
        <v>53832.901523418477</v>
      </c>
      <c r="H32" s="42">
        <f>+'[1]Datos de los PIPS'!L78</f>
        <v>2070398.885573263</v>
      </c>
      <c r="I32" s="11">
        <f t="shared" si="5"/>
        <v>631219.17243087292</v>
      </c>
      <c r="J32" s="11">
        <f t="shared" si="6"/>
        <v>517599.72139331582</v>
      </c>
      <c r="K32" s="29">
        <f t="shared" si="10"/>
        <v>113619.45103755713</v>
      </c>
    </row>
    <row r="33" spans="1:11" s="13" customFormat="1">
      <c r="A33" s="20" t="s">
        <v>147</v>
      </c>
      <c r="B33" s="39" t="s">
        <v>148</v>
      </c>
      <c r="C33" s="10" t="s">
        <v>38</v>
      </c>
      <c r="D33" s="42">
        <f>+'[1]Datos de los PIPS'!I79</f>
        <v>952067.78586623678</v>
      </c>
      <c r="E33" s="11">
        <f t="shared" si="4"/>
        <v>290264.56886165758</v>
      </c>
      <c r="F33" s="11">
        <f t="shared" si="8"/>
        <v>238016.94646655922</v>
      </c>
      <c r="G33" s="29">
        <f t="shared" si="9"/>
        <v>52247.622395098362</v>
      </c>
      <c r="H33" s="42">
        <f>+'[1]Datos de los PIPS'!L79</f>
        <v>1919037.8459094828</v>
      </c>
      <c r="I33" s="11">
        <f t="shared" si="5"/>
        <v>585072.51399679354</v>
      </c>
      <c r="J33" s="11">
        <f t="shared" si="6"/>
        <v>479759.4614773707</v>
      </c>
      <c r="K33" s="29">
        <f t="shared" si="10"/>
        <v>105313.05251942284</v>
      </c>
    </row>
    <row r="34" spans="1:11" s="13" customFormat="1">
      <c r="A34" s="20" t="s">
        <v>149</v>
      </c>
      <c r="B34" s="39" t="s">
        <v>150</v>
      </c>
      <c r="C34" s="10" t="s">
        <v>38</v>
      </c>
      <c r="D34" s="42">
        <f>+'[1]Datos de los PIPS'!I80</f>
        <v>1721995.910783974</v>
      </c>
      <c r="E34" s="8">
        <f t="shared" si="4"/>
        <v>524998.75328779698</v>
      </c>
      <c r="F34" s="11">
        <f t="shared" si="8"/>
        <v>430498.9776959935</v>
      </c>
      <c r="G34" s="29">
        <f t="shared" si="9"/>
        <v>94499.775591803453</v>
      </c>
      <c r="H34" s="146">
        <f>+'[1]Datos de los PIPS'!L80</f>
        <v>1841671.9193309688</v>
      </c>
      <c r="I34" s="11">
        <f t="shared" si="5"/>
        <v>561485.34125944169</v>
      </c>
      <c r="J34" s="11">
        <f t="shared" si="6"/>
        <v>460417.97983274219</v>
      </c>
      <c r="K34" s="29">
        <f t="shared" si="10"/>
        <v>101067.3614266995</v>
      </c>
    </row>
    <row r="35" spans="1:11" s="13" customFormat="1">
      <c r="A35" s="20" t="s">
        <v>151</v>
      </c>
      <c r="B35" s="39" t="s">
        <v>152</v>
      </c>
      <c r="C35" s="10" t="s">
        <v>38</v>
      </c>
      <c r="D35" s="42">
        <f>+'[1]Datos de los PIPS'!I95</f>
        <v>1739580.4297139687</v>
      </c>
      <c r="E35" s="11">
        <f t="shared" si="4"/>
        <v>530359.88710791734</v>
      </c>
      <c r="F35" s="11">
        <f t="shared" si="8"/>
        <v>434895.10742849222</v>
      </c>
      <c r="G35" s="29">
        <f t="shared" si="9"/>
        <v>95464.779679425119</v>
      </c>
      <c r="H35" s="42">
        <f>+'[1]Datos de los PIPS'!L95</f>
        <v>1071003.7738860315</v>
      </c>
      <c r="I35" s="11">
        <f t="shared" si="5"/>
        <v>326525.54081891204</v>
      </c>
      <c r="J35" s="11">
        <f t="shared" si="6"/>
        <v>267750.94347150787</v>
      </c>
      <c r="K35" s="29">
        <f t="shared" si="10"/>
        <v>58774.597347404168</v>
      </c>
    </row>
    <row r="36" spans="1:11" s="13" customFormat="1">
      <c r="A36" s="20" t="s">
        <v>153</v>
      </c>
      <c r="B36" s="39" t="s">
        <v>154</v>
      </c>
      <c r="C36" s="10" t="s">
        <v>38</v>
      </c>
      <c r="D36" s="42">
        <f>+'[1]Datos de los PIPS'!I96</f>
        <v>3061499.0098598641</v>
      </c>
      <c r="E36" s="11">
        <f t="shared" si="4"/>
        <v>933383.84446947079</v>
      </c>
      <c r="F36" s="11">
        <f t="shared" si="8"/>
        <v>765374.75246496603</v>
      </c>
      <c r="G36" s="29">
        <f t="shared" si="9"/>
        <v>168009.09200450472</v>
      </c>
      <c r="H36" s="42">
        <f>+'[1]Datos de los PIPS'!L96</f>
        <v>4322218.9599401355</v>
      </c>
      <c r="I36" s="11">
        <f t="shared" si="5"/>
        <v>1317749.6829085781</v>
      </c>
      <c r="J36" s="11">
        <f t="shared" si="6"/>
        <v>1080554.7399850341</v>
      </c>
      <c r="K36" s="29">
        <f t="shared" si="10"/>
        <v>237194.94292354403</v>
      </c>
    </row>
    <row r="37" spans="1:11" s="13" customFormat="1">
      <c r="A37" s="20" t="s">
        <v>155</v>
      </c>
      <c r="B37" s="39" t="s">
        <v>156</v>
      </c>
      <c r="C37" s="10" t="s">
        <v>38</v>
      </c>
      <c r="D37" s="42">
        <f>+'[1]Datos de los PIPS'!I97</f>
        <v>1018300.5957756448</v>
      </c>
      <c r="E37" s="8">
        <f t="shared" si="4"/>
        <v>310457.49871208682</v>
      </c>
      <c r="F37" s="11">
        <f t="shared" si="8"/>
        <v>254575.14894391119</v>
      </c>
      <c r="G37" s="29">
        <f t="shared" si="9"/>
        <v>55882.349768175627</v>
      </c>
      <c r="H37" s="146">
        <f>+'[1]Datos de los PIPS'!L97</f>
        <v>1772585.5610243552</v>
      </c>
      <c r="I37" s="11">
        <f t="shared" si="5"/>
        <v>540422.42714157177</v>
      </c>
      <c r="J37" s="11">
        <f t="shared" si="6"/>
        <v>443146.39025608887</v>
      </c>
      <c r="K37" s="29">
        <f t="shared" si="10"/>
        <v>97276.036885482914</v>
      </c>
    </row>
    <row r="38" spans="1:11" s="13" customFormat="1">
      <c r="A38" s="20" t="s">
        <v>157</v>
      </c>
      <c r="B38" s="39" t="s">
        <v>158</v>
      </c>
      <c r="C38" s="10" t="s">
        <v>38</v>
      </c>
      <c r="D38" s="42">
        <f>+'[1]Datos de los PIPS'!I98</f>
        <v>1312095.3251282598</v>
      </c>
      <c r="E38" s="11">
        <f t="shared" si="4"/>
        <v>400029.06253910362</v>
      </c>
      <c r="F38" s="11">
        <f t="shared" si="8"/>
        <v>328023.83128206496</v>
      </c>
      <c r="G38" s="29">
        <f t="shared" si="9"/>
        <v>72005.231257038642</v>
      </c>
      <c r="H38" s="42">
        <f>+'[1]Datos de los PIPS'!L98</f>
        <v>2081305.8880717405</v>
      </c>
      <c r="I38" s="11">
        <f t="shared" si="5"/>
        <v>634544.47807065258</v>
      </c>
      <c r="J38" s="11">
        <f t="shared" si="6"/>
        <v>520326.47201793513</v>
      </c>
      <c r="K38" s="29">
        <f t="shared" si="10"/>
        <v>114218.00605271746</v>
      </c>
    </row>
    <row r="39" spans="1:11" s="13" customFormat="1">
      <c r="A39" s="20" t="s">
        <v>159</v>
      </c>
      <c r="B39" s="39" t="s">
        <v>160</v>
      </c>
      <c r="C39" s="10" t="s">
        <v>38</v>
      </c>
      <c r="D39" s="42">
        <f>+'[1]Datos de los PIPS'!I99</f>
        <v>1233297.0431042949</v>
      </c>
      <c r="E39" s="11">
        <f t="shared" si="4"/>
        <v>376005.19606838265</v>
      </c>
      <c r="F39" s="11">
        <f t="shared" si="8"/>
        <v>308324.26077607379</v>
      </c>
      <c r="G39" s="29">
        <f t="shared" si="9"/>
        <v>67680.935292308874</v>
      </c>
      <c r="H39" s="42">
        <f>+'[1]Datos de los PIPS'!L99</f>
        <v>2404477.9456957052</v>
      </c>
      <c r="I39" s="11">
        <f t="shared" si="5"/>
        <v>733072.5444194224</v>
      </c>
      <c r="J39" s="11">
        <f t="shared" si="6"/>
        <v>601119.48642392643</v>
      </c>
      <c r="K39" s="29">
        <f t="shared" si="10"/>
        <v>131953.05799549603</v>
      </c>
    </row>
    <row r="40" spans="1:11" s="13" customFormat="1">
      <c r="A40" s="20" t="s">
        <v>161</v>
      </c>
      <c r="B40" s="39" t="s">
        <v>162</v>
      </c>
      <c r="C40" s="10" t="s">
        <v>38</v>
      </c>
      <c r="D40" s="42">
        <f>+'[1]Datos de los PIPS'!I102</f>
        <v>1694153.0609360947</v>
      </c>
      <c r="E40" s="8">
        <f t="shared" si="4"/>
        <v>516510.07955368742</v>
      </c>
      <c r="F40" s="11">
        <f t="shared" si="8"/>
        <v>423538.26523402368</v>
      </c>
      <c r="G40" s="29">
        <f t="shared" ref="G40" si="11">+E40*0.18</f>
        <v>92971.814319663739</v>
      </c>
      <c r="H40" s="146">
        <f>+'[1]Datos de los PIPS'!L102</f>
        <v>2818610.2414639052</v>
      </c>
      <c r="I40" s="11">
        <f t="shared" si="5"/>
        <v>859332.39069021505</v>
      </c>
      <c r="J40" s="11">
        <f t="shared" si="6"/>
        <v>704652.5603659763</v>
      </c>
      <c r="K40" s="29">
        <f t="shared" si="10"/>
        <v>154679.83032423869</v>
      </c>
    </row>
    <row r="41" spans="1:11" s="7" customFormat="1">
      <c r="A41" s="20" t="s">
        <v>49</v>
      </c>
      <c r="B41" s="44" t="s">
        <v>163</v>
      </c>
      <c r="C41" s="44"/>
      <c r="D41" s="54">
        <f t="shared" ref="D41:K41" si="12">SUM(D42:D71)</f>
        <v>2157112.8068198725</v>
      </c>
      <c r="E41" s="54">
        <f t="shared" si="12"/>
        <v>657656.34354264394</v>
      </c>
      <c r="F41" s="54">
        <f t="shared" si="12"/>
        <v>539278.20170496812</v>
      </c>
      <c r="G41" s="54">
        <f t="shared" si="12"/>
        <v>118378.14183767592</v>
      </c>
      <c r="H41" s="54">
        <f t="shared" si="12"/>
        <v>3013297.9429131271</v>
      </c>
      <c r="I41" s="54">
        <f t="shared" si="12"/>
        <v>918688.39722961199</v>
      </c>
      <c r="J41" s="54">
        <f t="shared" si="12"/>
        <v>753324.48572828178</v>
      </c>
      <c r="K41" s="54">
        <f t="shared" si="12"/>
        <v>165363.91150133018</v>
      </c>
    </row>
    <row r="42" spans="1:11" s="7" customFormat="1">
      <c r="A42" s="20" t="s">
        <v>51</v>
      </c>
      <c r="B42" s="30" t="s">
        <v>109</v>
      </c>
      <c r="C42" s="10" t="s">
        <v>38</v>
      </c>
      <c r="D42" s="146">
        <f>+'[1]Datos de los PIPS'!Q19*'[1]Datos de los PIPS'!N19</f>
        <v>80379.649626319777</v>
      </c>
      <c r="E42" s="8">
        <f t="shared" ref="E42:E71" si="13">+D42/$C$4</f>
        <v>24505.990739731642</v>
      </c>
      <c r="F42" s="11">
        <f t="shared" ref="F42:F105" si="14">+E42-G42</f>
        <v>20094.912406579948</v>
      </c>
      <c r="G42" s="29">
        <f t="shared" ref="G42" si="15">+E42*0.18</f>
        <v>4411.078333151695</v>
      </c>
      <c r="H42" s="146">
        <f>+'[1]Datos de los PIPS'!Q19*'[1]Datos de los PIPS'!O19</f>
        <v>112504.33037368022</v>
      </c>
      <c r="I42" s="11">
        <f t="shared" ref="I42:I71" si="16">+H42/$C$4</f>
        <v>34300.100723682997</v>
      </c>
      <c r="J42" s="11">
        <f t="shared" si="6"/>
        <v>28126.082593420058</v>
      </c>
      <c r="K42" s="29">
        <f t="shared" ref="K42:K71" si="17">+I42*0.18</f>
        <v>6174.0181302629389</v>
      </c>
    </row>
    <row r="43" spans="1:11" s="13" customFormat="1">
      <c r="A43" s="20" t="s">
        <v>52</v>
      </c>
      <c r="B43" s="30" t="s">
        <v>110</v>
      </c>
      <c r="C43" s="10" t="s">
        <v>38</v>
      </c>
      <c r="D43" s="146">
        <f>+'[1]Datos de los PIPS'!Q20*'[1]Datos de los PIPS'!N20</f>
        <v>65719.994927973778</v>
      </c>
      <c r="E43" s="8">
        <f t="shared" si="13"/>
        <v>20036.583819504202</v>
      </c>
      <c r="F43" s="11">
        <f t="shared" si="14"/>
        <v>16429.998731993444</v>
      </c>
      <c r="G43" s="29">
        <f t="shared" ref="G43:G71" si="18">+E43*0.18</f>
        <v>3606.5850875107562</v>
      </c>
      <c r="H43" s="146">
        <f>+'[1]Datos de los PIPS'!Q20*'[1]Datos de los PIPS'!O20</f>
        <v>63983.715184026209</v>
      </c>
      <c r="I43" s="11">
        <f t="shared" si="16"/>
        <v>19507.230239032382</v>
      </c>
      <c r="J43" s="11">
        <f t="shared" si="6"/>
        <v>15995.928796006554</v>
      </c>
      <c r="K43" s="29">
        <f t="shared" si="17"/>
        <v>3511.3014430258286</v>
      </c>
    </row>
    <row r="44" spans="1:11" s="13" customFormat="1">
      <c r="A44" s="20" t="s">
        <v>53</v>
      </c>
      <c r="B44" s="30" t="s">
        <v>111</v>
      </c>
      <c r="C44" s="10" t="s">
        <v>38</v>
      </c>
      <c r="D44" s="146">
        <f>+'[1]Datos de los PIPS'!Q21*'[1]Datos de los PIPS'!N21</f>
        <v>94175.890166854224</v>
      </c>
      <c r="E44" s="8">
        <f t="shared" si="13"/>
        <v>28712.161636236047</v>
      </c>
      <c r="F44" s="11">
        <f t="shared" si="14"/>
        <v>23543.97254171356</v>
      </c>
      <c r="G44" s="29">
        <f t="shared" si="18"/>
        <v>5168.1890945224886</v>
      </c>
      <c r="H44" s="146">
        <f>+'[1]Datos de los PIPS'!Q21*'[1]Datos de los PIPS'!O21</f>
        <v>128711.35983314578</v>
      </c>
      <c r="I44" s="11">
        <f t="shared" si="16"/>
        <v>39241.268241812737</v>
      </c>
      <c r="J44" s="11">
        <f t="shared" si="6"/>
        <v>32177.839958286444</v>
      </c>
      <c r="K44" s="29">
        <f t="shared" si="17"/>
        <v>7063.428283526292</v>
      </c>
    </row>
    <row r="45" spans="1:11" s="13" customFormat="1">
      <c r="A45" s="20" t="s">
        <v>54</v>
      </c>
      <c r="B45" s="30" t="s">
        <v>112</v>
      </c>
      <c r="C45" s="10" t="s">
        <v>38</v>
      </c>
      <c r="D45" s="146">
        <f>+'[1]Datos de los PIPS'!Q22*'[1]Datos de los PIPS'!N22</f>
        <v>71435.837381242178</v>
      </c>
      <c r="E45" s="8">
        <f t="shared" si="13"/>
        <v>21779.218713793347</v>
      </c>
      <c r="F45" s="11">
        <f t="shared" si="14"/>
        <v>17858.959345310544</v>
      </c>
      <c r="G45" s="29">
        <f t="shared" si="18"/>
        <v>3920.2593684828025</v>
      </c>
      <c r="H45" s="146">
        <f>+'[1]Datos de los PIPS'!Q22*'[1]Datos de los PIPS'!O22</f>
        <v>121448.14261875782</v>
      </c>
      <c r="I45" s="11">
        <f t="shared" si="16"/>
        <v>37026.872749621289</v>
      </c>
      <c r="J45" s="11">
        <f t="shared" si="6"/>
        <v>30362.035654689458</v>
      </c>
      <c r="K45" s="29">
        <f t="shared" si="17"/>
        <v>6664.8370949318314</v>
      </c>
    </row>
    <row r="46" spans="1:11" s="13" customFormat="1">
      <c r="A46" s="20" t="s">
        <v>55</v>
      </c>
      <c r="B46" s="30" t="s">
        <v>113</v>
      </c>
      <c r="C46" s="10" t="s">
        <v>38</v>
      </c>
      <c r="D46" s="146">
        <f>+'[1]Datos de los PIPS'!Q23*'[1]Datos de los PIPS'!N23</f>
        <v>46787.521038716048</v>
      </c>
      <c r="E46" s="8">
        <f t="shared" si="13"/>
        <v>14264.488121559771</v>
      </c>
      <c r="F46" s="11">
        <f t="shared" si="14"/>
        <v>11696.880259679012</v>
      </c>
      <c r="G46" s="29">
        <f t="shared" si="18"/>
        <v>2567.6078618807587</v>
      </c>
      <c r="H46" s="146">
        <f>+'[1]Datos de los PIPS'!Q23*'[1]Datos de los PIPS'!O23</f>
        <v>82916.189073283967</v>
      </c>
      <c r="I46" s="11">
        <f t="shared" si="16"/>
        <v>25279.32593697682</v>
      </c>
      <c r="J46" s="11">
        <f t="shared" si="6"/>
        <v>20729.047268320992</v>
      </c>
      <c r="K46" s="29">
        <f t="shared" si="17"/>
        <v>4550.2786686558275</v>
      </c>
    </row>
    <row r="47" spans="1:11" s="13" customFormat="1">
      <c r="A47" s="20" t="s">
        <v>56</v>
      </c>
      <c r="B47" s="30" t="s">
        <v>114</v>
      </c>
      <c r="C47" s="10" t="s">
        <v>38</v>
      </c>
      <c r="D47" s="146">
        <f>+'[1]Datos de los PIPS'!Q24*'[1]Datos de los PIPS'!N24</f>
        <v>72668.114048874137</v>
      </c>
      <c r="E47" s="8">
        <f t="shared" si="13"/>
        <v>22154.912819778703</v>
      </c>
      <c r="F47" s="11">
        <f t="shared" si="14"/>
        <v>18167.028512218538</v>
      </c>
      <c r="G47" s="29">
        <f t="shared" si="18"/>
        <v>3987.8843075601662</v>
      </c>
      <c r="H47" s="146">
        <f>+'[1]Datos de los PIPS'!O24*'[1]Datos de los PIPS'!Q24</f>
        <v>82665.315951125842</v>
      </c>
      <c r="I47" s="11">
        <f t="shared" si="16"/>
        <v>25202.840229001784</v>
      </c>
      <c r="J47" s="11">
        <f t="shared" si="6"/>
        <v>20666.328987781464</v>
      </c>
      <c r="K47" s="29">
        <f t="shared" si="17"/>
        <v>4536.5112412203207</v>
      </c>
    </row>
    <row r="48" spans="1:11" s="13" customFormat="1">
      <c r="A48" s="20" t="s">
        <v>164</v>
      </c>
      <c r="B48" s="30" t="s">
        <v>116</v>
      </c>
      <c r="C48" s="10" t="s">
        <v>38</v>
      </c>
      <c r="D48" s="146">
        <f>+'[1]Datos de los PIPS'!Q31*'[1]Datos de los PIPS'!N31</f>
        <v>73861.026800261345</v>
      </c>
      <c r="E48" s="8">
        <f t="shared" si="13"/>
        <v>22518.605731786996</v>
      </c>
      <c r="F48" s="11">
        <f t="shared" si="14"/>
        <v>18465.256700065336</v>
      </c>
      <c r="G48" s="29">
        <f t="shared" si="18"/>
        <v>4053.3490317216592</v>
      </c>
      <c r="H48" s="146">
        <f>+'[1]Datos de los PIPS'!Q31*'[1]Datos de los PIPS'!O31</f>
        <v>119022.95319973867</v>
      </c>
      <c r="I48" s="11">
        <f t="shared" si="16"/>
        <v>36287.485731627647</v>
      </c>
      <c r="J48" s="11">
        <f t="shared" si="6"/>
        <v>29755.73829993467</v>
      </c>
      <c r="K48" s="29">
        <f t="shared" si="17"/>
        <v>6531.7474316929765</v>
      </c>
    </row>
    <row r="49" spans="1:11" s="13" customFormat="1">
      <c r="A49" s="20" t="s">
        <v>165</v>
      </c>
      <c r="B49" s="30" t="s">
        <v>118</v>
      </c>
      <c r="C49" s="10" t="s">
        <v>38</v>
      </c>
      <c r="D49" s="146">
        <f>+'[1]Datos de los PIPS'!Q33*'[1]Datos de los PIPS'!N33</f>
        <v>81447.183413754901</v>
      </c>
      <c r="E49" s="8">
        <f t="shared" si="13"/>
        <v>24831.458357852105</v>
      </c>
      <c r="F49" s="11">
        <f t="shared" si="14"/>
        <v>20361.795853438725</v>
      </c>
      <c r="G49" s="29">
        <f t="shared" si="18"/>
        <v>4469.6625044133789</v>
      </c>
      <c r="H49" s="146">
        <f>+'[1]Datos de los PIPS'!Q33*'[1]Datos de los PIPS'!O33</f>
        <v>72219.796586245109</v>
      </c>
      <c r="I49" s="11">
        <f t="shared" si="16"/>
        <v>22018.230666538144</v>
      </c>
      <c r="J49" s="11">
        <f t="shared" si="6"/>
        <v>18054.949146561277</v>
      </c>
      <c r="K49" s="29">
        <f t="shared" si="17"/>
        <v>3963.2815199768656</v>
      </c>
    </row>
    <row r="50" spans="1:11" s="13" customFormat="1">
      <c r="A50" s="20" t="s">
        <v>166</v>
      </c>
      <c r="B50" s="30" t="s">
        <v>120</v>
      </c>
      <c r="C50" s="10" t="s">
        <v>38</v>
      </c>
      <c r="D50" s="146">
        <f>+'[1]Datos de los PIPS'!Q34*'[1]Datos de los PIPS'!N34</f>
        <v>51044.213582155353</v>
      </c>
      <c r="E50" s="8">
        <f t="shared" si="13"/>
        <v>15562.260238461999</v>
      </c>
      <c r="F50" s="11">
        <f t="shared" si="14"/>
        <v>12761.053395538838</v>
      </c>
      <c r="G50" s="29">
        <f t="shared" si="18"/>
        <v>2801.2068429231595</v>
      </c>
      <c r="H50" s="146">
        <f>+'[1]Datos de los PIPS'!Q34*'[1]Datos de los PIPS'!O34</f>
        <v>55524.61382584463</v>
      </c>
      <c r="I50" s="11">
        <f t="shared" si="16"/>
        <v>16928.235922513606</v>
      </c>
      <c r="J50" s="11">
        <f t="shared" si="6"/>
        <v>13881.153456461157</v>
      </c>
      <c r="K50" s="29">
        <f t="shared" si="17"/>
        <v>3047.082466052449</v>
      </c>
    </row>
    <row r="51" spans="1:11" s="13" customFormat="1">
      <c r="A51" s="20" t="s">
        <v>167</v>
      </c>
      <c r="B51" s="30" t="s">
        <v>122</v>
      </c>
      <c r="C51" s="10" t="s">
        <v>38</v>
      </c>
      <c r="D51" s="146">
        <f>+'[1]Datos de los PIPS'!Q36*'[1]Datos de los PIPS'!N36</f>
        <v>95416.967947407</v>
      </c>
      <c r="E51" s="8">
        <f t="shared" si="13"/>
        <v>29090.539008355794</v>
      </c>
      <c r="F51" s="11">
        <f t="shared" si="14"/>
        <v>23854.24198685175</v>
      </c>
      <c r="G51" s="29">
        <f t="shared" si="18"/>
        <v>5236.2970215040432</v>
      </c>
      <c r="H51" s="146">
        <f>+'[1]Datos de los PIPS'!Q36*'[1]Datos de los PIPS'!O36</f>
        <v>116614.282052593</v>
      </c>
      <c r="I51" s="11">
        <f t="shared" si="16"/>
        <v>35553.134772132013</v>
      </c>
      <c r="J51" s="11">
        <f t="shared" si="6"/>
        <v>29153.57051314825</v>
      </c>
      <c r="K51" s="29">
        <f t="shared" si="17"/>
        <v>6399.5642589837616</v>
      </c>
    </row>
    <row r="52" spans="1:11" s="13" customFormat="1">
      <c r="A52" s="20" t="s">
        <v>168</v>
      </c>
      <c r="B52" s="39" t="s">
        <v>124</v>
      </c>
      <c r="C52" s="10" t="s">
        <v>38</v>
      </c>
      <c r="D52" s="146">
        <f>+'[1]Datos de los PIPS'!Q65*'[1]Datos de los PIPS'!N65</f>
        <v>70523.265781032693</v>
      </c>
      <c r="E52" s="8">
        <f>+D52/$C$4</f>
        <v>21500.995664948994</v>
      </c>
      <c r="F52" s="11">
        <f>+E52-G52</f>
        <v>17630.816445258177</v>
      </c>
      <c r="G52" s="29">
        <f>+E52*0.18</f>
        <v>3870.1792196908186</v>
      </c>
      <c r="H52" s="146">
        <f>+'[1]Datos de los PIPS'!Q65*'[1]Datos de los PIPS'!O65</f>
        <v>112861.7142189673</v>
      </c>
      <c r="I52" s="11">
        <f>+H52/$C$4</f>
        <v>34409.05921309979</v>
      </c>
      <c r="J52" s="11">
        <f>+I52-K52</f>
        <v>28215.428554741829</v>
      </c>
      <c r="K52" s="29">
        <f>+I52*0.18</f>
        <v>6193.6306583579617</v>
      </c>
    </row>
    <row r="53" spans="1:11" s="9" customFormat="1">
      <c r="A53" s="20" t="s">
        <v>169</v>
      </c>
      <c r="B53" s="30" t="s">
        <v>126</v>
      </c>
      <c r="C53" s="10" t="s">
        <v>38</v>
      </c>
      <c r="D53" s="146">
        <f>+'[1]Datos de los PIPS'!Q44*'[1]Datos de los PIPS'!N44</f>
        <v>56406.699320605527</v>
      </c>
      <c r="E53" s="8">
        <f t="shared" si="13"/>
        <v>17197.164427013882</v>
      </c>
      <c r="F53" s="11">
        <f t="shared" si="14"/>
        <v>14101.674830151384</v>
      </c>
      <c r="G53" s="29">
        <f t="shared" si="18"/>
        <v>3095.4895968624987</v>
      </c>
      <c r="H53" s="146">
        <f>+'[1]Datos de los PIPS'!Q44*'[1]Datos de los PIPS'!O44</f>
        <v>105794.21067939448</v>
      </c>
      <c r="I53" s="11">
        <f t="shared" si="16"/>
        <v>32254.332524205638</v>
      </c>
      <c r="J53" s="11">
        <f t="shared" si="6"/>
        <v>26448.552669848625</v>
      </c>
      <c r="K53" s="29">
        <f t="shared" si="17"/>
        <v>5805.7798543570143</v>
      </c>
    </row>
    <row r="54" spans="1:11" s="18" customFormat="1">
      <c r="A54" s="20" t="s">
        <v>170</v>
      </c>
      <c r="B54" s="30" t="s">
        <v>128</v>
      </c>
      <c r="C54" s="32" t="s">
        <v>38</v>
      </c>
      <c r="D54" s="146">
        <f>+'[1]Datos de los PIPS'!Q57*'[1]Datos de los PIPS'!N57</f>
        <v>91840.321438004859</v>
      </c>
      <c r="E54" s="8">
        <f t="shared" si="13"/>
        <v>28000.097999391728</v>
      </c>
      <c r="F54" s="11">
        <f t="shared" si="14"/>
        <v>22960.080359501218</v>
      </c>
      <c r="G54" s="29">
        <f t="shared" si="18"/>
        <v>5040.0176398905105</v>
      </c>
      <c r="H54" s="146">
        <f>+'[1]Datos de los PIPS'!Q57*'[1]Datos de los PIPS'!O57</f>
        <v>93429.588561995159</v>
      </c>
      <c r="I54" s="11">
        <f t="shared" si="16"/>
        <v>28484.630659144867</v>
      </c>
      <c r="J54" s="11">
        <f t="shared" si="6"/>
        <v>23357.39714049879</v>
      </c>
      <c r="K54" s="29">
        <f t="shared" si="17"/>
        <v>5127.2335186460759</v>
      </c>
    </row>
    <row r="55" spans="1:11" s="18" customFormat="1">
      <c r="A55" s="20" t="s">
        <v>171</v>
      </c>
      <c r="B55" s="30" t="s">
        <v>130</v>
      </c>
      <c r="C55" s="32" t="s">
        <v>38</v>
      </c>
      <c r="D55" s="146">
        <f>+'[1]Datos de los PIPS'!Q58*'[1]Datos de los PIPS'!N58</f>
        <v>47821.883679726263</v>
      </c>
      <c r="E55" s="8">
        <f t="shared" si="13"/>
        <v>14579.842585282398</v>
      </c>
      <c r="F55" s="11">
        <f t="shared" si="14"/>
        <v>11955.470919931566</v>
      </c>
      <c r="G55" s="29">
        <f t="shared" si="18"/>
        <v>2624.3716653508318</v>
      </c>
      <c r="H55" s="146">
        <f>+'[1]Datos de los PIPS'!Q58*'[1]Datos de los PIPS'!O58</f>
        <v>110249.02632027374</v>
      </c>
      <c r="I55" s="11">
        <f t="shared" si="16"/>
        <v>33612.508024473704</v>
      </c>
      <c r="J55" s="11">
        <f t="shared" si="6"/>
        <v>27562.256580068439</v>
      </c>
      <c r="K55" s="29">
        <f t="shared" si="17"/>
        <v>6050.2514444052667</v>
      </c>
    </row>
    <row r="56" spans="1:11" s="18" customFormat="1">
      <c r="A56" s="20" t="s">
        <v>172</v>
      </c>
      <c r="B56" s="30" t="s">
        <v>132</v>
      </c>
      <c r="C56" s="32" t="s">
        <v>38</v>
      </c>
      <c r="D56" s="146">
        <f>+'[1]Datos de los PIPS'!Q59*'[1]Datos de los PIPS'!N59</f>
        <v>56555.064659468735</v>
      </c>
      <c r="E56" s="8">
        <f t="shared" si="13"/>
        <v>17242.397762033153</v>
      </c>
      <c r="F56" s="11">
        <f t="shared" si="14"/>
        <v>14138.766164867186</v>
      </c>
      <c r="G56" s="29">
        <f t="shared" si="18"/>
        <v>3103.6315971659674</v>
      </c>
      <c r="H56" s="146">
        <f>+'[1]Datos de los PIPS'!Q59*'[1]Datos de los PIPS'!O59</f>
        <v>98565.845340531276</v>
      </c>
      <c r="I56" s="11">
        <f t="shared" si="16"/>
        <v>30050.562603820512</v>
      </c>
      <c r="J56" s="11">
        <f t="shared" si="6"/>
        <v>24641.461335132819</v>
      </c>
      <c r="K56" s="29">
        <f t="shared" si="17"/>
        <v>5409.101268687692</v>
      </c>
    </row>
    <row r="57" spans="1:11" s="13" customFormat="1">
      <c r="A57" s="20" t="s">
        <v>173</v>
      </c>
      <c r="B57" s="30" t="s">
        <v>134</v>
      </c>
      <c r="C57" s="10" t="s">
        <v>38</v>
      </c>
      <c r="D57" s="146">
        <f>+'[1]Datos de los PIPS'!Q60*'[1]Datos de los PIPS'!N60</f>
        <v>78190.578873999708</v>
      </c>
      <c r="E57" s="8">
        <f t="shared" si="13"/>
        <v>23838.591120121862</v>
      </c>
      <c r="F57" s="11">
        <f t="shared" si="14"/>
        <v>19547.644718499927</v>
      </c>
      <c r="G57" s="29">
        <f t="shared" si="18"/>
        <v>4290.9464016219354</v>
      </c>
      <c r="H57" s="146">
        <f>+'[1]Datos de los PIPS'!Q60*'[1]Datos de los PIPS'!O60</f>
        <v>107079.3311260003</v>
      </c>
      <c r="I57" s="11">
        <f t="shared" si="16"/>
        <v>32646.137538414725</v>
      </c>
      <c r="J57" s="11">
        <f t="shared" si="6"/>
        <v>26769.832781500074</v>
      </c>
      <c r="K57" s="29">
        <f t="shared" si="17"/>
        <v>5876.3047569146502</v>
      </c>
    </row>
    <row r="58" spans="1:11" s="13" customFormat="1">
      <c r="A58" s="20" t="s">
        <v>174</v>
      </c>
      <c r="B58" s="30" t="s">
        <v>136</v>
      </c>
      <c r="C58" s="10" t="s">
        <v>38</v>
      </c>
      <c r="D58" s="146">
        <f>+'[1]Datos de los PIPS'!Q61*'[1]Datos de los PIPS'!N61</f>
        <v>63574.074636882287</v>
      </c>
      <c r="E58" s="8">
        <f t="shared" si="13"/>
        <v>19382.33982831777</v>
      </c>
      <c r="F58" s="11">
        <f t="shared" si="14"/>
        <v>15893.518659220572</v>
      </c>
      <c r="G58" s="29">
        <f t="shared" si="18"/>
        <v>3488.8211690971984</v>
      </c>
      <c r="H58" s="146">
        <f>+'[1]Datos de los PIPS'!Q61*'[1]Datos de los PIPS'!O61</f>
        <v>121695.83536311773</v>
      </c>
      <c r="I58" s="11">
        <f t="shared" si="16"/>
        <v>37102.388830218821</v>
      </c>
      <c r="J58" s="11">
        <f t="shared" si="6"/>
        <v>30423.958840779433</v>
      </c>
      <c r="K58" s="29">
        <f t="shared" si="17"/>
        <v>6678.4299894393871</v>
      </c>
    </row>
    <row r="59" spans="1:11" s="13" customFormat="1">
      <c r="A59" s="20" t="s">
        <v>175</v>
      </c>
      <c r="B59" s="30" t="s">
        <v>138</v>
      </c>
      <c r="C59" s="10" t="s">
        <v>38</v>
      </c>
      <c r="D59" s="146">
        <f>+'[1]Datos de los PIPS'!Q62*'[1]Datos de los PIPS'!N62</f>
        <v>70343.179646946315</v>
      </c>
      <c r="E59" s="8">
        <f t="shared" si="13"/>
        <v>21446.091355776316</v>
      </c>
      <c r="F59" s="11">
        <f t="shared" si="14"/>
        <v>17585.794911736579</v>
      </c>
      <c r="G59" s="29">
        <f t="shared" si="18"/>
        <v>3860.2964440397368</v>
      </c>
      <c r="H59" s="146">
        <f>+'[1]Datos de los PIPS'!Q62*'[1]Datos de los PIPS'!O62</f>
        <v>114926.73035305367</v>
      </c>
      <c r="I59" s="11">
        <f t="shared" si="16"/>
        <v>35038.637302760268</v>
      </c>
      <c r="J59" s="11">
        <f t="shared" si="6"/>
        <v>28731.682588263418</v>
      </c>
      <c r="K59" s="29">
        <f t="shared" si="17"/>
        <v>6306.9547144968483</v>
      </c>
    </row>
    <row r="60" spans="1:11" s="13" customFormat="1">
      <c r="A60" s="20" t="s">
        <v>176</v>
      </c>
      <c r="B60" s="30" t="s">
        <v>140</v>
      </c>
      <c r="C60" s="10" t="s">
        <v>38</v>
      </c>
      <c r="D60" s="146">
        <f>+'[1]Datos de los PIPS'!Q63*'[1]Datos de los PIPS'!N63</f>
        <v>68272.587418761526</v>
      </c>
      <c r="E60" s="8">
        <f t="shared" si="13"/>
        <v>20814.813237427297</v>
      </c>
      <c r="F60" s="11">
        <f t="shared" si="14"/>
        <v>17068.146854690385</v>
      </c>
      <c r="G60" s="29">
        <f t="shared" si="18"/>
        <v>3746.6663827369134</v>
      </c>
      <c r="H60" s="146">
        <f>+'[1]Datos de los PIPS'!Q63*'[1]Datos de los PIPS'!O63</f>
        <v>80240.322581238477</v>
      </c>
      <c r="I60" s="11">
        <f t="shared" si="16"/>
        <v>24463.512982084903</v>
      </c>
      <c r="J60" s="11">
        <f t="shared" si="6"/>
        <v>20060.080645309623</v>
      </c>
      <c r="K60" s="29">
        <f t="shared" si="17"/>
        <v>4403.4323367752822</v>
      </c>
    </row>
    <row r="61" spans="1:11" s="13" customFormat="1">
      <c r="A61" s="20" t="s">
        <v>177</v>
      </c>
      <c r="B61" s="30" t="s">
        <v>142</v>
      </c>
      <c r="C61" s="10" t="s">
        <v>38</v>
      </c>
      <c r="D61" s="146">
        <f>+'[1]Datos de los PIPS'!Q64*'[1]Datos de los PIPS'!N64</f>
        <v>71336.517615455945</v>
      </c>
      <c r="E61" s="8">
        <f t="shared" si="13"/>
        <v>21748.938297395107</v>
      </c>
      <c r="F61" s="11">
        <f t="shared" si="14"/>
        <v>17834.12940386399</v>
      </c>
      <c r="G61" s="29">
        <f t="shared" si="18"/>
        <v>3914.8088935311189</v>
      </c>
      <c r="H61" s="146">
        <f>+'[1]Datos de los PIPS'!Q64*'[1]Datos de los PIPS'!O64</f>
        <v>108564.39238454409</v>
      </c>
      <c r="I61" s="11">
        <f t="shared" si="16"/>
        <v>33098.900117239056</v>
      </c>
      <c r="J61" s="11">
        <f t="shared" si="6"/>
        <v>27141.098096136026</v>
      </c>
      <c r="K61" s="29">
        <f t="shared" si="17"/>
        <v>5957.8020211030298</v>
      </c>
    </row>
    <row r="62" spans="1:11" s="13" customFormat="1">
      <c r="A62" s="20" t="s">
        <v>178</v>
      </c>
      <c r="B62" s="30" t="s">
        <v>144</v>
      </c>
      <c r="C62" s="10" t="s">
        <v>38</v>
      </c>
      <c r="D62" s="146">
        <f>+'[1]Datos de los PIPS'!Q69*'[1]Datos de los PIPS'!N69</f>
        <v>121305.02699809233</v>
      </c>
      <c r="E62" s="8">
        <f t="shared" si="13"/>
        <v>36983.239938442784</v>
      </c>
      <c r="F62" s="11">
        <f t="shared" si="14"/>
        <v>30326.256749523083</v>
      </c>
      <c r="G62" s="29">
        <f t="shared" si="18"/>
        <v>6656.9831889197012</v>
      </c>
      <c r="H62" s="146">
        <f>+'[1]Datos de los PIPS'!Q69*'[1]Datos de los PIPS'!O69</f>
        <v>75649.953001907648</v>
      </c>
      <c r="I62" s="11">
        <f t="shared" si="16"/>
        <v>23064.010061557212</v>
      </c>
      <c r="J62" s="11">
        <f t="shared" si="6"/>
        <v>18912.488250476912</v>
      </c>
      <c r="K62" s="29">
        <f t="shared" si="17"/>
        <v>4151.521811080298</v>
      </c>
    </row>
    <row r="63" spans="1:11" s="13" customFormat="1">
      <c r="A63" s="20" t="s">
        <v>179</v>
      </c>
      <c r="B63" s="30" t="s">
        <v>146</v>
      </c>
      <c r="C63" s="10" t="s">
        <v>38</v>
      </c>
      <c r="D63" s="146">
        <f>+'[1]Datos de los PIPS'!Q78*'[1]Datos de los PIPS'!N78</f>
        <v>35382.417560741866</v>
      </c>
      <c r="E63" s="8">
        <f t="shared" si="13"/>
        <v>10787.322427055447</v>
      </c>
      <c r="F63" s="11">
        <f t="shared" si="14"/>
        <v>8845.6043901854664</v>
      </c>
      <c r="G63" s="29">
        <f t="shared" si="18"/>
        <v>1941.7180368699806</v>
      </c>
      <c r="H63" s="146">
        <f>+'[1]Datos de los PIPS'!Q78*'[1]Datos de los PIPS'!O78</f>
        <v>74677.952439258137</v>
      </c>
      <c r="I63" s="11">
        <f t="shared" si="16"/>
        <v>22767.668426603093</v>
      </c>
      <c r="J63" s="11">
        <f t="shared" si="6"/>
        <v>18669.488109814538</v>
      </c>
      <c r="K63" s="29">
        <f t="shared" si="17"/>
        <v>4098.1803167885564</v>
      </c>
    </row>
    <row r="64" spans="1:11" s="13" customFormat="1">
      <c r="A64" s="20" t="s">
        <v>180</v>
      </c>
      <c r="B64" s="39" t="s">
        <v>148</v>
      </c>
      <c r="C64" s="10" t="s">
        <v>38</v>
      </c>
      <c r="D64" s="146">
        <f>+'[1]Datos de los PIPS'!Q79*'[1]Datos de los PIPS'!N79</f>
        <v>36496.369767040393</v>
      </c>
      <c r="E64" s="8">
        <f t="shared" si="13"/>
        <v>11126.942002146461</v>
      </c>
      <c r="F64" s="11">
        <f t="shared" si="14"/>
        <v>9124.0924417600982</v>
      </c>
      <c r="G64" s="29">
        <f t="shared" si="18"/>
        <v>2002.849560386363</v>
      </c>
      <c r="H64" s="146">
        <f>+'[1]Datos de los PIPS'!Q79*'[1]Datos de los PIPS'!O79</f>
        <v>73564.000232959603</v>
      </c>
      <c r="I64" s="11">
        <f t="shared" si="16"/>
        <v>22428.048851512074</v>
      </c>
      <c r="J64" s="11">
        <f t="shared" si="6"/>
        <v>18391.000058239901</v>
      </c>
      <c r="K64" s="29">
        <f t="shared" si="17"/>
        <v>4037.048793272173</v>
      </c>
    </row>
    <row r="65" spans="1:11" s="13" customFormat="1">
      <c r="A65" s="20" t="s">
        <v>181</v>
      </c>
      <c r="B65" s="39" t="s">
        <v>150</v>
      </c>
      <c r="C65" s="10" t="s">
        <v>38</v>
      </c>
      <c r="D65" s="146">
        <f>+'[1]Datos de los PIPS'!Q80*'[1]Datos de los PIPS'!N80</f>
        <v>53182.147190541669</v>
      </c>
      <c r="E65" s="8">
        <f t="shared" si="13"/>
        <v>16214.069265409047</v>
      </c>
      <c r="F65" s="11">
        <f t="shared" si="14"/>
        <v>13295.536797635419</v>
      </c>
      <c r="G65" s="29">
        <f t="shared" si="18"/>
        <v>2918.5324677736285</v>
      </c>
      <c r="H65" s="146">
        <f>+'[1]Datos de los PIPS'!Q80*'[1]Datos de los PIPS'!O80</f>
        <v>56878.222809458312</v>
      </c>
      <c r="I65" s="11">
        <f t="shared" si="16"/>
        <v>17340.921588249486</v>
      </c>
      <c r="J65" s="11">
        <f t="shared" si="6"/>
        <v>14219.555702364578</v>
      </c>
      <c r="K65" s="29">
        <f t="shared" si="17"/>
        <v>3121.3658858849076</v>
      </c>
    </row>
    <row r="66" spans="1:11" s="13" customFormat="1">
      <c r="A66" s="20" t="s">
        <v>182</v>
      </c>
      <c r="B66" s="39" t="s">
        <v>152</v>
      </c>
      <c r="C66" s="10" t="s">
        <v>38</v>
      </c>
      <c r="D66" s="146">
        <f>+'[1]Datos de los PIPS'!Q95*'[1]Datos de los PIPS'!N95</f>
        <v>86979.021374289397</v>
      </c>
      <c r="E66" s="8">
        <f t="shared" si="13"/>
        <v>26517.994321429695</v>
      </c>
      <c r="F66" s="11">
        <f t="shared" si="14"/>
        <v>21744.755343572349</v>
      </c>
      <c r="G66" s="29">
        <f t="shared" si="18"/>
        <v>4773.2389778573452</v>
      </c>
      <c r="H66" s="146">
        <f>+'[1]Datos de los PIPS'!Q95*'[1]Datos de los PIPS'!O95</f>
        <v>53550.188625710609</v>
      </c>
      <c r="I66" s="11">
        <f t="shared" si="16"/>
        <v>16326.277020033724</v>
      </c>
      <c r="J66" s="11">
        <f t="shared" si="6"/>
        <v>13387.547156427654</v>
      </c>
      <c r="K66" s="29">
        <f t="shared" si="17"/>
        <v>2938.72986360607</v>
      </c>
    </row>
    <row r="67" spans="1:11" s="13" customFormat="1">
      <c r="A67" s="20" t="s">
        <v>183</v>
      </c>
      <c r="B67" s="39" t="s">
        <v>154</v>
      </c>
      <c r="C67" s="10" t="s">
        <v>38</v>
      </c>
      <c r="D67" s="146">
        <f>+'[1]Datos de los PIPS'!Q96*'[1]Datos de los PIPS'!N96</f>
        <v>153074.95049713951</v>
      </c>
      <c r="E67" s="8">
        <f t="shared" si="13"/>
        <v>46669.192224737657</v>
      </c>
      <c r="F67" s="11">
        <f t="shared" si="14"/>
        <v>38268.737624284877</v>
      </c>
      <c r="G67" s="29">
        <f t="shared" si="18"/>
        <v>8400.4546004527783</v>
      </c>
      <c r="H67" s="146">
        <f>+'[1]Datos de los PIPS'!Q96*'[1]Datos de los PIPS'!O96</f>
        <v>216110.94800286053</v>
      </c>
      <c r="I67" s="11">
        <f t="shared" si="16"/>
        <v>65887.484147213574</v>
      </c>
      <c r="J67" s="11">
        <f t="shared" si="6"/>
        <v>54027.737000715133</v>
      </c>
      <c r="K67" s="29">
        <f t="shared" si="17"/>
        <v>11859.747146498443</v>
      </c>
    </row>
    <row r="68" spans="1:11" s="13" customFormat="1">
      <c r="A68" s="20" t="s">
        <v>184</v>
      </c>
      <c r="B68" s="39" t="s">
        <v>156</v>
      </c>
      <c r="C68" s="10" t="s">
        <v>38</v>
      </c>
      <c r="D68" s="146">
        <f>+'[1]Datos de los PIPS'!Q97*'[1]Datos de los PIPS'!N97</f>
        <v>50915.029847160869</v>
      </c>
      <c r="E68" s="8">
        <f t="shared" si="13"/>
        <v>15522.874953402705</v>
      </c>
      <c r="F68" s="11">
        <f t="shared" si="14"/>
        <v>12728.757461790217</v>
      </c>
      <c r="G68" s="29">
        <f t="shared" si="18"/>
        <v>2794.1174916124869</v>
      </c>
      <c r="H68" s="146">
        <f>+'[1]Datos de los PIPS'!Q97*'[1]Datos de los PIPS'!O97</f>
        <v>88629.27815283915</v>
      </c>
      <c r="I68" s="11">
        <f t="shared" si="16"/>
        <v>27021.121388060717</v>
      </c>
      <c r="J68" s="11">
        <f t="shared" si="6"/>
        <v>22157.319538209787</v>
      </c>
      <c r="K68" s="29">
        <f t="shared" si="17"/>
        <v>4863.8018498509291</v>
      </c>
    </row>
    <row r="69" spans="1:11" s="13" customFormat="1">
      <c r="A69" s="20" t="s">
        <v>185</v>
      </c>
      <c r="B69" s="39" t="s">
        <v>158</v>
      </c>
      <c r="C69" s="10" t="s">
        <v>38</v>
      </c>
      <c r="D69" s="146">
        <f>+'[1]Datos de los PIPS'!Q98*'[1]Datos de los PIPS'!N98</f>
        <v>65604.766233600007</v>
      </c>
      <c r="E69" s="8">
        <f t="shared" si="13"/>
        <v>20001.453120000002</v>
      </c>
      <c r="F69" s="11">
        <f t="shared" si="14"/>
        <v>16401.191558400002</v>
      </c>
      <c r="G69" s="29">
        <f t="shared" si="18"/>
        <v>3600.2615616000003</v>
      </c>
      <c r="H69" s="146">
        <f>+'[1]Datos de los PIPS'!Q98*'[1]Datos de los PIPS'!O98</f>
        <v>104065.29436740001</v>
      </c>
      <c r="I69" s="11">
        <f t="shared" si="16"/>
        <v>31727.223892500006</v>
      </c>
      <c r="J69" s="11">
        <f t="shared" si="6"/>
        <v>26016.323591850007</v>
      </c>
      <c r="K69" s="29">
        <f t="shared" si="17"/>
        <v>5710.9003006500006</v>
      </c>
    </row>
    <row r="70" spans="1:11" s="13" customFormat="1">
      <c r="A70" s="20" t="s">
        <v>186</v>
      </c>
      <c r="B70" s="39" t="s">
        <v>160</v>
      </c>
      <c r="C70" s="10" t="s">
        <v>38</v>
      </c>
      <c r="D70" s="146">
        <f>+'[1]Datos de los PIPS'!Q99*'[1]Datos de los PIPS'!N99</f>
        <v>61664.852345068801</v>
      </c>
      <c r="E70" s="8">
        <f t="shared" si="13"/>
        <v>18800.259861301463</v>
      </c>
      <c r="F70" s="11">
        <f t="shared" si="14"/>
        <v>15416.2130862672</v>
      </c>
      <c r="G70" s="29">
        <f t="shared" si="18"/>
        <v>3384.0467750342632</v>
      </c>
      <c r="H70" s="146">
        <f>+'[1]Datos de los PIPS'!Q99*'[1]Datos de los PIPS'!O99</f>
        <v>120223.89765493119</v>
      </c>
      <c r="I70" s="11">
        <f t="shared" si="16"/>
        <v>36653.627333820485</v>
      </c>
      <c r="J70" s="11">
        <f t="shared" si="6"/>
        <v>30055.974413732798</v>
      </c>
      <c r="K70" s="29">
        <f t="shared" si="17"/>
        <v>6597.6529200876867</v>
      </c>
    </row>
    <row r="71" spans="1:11" s="13" customFormat="1">
      <c r="A71" s="20" t="s">
        <v>187</v>
      </c>
      <c r="B71" s="39" t="s">
        <v>162</v>
      </c>
      <c r="C71" s="10" t="s">
        <v>38</v>
      </c>
      <c r="D71" s="146">
        <f>+'[1]Datos de los PIPS'!Q102*'[1]Datos de los PIPS'!N102</f>
        <v>84707.653001755083</v>
      </c>
      <c r="E71" s="8">
        <f t="shared" si="13"/>
        <v>25825.503963949723</v>
      </c>
      <c r="F71" s="11">
        <f t="shared" si="14"/>
        <v>21176.913250438774</v>
      </c>
      <c r="G71" s="29">
        <f t="shared" si="18"/>
        <v>4648.5907135109501</v>
      </c>
      <c r="H71" s="146">
        <f>+'[1]Datos de los PIPS'!Q102*'[1]Datos de los PIPS'!O102</f>
        <v>140930.51199824488</v>
      </c>
      <c r="I71" s="11">
        <f t="shared" si="16"/>
        <v>42966.619511660028</v>
      </c>
      <c r="J71" s="11">
        <f t="shared" si="6"/>
        <v>35232.627999561228</v>
      </c>
      <c r="K71" s="29">
        <f t="shared" si="17"/>
        <v>7733.9915120988044</v>
      </c>
    </row>
    <row r="72" spans="1:11" s="7" customFormat="1">
      <c r="A72" s="20" t="s">
        <v>57</v>
      </c>
      <c r="B72" s="44" t="s">
        <v>188</v>
      </c>
      <c r="C72" s="44"/>
      <c r="D72" s="54">
        <f t="shared" ref="D72:K72" si="19">SUM(D73:D102)</f>
        <v>896558.77819588385</v>
      </c>
      <c r="E72" s="54">
        <f t="shared" si="19"/>
        <v>273341.09091337916</v>
      </c>
      <c r="F72" s="54">
        <f t="shared" si="19"/>
        <v>224139.69454897096</v>
      </c>
      <c r="G72" s="54">
        <f t="shared" si="19"/>
        <v>49201.396364408261</v>
      </c>
      <c r="H72" s="54">
        <f t="shared" si="19"/>
        <v>0</v>
      </c>
      <c r="I72" s="54">
        <f t="shared" si="19"/>
        <v>0</v>
      </c>
      <c r="J72" s="54">
        <f t="shared" si="19"/>
        <v>0</v>
      </c>
      <c r="K72" s="54">
        <f t="shared" si="19"/>
        <v>0</v>
      </c>
    </row>
    <row r="73" spans="1:11" s="7" customFormat="1">
      <c r="A73" s="20" t="s">
        <v>58</v>
      </c>
      <c r="B73" s="30" t="s">
        <v>109</v>
      </c>
      <c r="C73" s="10" t="s">
        <v>38</v>
      </c>
      <c r="D73" s="146">
        <f>+'[1]Datos de los PIPS'!R19</f>
        <v>24050</v>
      </c>
      <c r="E73" s="8">
        <f t="shared" ref="E73:E102" si="20">+D73/$C$4</f>
        <v>7332.3170731707323</v>
      </c>
      <c r="F73" s="11">
        <f>+E73*0.82</f>
        <v>6012.5</v>
      </c>
      <c r="G73" s="29">
        <f>+E73*0.18</f>
        <v>1319.8170731707319</v>
      </c>
      <c r="H73" s="146">
        <v>0</v>
      </c>
      <c r="I73" s="11">
        <f t="shared" ref="I73:I102" si="21">+H73/$C$4</f>
        <v>0</v>
      </c>
      <c r="J73" s="11">
        <f t="shared" ref="J73:J87" si="22">+I73</f>
        <v>0</v>
      </c>
      <c r="K73" s="29">
        <v>0</v>
      </c>
    </row>
    <row r="74" spans="1:11" s="13" customFormat="1">
      <c r="A74" s="20" t="s">
        <v>189</v>
      </c>
      <c r="B74" s="30" t="s">
        <v>110</v>
      </c>
      <c r="C74" s="10" t="s">
        <v>38</v>
      </c>
      <c r="D74" s="146">
        <f>+'[1]Datos de los PIPS'!R20</f>
        <v>24300</v>
      </c>
      <c r="E74" s="8">
        <f t="shared" si="20"/>
        <v>7408.5365853658541</v>
      </c>
      <c r="F74" s="11">
        <f t="shared" ref="F74:F102" si="23">+E74*0.82</f>
        <v>6075</v>
      </c>
      <c r="G74" s="29">
        <f t="shared" ref="G74:G102" si="24">+E74*0.18</f>
        <v>1333.5365853658536</v>
      </c>
      <c r="H74" s="146">
        <v>0</v>
      </c>
      <c r="I74" s="11">
        <f t="shared" si="21"/>
        <v>0</v>
      </c>
      <c r="J74" s="11">
        <f t="shared" si="22"/>
        <v>0</v>
      </c>
      <c r="K74" s="29">
        <v>0</v>
      </c>
    </row>
    <row r="75" spans="1:11" s="13" customFormat="1">
      <c r="A75" s="20" t="s">
        <v>190</v>
      </c>
      <c r="B75" s="30" t="s">
        <v>111</v>
      </c>
      <c r="C75" s="10" t="s">
        <v>38</v>
      </c>
      <c r="D75" s="146">
        <f>+'[1]Datos de los PIPS'!R21</f>
        <v>24050</v>
      </c>
      <c r="E75" s="8">
        <f t="shared" si="20"/>
        <v>7332.3170731707323</v>
      </c>
      <c r="F75" s="11">
        <f t="shared" si="23"/>
        <v>6012.5</v>
      </c>
      <c r="G75" s="29">
        <f t="shared" si="24"/>
        <v>1319.8170731707319</v>
      </c>
      <c r="H75" s="146">
        <v>0</v>
      </c>
      <c r="I75" s="11">
        <f t="shared" si="21"/>
        <v>0</v>
      </c>
      <c r="J75" s="11">
        <f t="shared" si="22"/>
        <v>0</v>
      </c>
      <c r="K75" s="29">
        <v>0</v>
      </c>
    </row>
    <row r="76" spans="1:11" s="13" customFormat="1">
      <c r="A76" s="20" t="s">
        <v>191</v>
      </c>
      <c r="B76" s="30" t="s">
        <v>112</v>
      </c>
      <c r="C76" s="10" t="s">
        <v>38</v>
      </c>
      <c r="D76" s="146">
        <f>+'[1]Datos de los PIPS'!R22</f>
        <v>24050</v>
      </c>
      <c r="E76" s="8">
        <f t="shared" si="20"/>
        <v>7332.3170731707323</v>
      </c>
      <c r="F76" s="11">
        <f t="shared" si="23"/>
        <v>6012.5</v>
      </c>
      <c r="G76" s="29">
        <f t="shared" si="24"/>
        <v>1319.8170731707319</v>
      </c>
      <c r="H76" s="146">
        <v>0</v>
      </c>
      <c r="I76" s="11">
        <f t="shared" si="21"/>
        <v>0</v>
      </c>
      <c r="J76" s="11">
        <f t="shared" si="22"/>
        <v>0</v>
      </c>
      <c r="K76" s="29">
        <v>0</v>
      </c>
    </row>
    <row r="77" spans="1:11" s="13" customFormat="1">
      <c r="A77" s="20" t="s">
        <v>192</v>
      </c>
      <c r="B77" s="30" t="s">
        <v>113</v>
      </c>
      <c r="C77" s="10" t="s">
        <v>38</v>
      </c>
      <c r="D77" s="146">
        <f>+'[1]Datos de los PIPS'!R23</f>
        <v>24300</v>
      </c>
      <c r="E77" s="8">
        <f t="shared" si="20"/>
        <v>7408.5365853658541</v>
      </c>
      <c r="F77" s="11">
        <f t="shared" si="23"/>
        <v>6075</v>
      </c>
      <c r="G77" s="29">
        <f t="shared" si="24"/>
        <v>1333.5365853658536</v>
      </c>
      <c r="H77" s="146">
        <v>0</v>
      </c>
      <c r="I77" s="11">
        <f t="shared" si="21"/>
        <v>0</v>
      </c>
      <c r="J77" s="11">
        <f t="shared" si="22"/>
        <v>0</v>
      </c>
      <c r="K77" s="29">
        <v>0</v>
      </c>
    </row>
    <row r="78" spans="1:11" s="13" customFormat="1">
      <c r="A78" s="20" t="s">
        <v>193</v>
      </c>
      <c r="B78" s="30" t="s">
        <v>114</v>
      </c>
      <c r="C78" s="10" t="s">
        <v>38</v>
      </c>
      <c r="D78" s="146">
        <f>+'[1]Datos de los PIPS'!R24</f>
        <v>40016.54</v>
      </c>
      <c r="E78" s="8">
        <f t="shared" si="20"/>
        <v>12200.164634146342</v>
      </c>
      <c r="F78" s="11">
        <f t="shared" si="23"/>
        <v>10004.135</v>
      </c>
      <c r="G78" s="29">
        <f t="shared" si="24"/>
        <v>2196.0296341463413</v>
      </c>
      <c r="H78" s="146">
        <v>0</v>
      </c>
      <c r="I78" s="11">
        <f t="shared" si="21"/>
        <v>0</v>
      </c>
      <c r="J78" s="11">
        <f t="shared" si="22"/>
        <v>0</v>
      </c>
      <c r="K78" s="29">
        <v>0</v>
      </c>
    </row>
    <row r="79" spans="1:11" s="13" customFormat="1">
      <c r="A79" s="20" t="s">
        <v>194</v>
      </c>
      <c r="B79" s="30" t="s">
        <v>116</v>
      </c>
      <c r="C79" s="10" t="s">
        <v>38</v>
      </c>
      <c r="D79" s="146">
        <f>+'[1]Datos de los PIPS'!R31</f>
        <v>27300</v>
      </c>
      <c r="E79" s="8">
        <f t="shared" si="20"/>
        <v>8323.1707317073178</v>
      </c>
      <c r="F79" s="11">
        <f t="shared" si="23"/>
        <v>6825</v>
      </c>
      <c r="G79" s="29">
        <f t="shared" si="24"/>
        <v>1498.1707317073171</v>
      </c>
      <c r="H79" s="146">
        <v>0</v>
      </c>
      <c r="I79" s="11">
        <f t="shared" si="21"/>
        <v>0</v>
      </c>
      <c r="J79" s="11">
        <f t="shared" si="22"/>
        <v>0</v>
      </c>
      <c r="K79" s="29">
        <v>0</v>
      </c>
    </row>
    <row r="80" spans="1:11" s="13" customFormat="1">
      <c r="A80" s="20" t="s">
        <v>195</v>
      </c>
      <c r="B80" s="30" t="s">
        <v>118</v>
      </c>
      <c r="C80" s="10" t="s">
        <v>38</v>
      </c>
      <c r="D80" s="146">
        <f>+'[1]Datos de los PIPS'!R33</f>
        <v>29800</v>
      </c>
      <c r="E80" s="8">
        <f t="shared" si="20"/>
        <v>9085.3658536585372</v>
      </c>
      <c r="F80" s="11">
        <f t="shared" si="23"/>
        <v>7450</v>
      </c>
      <c r="G80" s="29">
        <f t="shared" si="24"/>
        <v>1635.3658536585367</v>
      </c>
      <c r="H80" s="146">
        <v>0</v>
      </c>
      <c r="I80" s="11">
        <f t="shared" si="21"/>
        <v>0</v>
      </c>
      <c r="J80" s="11">
        <f t="shared" si="22"/>
        <v>0</v>
      </c>
      <c r="K80" s="29">
        <v>0</v>
      </c>
    </row>
    <row r="81" spans="1:11" s="13" customFormat="1">
      <c r="A81" s="20" t="s">
        <v>196</v>
      </c>
      <c r="B81" s="30" t="s">
        <v>120</v>
      </c>
      <c r="C81" s="10" t="s">
        <v>38</v>
      </c>
      <c r="D81" s="146">
        <f>+'[1]Datos de los PIPS'!R34</f>
        <v>24300</v>
      </c>
      <c r="E81" s="8">
        <f t="shared" si="20"/>
        <v>7408.5365853658541</v>
      </c>
      <c r="F81" s="11">
        <f t="shared" si="23"/>
        <v>6075</v>
      </c>
      <c r="G81" s="29">
        <f t="shared" si="24"/>
        <v>1333.5365853658536</v>
      </c>
      <c r="H81" s="146">
        <v>0</v>
      </c>
      <c r="I81" s="11">
        <f t="shared" si="21"/>
        <v>0</v>
      </c>
      <c r="J81" s="11">
        <f t="shared" si="22"/>
        <v>0</v>
      </c>
      <c r="K81" s="29">
        <v>0</v>
      </c>
    </row>
    <row r="82" spans="1:11" s="13" customFormat="1">
      <c r="A82" s="20" t="s">
        <v>197</v>
      </c>
      <c r="B82" s="30" t="s">
        <v>122</v>
      </c>
      <c r="C82" s="10" t="s">
        <v>38</v>
      </c>
      <c r="D82" s="146">
        <f>+'[1]Datos de los PIPS'!R36</f>
        <v>30550</v>
      </c>
      <c r="E82" s="8">
        <f t="shared" si="20"/>
        <v>9314.0243902439033</v>
      </c>
      <c r="F82" s="11">
        <f t="shared" si="23"/>
        <v>7637.5</v>
      </c>
      <c r="G82" s="29">
        <f t="shared" si="24"/>
        <v>1676.5243902439026</v>
      </c>
      <c r="H82" s="146">
        <v>0</v>
      </c>
      <c r="I82" s="11">
        <f t="shared" si="21"/>
        <v>0</v>
      </c>
      <c r="J82" s="11">
        <f t="shared" si="22"/>
        <v>0</v>
      </c>
      <c r="K82" s="29">
        <v>0</v>
      </c>
    </row>
    <row r="83" spans="1:11" s="13" customFormat="1">
      <c r="A83" s="20" t="s">
        <v>198</v>
      </c>
      <c r="B83" s="39" t="s">
        <v>124</v>
      </c>
      <c r="C83" s="32" t="s">
        <v>38</v>
      </c>
      <c r="D83" s="146">
        <f>+'[1]Datos de los PIPS'!R65</f>
        <v>30550</v>
      </c>
      <c r="E83" s="8">
        <f>+D83/$C$4</f>
        <v>9314.0243902439033</v>
      </c>
      <c r="F83" s="11">
        <f>+E83*0.82</f>
        <v>7637.5</v>
      </c>
      <c r="G83" s="29">
        <f>+E83*0.18</f>
        <v>1676.5243902439026</v>
      </c>
      <c r="H83" s="146">
        <v>0</v>
      </c>
      <c r="I83" s="11">
        <f>+H83/$C$4</f>
        <v>0</v>
      </c>
      <c r="J83" s="11">
        <f>+I83</f>
        <v>0</v>
      </c>
      <c r="K83" s="29">
        <v>0</v>
      </c>
    </row>
    <row r="84" spans="1:11" s="9" customFormat="1">
      <c r="A84" s="20" t="s">
        <v>199</v>
      </c>
      <c r="B84" s="30" t="s">
        <v>126</v>
      </c>
      <c r="C84" s="10" t="s">
        <v>38</v>
      </c>
      <c r="D84" s="146">
        <f>+'[1]Datos de los PIPS'!R44</f>
        <v>0</v>
      </c>
      <c r="E84" s="8">
        <f t="shared" si="20"/>
        <v>0</v>
      </c>
      <c r="F84" s="11">
        <f t="shared" si="23"/>
        <v>0</v>
      </c>
      <c r="G84" s="29">
        <f t="shared" si="24"/>
        <v>0</v>
      </c>
      <c r="H84" s="146">
        <v>0</v>
      </c>
      <c r="I84" s="11">
        <f t="shared" si="21"/>
        <v>0</v>
      </c>
      <c r="J84" s="11">
        <f t="shared" si="22"/>
        <v>0</v>
      </c>
      <c r="K84" s="29">
        <v>0</v>
      </c>
    </row>
    <row r="85" spans="1:11" s="18" customFormat="1">
      <c r="A85" s="20" t="s">
        <v>200</v>
      </c>
      <c r="B85" s="30" t="s">
        <v>128</v>
      </c>
      <c r="C85" s="32" t="s">
        <v>38</v>
      </c>
      <c r="D85" s="146">
        <f>+'[1]Datos de los PIPS'!R57</f>
        <v>22800</v>
      </c>
      <c r="E85" s="8">
        <f t="shared" si="20"/>
        <v>6951.2195121951227</v>
      </c>
      <c r="F85" s="11">
        <f t="shared" si="23"/>
        <v>5700</v>
      </c>
      <c r="G85" s="29">
        <f t="shared" si="24"/>
        <v>1251.219512195122</v>
      </c>
      <c r="H85" s="146">
        <v>0</v>
      </c>
      <c r="I85" s="11">
        <f t="shared" si="21"/>
        <v>0</v>
      </c>
      <c r="J85" s="11">
        <f t="shared" si="22"/>
        <v>0</v>
      </c>
      <c r="K85" s="29">
        <v>0</v>
      </c>
    </row>
    <row r="86" spans="1:11" s="18" customFormat="1">
      <c r="A86" s="20" t="s">
        <v>201</v>
      </c>
      <c r="B86" s="30" t="s">
        <v>130</v>
      </c>
      <c r="C86" s="32" t="s">
        <v>38</v>
      </c>
      <c r="D86" s="146">
        <f>+'[1]Datos de los PIPS'!R58</f>
        <v>41288.907619864345</v>
      </c>
      <c r="E86" s="8">
        <f t="shared" si="20"/>
        <v>12588.081591422057</v>
      </c>
      <c r="F86" s="11">
        <f t="shared" si="23"/>
        <v>10322.226904966086</v>
      </c>
      <c r="G86" s="29">
        <f t="shared" si="24"/>
        <v>2265.8546864559703</v>
      </c>
      <c r="H86" s="146">
        <v>0</v>
      </c>
      <c r="I86" s="11">
        <f t="shared" si="21"/>
        <v>0</v>
      </c>
      <c r="J86" s="11">
        <f t="shared" si="22"/>
        <v>0</v>
      </c>
      <c r="K86" s="29">
        <v>0</v>
      </c>
    </row>
    <row r="87" spans="1:11" s="18" customFormat="1">
      <c r="A87" s="20" t="s">
        <v>202</v>
      </c>
      <c r="B87" s="30" t="s">
        <v>132</v>
      </c>
      <c r="C87" s="32" t="s">
        <v>38</v>
      </c>
      <c r="D87" s="146">
        <f>+'[1]Datos de los PIPS'!R59</f>
        <v>30166.55262206995</v>
      </c>
      <c r="E87" s="8">
        <f t="shared" si="20"/>
        <v>9197.1197018505954</v>
      </c>
      <c r="F87" s="11">
        <f t="shared" si="23"/>
        <v>7541.6381555174876</v>
      </c>
      <c r="G87" s="29">
        <f t="shared" si="24"/>
        <v>1655.4815463331072</v>
      </c>
      <c r="H87" s="146">
        <v>0</v>
      </c>
      <c r="I87" s="11">
        <f t="shared" si="21"/>
        <v>0</v>
      </c>
      <c r="J87" s="11">
        <f t="shared" si="22"/>
        <v>0</v>
      </c>
      <c r="K87" s="29">
        <v>0</v>
      </c>
    </row>
    <row r="88" spans="1:11" s="13" customFormat="1">
      <c r="A88" s="20" t="s">
        <v>203</v>
      </c>
      <c r="B88" s="30" t="s">
        <v>134</v>
      </c>
      <c r="C88" s="10" t="s">
        <v>38</v>
      </c>
      <c r="D88" s="146">
        <f>+'[1]Datos de los PIPS'!R60</f>
        <v>35807.5</v>
      </c>
      <c r="E88" s="8">
        <f t="shared" si="20"/>
        <v>10916.920731707318</v>
      </c>
      <c r="F88" s="11">
        <f t="shared" si="23"/>
        <v>8951.875</v>
      </c>
      <c r="G88" s="29">
        <f t="shared" si="24"/>
        <v>1965.0457317073171</v>
      </c>
      <c r="H88" s="146">
        <v>0</v>
      </c>
      <c r="I88" s="11">
        <f t="shared" si="21"/>
        <v>0</v>
      </c>
      <c r="J88" s="11">
        <f t="shared" ref="J88:J102" si="25">+I88</f>
        <v>0</v>
      </c>
      <c r="K88" s="29">
        <v>0</v>
      </c>
    </row>
    <row r="89" spans="1:11" s="13" customFormat="1">
      <c r="A89" s="20" t="s">
        <v>204</v>
      </c>
      <c r="B89" s="30" t="s">
        <v>136</v>
      </c>
      <c r="C89" s="32" t="s">
        <v>38</v>
      </c>
      <c r="D89" s="146">
        <f>+'[1]Datos de los PIPS'!R61</f>
        <v>48849.521611359509</v>
      </c>
      <c r="E89" s="8">
        <f t="shared" si="20"/>
        <v>14893.146832731558</v>
      </c>
      <c r="F89" s="11">
        <f t="shared" si="23"/>
        <v>12212.380402839877</v>
      </c>
      <c r="G89" s="29">
        <f t="shared" si="24"/>
        <v>2680.7664298916802</v>
      </c>
      <c r="H89" s="146">
        <v>0</v>
      </c>
      <c r="I89" s="11">
        <f t="shared" si="21"/>
        <v>0</v>
      </c>
      <c r="J89" s="11">
        <f t="shared" si="25"/>
        <v>0</v>
      </c>
      <c r="K89" s="29">
        <v>0</v>
      </c>
    </row>
    <row r="90" spans="1:11" s="13" customFormat="1">
      <c r="A90" s="20" t="s">
        <v>205</v>
      </c>
      <c r="B90" s="30" t="s">
        <v>138</v>
      </c>
      <c r="C90" s="32" t="s">
        <v>38</v>
      </c>
      <c r="D90" s="146">
        <f>+'[1]Datos de los PIPS'!R62</f>
        <v>22800</v>
      </c>
      <c r="E90" s="8">
        <f t="shared" si="20"/>
        <v>6951.2195121951227</v>
      </c>
      <c r="F90" s="11">
        <f t="shared" si="23"/>
        <v>5700</v>
      </c>
      <c r="G90" s="29">
        <f t="shared" si="24"/>
        <v>1251.219512195122</v>
      </c>
      <c r="H90" s="146">
        <v>0</v>
      </c>
      <c r="I90" s="11">
        <f t="shared" si="21"/>
        <v>0</v>
      </c>
      <c r="J90" s="11">
        <f t="shared" si="25"/>
        <v>0</v>
      </c>
      <c r="K90" s="29">
        <v>0</v>
      </c>
    </row>
    <row r="91" spans="1:11" s="13" customFormat="1">
      <c r="A91" s="20" t="s">
        <v>206</v>
      </c>
      <c r="B91" s="30" t="s">
        <v>140</v>
      </c>
      <c r="C91" s="32" t="s">
        <v>38</v>
      </c>
      <c r="D91" s="146">
        <f>+'[1]Datos de los PIPS'!R63</f>
        <v>41779.756342589972</v>
      </c>
      <c r="E91" s="8">
        <f t="shared" si="20"/>
        <v>12737.730592253041</v>
      </c>
      <c r="F91" s="11">
        <f t="shared" si="23"/>
        <v>10444.939085647493</v>
      </c>
      <c r="G91" s="29">
        <f t="shared" si="24"/>
        <v>2292.7915066055475</v>
      </c>
      <c r="H91" s="146">
        <v>0</v>
      </c>
      <c r="I91" s="11">
        <f t="shared" si="21"/>
        <v>0</v>
      </c>
      <c r="J91" s="11">
        <f t="shared" si="25"/>
        <v>0</v>
      </c>
      <c r="K91" s="29">
        <v>0</v>
      </c>
    </row>
    <row r="92" spans="1:11" s="13" customFormat="1">
      <c r="A92" s="20" t="s">
        <v>207</v>
      </c>
      <c r="B92" s="30" t="s">
        <v>142</v>
      </c>
      <c r="C92" s="10" t="s">
        <v>38</v>
      </c>
      <c r="D92" s="146">
        <f>+'[1]Datos de los PIPS'!R64</f>
        <v>12600</v>
      </c>
      <c r="E92" s="8">
        <f t="shared" si="20"/>
        <v>3841.4634146341464</v>
      </c>
      <c r="F92" s="11">
        <f t="shared" si="23"/>
        <v>3150</v>
      </c>
      <c r="G92" s="29">
        <f t="shared" si="24"/>
        <v>691.46341463414637</v>
      </c>
      <c r="H92" s="146">
        <v>0</v>
      </c>
      <c r="I92" s="11">
        <f t="shared" si="21"/>
        <v>0</v>
      </c>
      <c r="J92" s="11">
        <f t="shared" si="25"/>
        <v>0</v>
      </c>
      <c r="K92" s="29">
        <v>0</v>
      </c>
    </row>
    <row r="93" spans="1:11" s="13" customFormat="1">
      <c r="A93" s="20" t="s">
        <v>208</v>
      </c>
      <c r="B93" s="30" t="s">
        <v>144</v>
      </c>
      <c r="C93" s="32" t="s">
        <v>38</v>
      </c>
      <c r="D93" s="146">
        <f>+'[1]Datos de los PIPS'!R69</f>
        <v>27300</v>
      </c>
      <c r="E93" s="8">
        <f t="shared" si="20"/>
        <v>8323.1707317073178</v>
      </c>
      <c r="F93" s="11">
        <f t="shared" si="23"/>
        <v>6825</v>
      </c>
      <c r="G93" s="29">
        <f t="shared" si="24"/>
        <v>1498.1707317073171</v>
      </c>
      <c r="H93" s="146">
        <v>0</v>
      </c>
      <c r="I93" s="11">
        <f t="shared" si="21"/>
        <v>0</v>
      </c>
      <c r="J93" s="11">
        <f t="shared" si="25"/>
        <v>0</v>
      </c>
      <c r="K93" s="29">
        <v>0</v>
      </c>
    </row>
    <row r="94" spans="1:11" s="13" customFormat="1">
      <c r="A94" s="20" t="s">
        <v>209</v>
      </c>
      <c r="B94" s="30" t="s">
        <v>146</v>
      </c>
      <c r="C94" s="32" t="s">
        <v>38</v>
      </c>
      <c r="D94" s="146">
        <f>+'[1]Datos de los PIPS'!R78</f>
        <v>17800</v>
      </c>
      <c r="E94" s="8">
        <f t="shared" si="20"/>
        <v>5426.8292682926831</v>
      </c>
      <c r="F94" s="11">
        <f t="shared" si="23"/>
        <v>4450</v>
      </c>
      <c r="G94" s="29">
        <f t="shared" si="24"/>
        <v>976.82926829268297</v>
      </c>
      <c r="H94" s="146">
        <v>0</v>
      </c>
      <c r="I94" s="11">
        <f t="shared" si="21"/>
        <v>0</v>
      </c>
      <c r="J94" s="11">
        <f t="shared" si="25"/>
        <v>0</v>
      </c>
      <c r="K94" s="29">
        <v>0</v>
      </c>
    </row>
    <row r="95" spans="1:11" s="13" customFormat="1">
      <c r="A95" s="20" t="s">
        <v>210</v>
      </c>
      <c r="B95" s="39" t="s">
        <v>148</v>
      </c>
      <c r="C95" s="10" t="s">
        <v>38</v>
      </c>
      <c r="D95" s="146">
        <f>+'[1]Datos de los PIPS'!R79</f>
        <v>17800</v>
      </c>
      <c r="E95" s="8">
        <f t="shared" si="20"/>
        <v>5426.8292682926831</v>
      </c>
      <c r="F95" s="11">
        <f t="shared" si="23"/>
        <v>4450</v>
      </c>
      <c r="G95" s="29">
        <f t="shared" si="24"/>
        <v>976.82926829268297</v>
      </c>
      <c r="H95" s="146">
        <v>0</v>
      </c>
      <c r="I95" s="11">
        <f t="shared" si="21"/>
        <v>0</v>
      </c>
      <c r="J95" s="11">
        <f t="shared" si="25"/>
        <v>0</v>
      </c>
      <c r="K95" s="29">
        <v>0</v>
      </c>
    </row>
    <row r="96" spans="1:11" s="13" customFormat="1">
      <c r="A96" s="20" t="s">
        <v>211</v>
      </c>
      <c r="B96" s="39" t="s">
        <v>150</v>
      </c>
      <c r="C96" s="32" t="s">
        <v>38</v>
      </c>
      <c r="D96" s="146">
        <f>+'[1]Datos de los PIPS'!R80</f>
        <v>17800</v>
      </c>
      <c r="E96" s="8">
        <f t="shared" si="20"/>
        <v>5426.8292682926831</v>
      </c>
      <c r="F96" s="11">
        <f t="shared" si="23"/>
        <v>4450</v>
      </c>
      <c r="G96" s="29">
        <f t="shared" si="24"/>
        <v>976.82926829268297</v>
      </c>
      <c r="H96" s="146">
        <v>0</v>
      </c>
      <c r="I96" s="11">
        <f t="shared" si="21"/>
        <v>0</v>
      </c>
      <c r="J96" s="11">
        <f t="shared" si="25"/>
        <v>0</v>
      </c>
      <c r="K96" s="29">
        <v>0</v>
      </c>
    </row>
    <row r="97" spans="1:11" s="13" customFormat="1">
      <c r="A97" s="20" t="s">
        <v>212</v>
      </c>
      <c r="B97" s="39" t="s">
        <v>152</v>
      </c>
      <c r="C97" s="32" t="s">
        <v>38</v>
      </c>
      <c r="D97" s="146">
        <f>+'[1]Datos de los PIPS'!R95</f>
        <v>50850</v>
      </c>
      <c r="E97" s="8">
        <f t="shared" si="20"/>
        <v>15503.048780487807</v>
      </c>
      <c r="F97" s="11">
        <f t="shared" si="23"/>
        <v>12712.5</v>
      </c>
      <c r="G97" s="29">
        <f t="shared" si="24"/>
        <v>2790.5487804878053</v>
      </c>
      <c r="H97" s="146">
        <v>0</v>
      </c>
      <c r="I97" s="11">
        <f t="shared" si="21"/>
        <v>0</v>
      </c>
      <c r="J97" s="11">
        <f t="shared" si="25"/>
        <v>0</v>
      </c>
      <c r="K97" s="29">
        <v>0</v>
      </c>
    </row>
    <row r="98" spans="1:11" s="13" customFormat="1">
      <c r="A98" s="20" t="s">
        <v>213</v>
      </c>
      <c r="B98" s="39" t="s">
        <v>154</v>
      </c>
      <c r="C98" s="32" t="s">
        <v>38</v>
      </c>
      <c r="D98" s="146">
        <f>+'[1]Datos de los PIPS'!R96</f>
        <v>67050</v>
      </c>
      <c r="E98" s="8">
        <f t="shared" si="20"/>
        <v>20442.07317073171</v>
      </c>
      <c r="F98" s="11">
        <f t="shared" si="23"/>
        <v>16762.5</v>
      </c>
      <c r="G98" s="29">
        <f t="shared" si="24"/>
        <v>3679.5731707317077</v>
      </c>
      <c r="H98" s="146">
        <v>0</v>
      </c>
      <c r="I98" s="11">
        <f t="shared" si="21"/>
        <v>0</v>
      </c>
      <c r="J98" s="11">
        <f t="shared" si="25"/>
        <v>0</v>
      </c>
      <c r="K98" s="29">
        <v>0</v>
      </c>
    </row>
    <row r="99" spans="1:11" s="13" customFormat="1">
      <c r="A99" s="20" t="s">
        <v>214</v>
      </c>
      <c r="B99" s="39" t="s">
        <v>156</v>
      </c>
      <c r="C99" s="10" t="s">
        <v>38</v>
      </c>
      <c r="D99" s="146">
        <f>+'[1]Datos de los PIPS'!R97</f>
        <v>50850</v>
      </c>
      <c r="E99" s="8">
        <f t="shared" si="20"/>
        <v>15503.048780487807</v>
      </c>
      <c r="F99" s="11">
        <f t="shared" si="23"/>
        <v>12712.5</v>
      </c>
      <c r="G99" s="29">
        <f t="shared" si="24"/>
        <v>2790.5487804878053</v>
      </c>
      <c r="H99" s="146">
        <v>0</v>
      </c>
      <c r="I99" s="11">
        <f t="shared" si="21"/>
        <v>0</v>
      </c>
      <c r="J99" s="11">
        <f t="shared" si="25"/>
        <v>0</v>
      </c>
      <c r="K99" s="29">
        <v>0</v>
      </c>
    </row>
    <row r="100" spans="1:11" s="13" customFormat="1">
      <c r="A100" s="20" t="s">
        <v>215</v>
      </c>
      <c r="B100" s="39" t="s">
        <v>158</v>
      </c>
      <c r="C100" s="32" t="s">
        <v>38</v>
      </c>
      <c r="D100" s="146">
        <f>+'[1]Datos de los PIPS'!R98</f>
        <v>18450</v>
      </c>
      <c r="E100" s="8">
        <f t="shared" si="20"/>
        <v>5625</v>
      </c>
      <c r="F100" s="11">
        <f t="shared" si="23"/>
        <v>4612.5</v>
      </c>
      <c r="G100" s="29">
        <f t="shared" si="24"/>
        <v>1012.5</v>
      </c>
      <c r="H100" s="146">
        <v>0</v>
      </c>
      <c r="I100" s="11">
        <f t="shared" si="21"/>
        <v>0</v>
      </c>
      <c r="J100" s="11">
        <f t="shared" si="25"/>
        <v>0</v>
      </c>
      <c r="K100" s="29">
        <v>0</v>
      </c>
    </row>
    <row r="101" spans="1:11" s="13" customFormat="1">
      <c r="A101" s="20" t="s">
        <v>216</v>
      </c>
      <c r="B101" s="39" t="s">
        <v>160</v>
      </c>
      <c r="C101" s="32" t="s">
        <v>38</v>
      </c>
      <c r="D101" s="146">
        <f>+'[1]Datos de los PIPS'!R99</f>
        <v>50850</v>
      </c>
      <c r="E101" s="8">
        <f t="shared" si="20"/>
        <v>15503.048780487807</v>
      </c>
      <c r="F101" s="11">
        <f t="shared" si="23"/>
        <v>12712.5</v>
      </c>
      <c r="G101" s="29">
        <f t="shared" si="24"/>
        <v>2790.5487804878053</v>
      </c>
      <c r="H101" s="146">
        <v>0</v>
      </c>
      <c r="I101" s="11">
        <f t="shared" si="21"/>
        <v>0</v>
      </c>
      <c r="J101" s="11">
        <f t="shared" si="25"/>
        <v>0</v>
      </c>
      <c r="K101" s="29">
        <v>0</v>
      </c>
    </row>
    <row r="102" spans="1:11" s="13" customFormat="1">
      <c r="A102" s="20" t="s">
        <v>217</v>
      </c>
      <c r="B102" s="39" t="s">
        <v>162</v>
      </c>
      <c r="C102" s="32" t="s">
        <v>38</v>
      </c>
      <c r="D102" s="146">
        <f>+'[1]Datos de los PIPS'!R102</f>
        <v>18450</v>
      </c>
      <c r="E102" s="8">
        <f t="shared" si="20"/>
        <v>5625</v>
      </c>
      <c r="F102" s="11">
        <f t="shared" si="23"/>
        <v>4612.5</v>
      </c>
      <c r="G102" s="29">
        <f t="shared" si="24"/>
        <v>1012.5</v>
      </c>
      <c r="H102" s="146">
        <v>0</v>
      </c>
      <c r="I102" s="11">
        <f t="shared" si="21"/>
        <v>0</v>
      </c>
      <c r="J102" s="11">
        <f t="shared" si="25"/>
        <v>0</v>
      </c>
      <c r="K102" s="29">
        <v>0</v>
      </c>
    </row>
    <row r="103" spans="1:11" s="7" customFormat="1">
      <c r="A103" s="20" t="s">
        <v>59</v>
      </c>
      <c r="B103" s="44" t="s">
        <v>218</v>
      </c>
      <c r="C103" s="44"/>
      <c r="D103" s="54">
        <f t="shared" ref="D103:K103" si="26">SUM(D104:D133)</f>
        <v>1345821.1479076415</v>
      </c>
      <c r="E103" s="54">
        <f t="shared" si="26"/>
        <v>410311.3255815981</v>
      </c>
      <c r="F103" s="54">
        <f t="shared" si="26"/>
        <v>336455.28697691037</v>
      </c>
      <c r="G103" s="54">
        <f t="shared" si="26"/>
        <v>73856.038604687637</v>
      </c>
      <c r="H103" s="54">
        <f t="shared" si="26"/>
        <v>1842876.8469058883</v>
      </c>
      <c r="I103" s="54">
        <f t="shared" si="26"/>
        <v>561852.69722740503</v>
      </c>
      <c r="J103" s="54">
        <f t="shared" si="26"/>
        <v>460719.21172647219</v>
      </c>
      <c r="K103" s="54">
        <f t="shared" si="26"/>
        <v>101133.4855009329</v>
      </c>
    </row>
    <row r="104" spans="1:11" s="7" customFormat="1">
      <c r="A104" s="20" t="s">
        <v>61</v>
      </c>
      <c r="B104" s="30" t="s">
        <v>109</v>
      </c>
      <c r="C104" s="10" t="s">
        <v>38</v>
      </c>
      <c r="D104" s="146">
        <f>+'[1]Datos de los PIPS'!S19*'[1]Datos de los PIPS'!N19</f>
        <v>37618.375526970798</v>
      </c>
      <c r="E104" s="8">
        <f t="shared" ref="E104:E133" si="27">+D104/$C$4</f>
        <v>11469.016928954512</v>
      </c>
      <c r="F104" s="11">
        <f t="shared" si="14"/>
        <v>9404.5938817426995</v>
      </c>
      <c r="G104" s="29">
        <f t="shared" ref="G104:G133" si="28">+E104*0.18</f>
        <v>2064.423047211812</v>
      </c>
      <c r="H104" s="146">
        <f>+'[1]Datos de los PIPS'!S19*'[1]Datos de los PIPS'!O19</f>
        <v>52653.00568095129</v>
      </c>
      <c r="I104" s="11">
        <f t="shared" ref="I104:I133" si="29">+H104/$C$4</f>
        <v>16052.745634436369</v>
      </c>
      <c r="J104" s="11">
        <f t="shared" ref="J104:J133" si="30">+I104-K104</f>
        <v>13163.251420237822</v>
      </c>
      <c r="K104" s="29">
        <f t="shared" ref="K104:K133" si="31">+I104*0.18</f>
        <v>2889.4942141985462</v>
      </c>
    </row>
    <row r="105" spans="1:11" s="13" customFormat="1">
      <c r="A105" s="20" t="s">
        <v>62</v>
      </c>
      <c r="B105" s="30" t="s">
        <v>110</v>
      </c>
      <c r="C105" s="10" t="s">
        <v>38</v>
      </c>
      <c r="D105" s="146">
        <f>+'[1]Datos de los PIPS'!S20*'[1]Datos de los PIPS'!N20</f>
        <v>96827.012908600867</v>
      </c>
      <c r="E105" s="8">
        <f t="shared" si="27"/>
        <v>29520.430764817338</v>
      </c>
      <c r="F105" s="11">
        <f t="shared" si="14"/>
        <v>24206.753227150217</v>
      </c>
      <c r="G105" s="29">
        <f t="shared" si="28"/>
        <v>5313.6775376671203</v>
      </c>
      <c r="H105" s="146">
        <f>+'[1]Datos de los PIPS'!S20*'[1]Datos de los PIPS'!O20</f>
        <v>94268.905876419798</v>
      </c>
      <c r="I105" s="11">
        <f t="shared" si="29"/>
        <v>28740.520084274329</v>
      </c>
      <c r="J105" s="11">
        <f t="shared" si="30"/>
        <v>23567.22646910495</v>
      </c>
      <c r="K105" s="29">
        <f t="shared" si="31"/>
        <v>5173.2936151693793</v>
      </c>
    </row>
    <row r="106" spans="1:11" s="13" customFormat="1">
      <c r="A106" s="20" t="s">
        <v>63</v>
      </c>
      <c r="B106" s="30" t="s">
        <v>111</v>
      </c>
      <c r="C106" s="10" t="s">
        <v>38</v>
      </c>
      <c r="D106" s="146">
        <f>+'[1]Datos de los PIPS'!S21*'[1]Datos de los PIPS'!N21</f>
        <v>42398.507073950837</v>
      </c>
      <c r="E106" s="8">
        <f t="shared" si="27"/>
        <v>12926.374107911841</v>
      </c>
      <c r="F106" s="11">
        <f t="shared" ref="F106:F133" si="32">+E106-G106</f>
        <v>10599.626768487709</v>
      </c>
      <c r="G106" s="29">
        <f t="shared" si="28"/>
        <v>2326.747339424131</v>
      </c>
      <c r="H106" s="146">
        <f>+'[1]Datos de los PIPS'!S21*'[1]Datos de los PIPS'!O21</f>
        <v>57946.566692545559</v>
      </c>
      <c r="I106" s="11">
        <f t="shared" si="29"/>
        <v>17666.636186751697</v>
      </c>
      <c r="J106" s="11">
        <f t="shared" si="30"/>
        <v>14486.641673136392</v>
      </c>
      <c r="K106" s="29">
        <f t="shared" si="31"/>
        <v>3179.9945136153056</v>
      </c>
    </row>
    <row r="107" spans="1:11" s="13" customFormat="1">
      <c r="A107" s="20" t="s">
        <v>64</v>
      </c>
      <c r="B107" s="30" t="s">
        <v>112</v>
      </c>
      <c r="C107" s="10" t="s">
        <v>38</v>
      </c>
      <c r="D107" s="146">
        <f>+'[1]Datos de los PIPS'!S22*'[1]Datos de los PIPS'!N22</f>
        <v>32746.118809256819</v>
      </c>
      <c r="E107" s="8">
        <f t="shared" si="27"/>
        <v>9983.5728077002495</v>
      </c>
      <c r="F107" s="11">
        <f t="shared" si="32"/>
        <v>8186.5297023142048</v>
      </c>
      <c r="G107" s="29">
        <f t="shared" si="28"/>
        <v>1797.0431053860448</v>
      </c>
      <c r="H107" s="146">
        <f>+'[1]Datos de los PIPS'!S22*'[1]Datos de los PIPS'!O22</f>
        <v>55671.711190743175</v>
      </c>
      <c r="I107" s="11">
        <f t="shared" si="29"/>
        <v>16973.082680104628</v>
      </c>
      <c r="J107" s="11">
        <f t="shared" si="30"/>
        <v>13917.927797685796</v>
      </c>
      <c r="K107" s="29">
        <f t="shared" si="31"/>
        <v>3055.154882418833</v>
      </c>
    </row>
    <row r="108" spans="1:11" s="13" customFormat="1">
      <c r="A108" s="20" t="s">
        <v>65</v>
      </c>
      <c r="B108" s="30" t="s">
        <v>113</v>
      </c>
      <c r="C108" s="10" t="s">
        <v>38</v>
      </c>
      <c r="D108" s="146">
        <f>+'[1]Datos de los PIPS'!S23*'[1]Datos de los PIPS'!N23</f>
        <v>51548.700502148371</v>
      </c>
      <c r="E108" s="8">
        <f t="shared" si="27"/>
        <v>15716.067226264748</v>
      </c>
      <c r="F108" s="11">
        <f t="shared" si="32"/>
        <v>12887.175125537093</v>
      </c>
      <c r="G108" s="29">
        <f t="shared" si="28"/>
        <v>2828.8921007276545</v>
      </c>
      <c r="H108" s="146">
        <f>+'[1]Datos de los PIPS'!S23*'[1]Datos de los PIPS'!O23</f>
        <v>91353.884592033864</v>
      </c>
      <c r="I108" s="11">
        <f t="shared" si="29"/>
        <v>27851.794082937155</v>
      </c>
      <c r="J108" s="11">
        <f t="shared" si="30"/>
        <v>22838.471148008466</v>
      </c>
      <c r="K108" s="29">
        <f t="shared" si="31"/>
        <v>5013.3229349286876</v>
      </c>
    </row>
    <row r="109" spans="1:11" s="13" customFormat="1">
      <c r="A109" s="20" t="s">
        <v>66</v>
      </c>
      <c r="B109" s="30" t="s">
        <v>114</v>
      </c>
      <c r="C109" s="10" t="s">
        <v>38</v>
      </c>
      <c r="D109" s="146">
        <f>+'[1]Datos de los PIPS'!S24*'[1]Datos de los PIPS'!N24</f>
        <v>41048.367581228376</v>
      </c>
      <c r="E109" s="8">
        <f t="shared" si="27"/>
        <v>12514.74621378914</v>
      </c>
      <c r="F109" s="11">
        <f t="shared" si="32"/>
        <v>10262.091895307094</v>
      </c>
      <c r="G109" s="29">
        <f t="shared" si="28"/>
        <v>2252.6543184820453</v>
      </c>
      <c r="H109" s="146">
        <f>+'[1]Datos de los PIPS'!S24*'[1]Datos de los PIPS'!O24</f>
        <v>46695.532418771611</v>
      </c>
      <c r="I109" s="11">
        <f t="shared" si="29"/>
        <v>14236.442810601102</v>
      </c>
      <c r="J109" s="11">
        <f t="shared" si="30"/>
        <v>11673.883104692904</v>
      </c>
      <c r="K109" s="29">
        <f t="shared" si="31"/>
        <v>2562.5597059081983</v>
      </c>
    </row>
    <row r="110" spans="1:11" s="13" customFormat="1">
      <c r="A110" s="20" t="s">
        <v>219</v>
      </c>
      <c r="B110" s="30" t="s">
        <v>116</v>
      </c>
      <c r="C110" s="10" t="s">
        <v>38</v>
      </c>
      <c r="D110" s="146">
        <f>+'[1]Datos de los PIPS'!S31*'[1]Datos de los PIPS'!N31</f>
        <v>43438.878638053815</v>
      </c>
      <c r="E110" s="8">
        <f t="shared" si="27"/>
        <v>13243.560560382262</v>
      </c>
      <c r="F110" s="11">
        <f t="shared" si="32"/>
        <v>10859.719659513456</v>
      </c>
      <c r="G110" s="29">
        <f t="shared" si="28"/>
        <v>2383.8409008688072</v>
      </c>
      <c r="H110" s="146">
        <f>+'[1]Datos de los PIPS'!S31*'[1]Datos de los PIPS'!O31</f>
        <v>69999.346653652421</v>
      </c>
      <c r="I110" s="11">
        <f t="shared" si="29"/>
        <v>21341.26422367452</v>
      </c>
      <c r="J110" s="11">
        <f t="shared" si="30"/>
        <v>17499.836663413105</v>
      </c>
      <c r="K110" s="29">
        <f t="shared" si="31"/>
        <v>3841.4275602614134</v>
      </c>
    </row>
    <row r="111" spans="1:11" s="13" customFormat="1">
      <c r="A111" s="20" t="s">
        <v>220</v>
      </c>
      <c r="B111" s="30" t="s">
        <v>118</v>
      </c>
      <c r="C111" s="10" t="s">
        <v>38</v>
      </c>
      <c r="D111" s="146">
        <f>+'[1]Datos de los PIPS'!S33*'[1]Datos de los PIPS'!N33</f>
        <v>42043.275905094422</v>
      </c>
      <c r="E111" s="8">
        <f t="shared" si="27"/>
        <v>12818.071922284886</v>
      </c>
      <c r="F111" s="11">
        <f t="shared" si="32"/>
        <v>10510.818976273607</v>
      </c>
      <c r="G111" s="29">
        <f t="shared" si="28"/>
        <v>2307.2529460112792</v>
      </c>
      <c r="H111" s="146">
        <f>+'[1]Datos de los PIPS'!S33*'[1]Datos de los PIPS'!O33</f>
        <v>37280.071654049556</v>
      </c>
      <c r="I111" s="11">
        <f t="shared" si="29"/>
        <v>11365.875504283402</v>
      </c>
      <c r="J111" s="11">
        <f t="shared" si="30"/>
        <v>9320.017913512389</v>
      </c>
      <c r="K111" s="29">
        <f t="shared" si="31"/>
        <v>2045.8575907710122</v>
      </c>
    </row>
    <row r="112" spans="1:11" s="13" customFormat="1">
      <c r="A112" s="20" t="s">
        <v>221</v>
      </c>
      <c r="B112" s="30" t="s">
        <v>120</v>
      </c>
      <c r="C112" s="10" t="s">
        <v>38</v>
      </c>
      <c r="D112" s="146">
        <f>+'[1]Datos de los PIPS'!S34*'[1]Datos de los PIPS'!N34</f>
        <v>35011.318932638926</v>
      </c>
      <c r="E112" s="8">
        <f t="shared" si="27"/>
        <v>10674.182601414308</v>
      </c>
      <c r="F112" s="11">
        <f t="shared" si="32"/>
        <v>8752.8297331597332</v>
      </c>
      <c r="G112" s="29">
        <f t="shared" si="28"/>
        <v>1921.3528682545755</v>
      </c>
      <c r="H112" s="146">
        <f>+'[1]Datos de los PIPS'!S34*'[1]Datos de los PIPS'!O34</f>
        <v>38084.433608511157</v>
      </c>
      <c r="I112" s="11">
        <f t="shared" si="29"/>
        <v>11611.107807472914</v>
      </c>
      <c r="J112" s="11">
        <f t="shared" si="30"/>
        <v>9521.1084021277893</v>
      </c>
      <c r="K112" s="29">
        <f t="shared" si="31"/>
        <v>2089.9994053451246</v>
      </c>
    </row>
    <row r="113" spans="1:11" s="13" customFormat="1">
      <c r="A113" s="20" t="s">
        <v>222</v>
      </c>
      <c r="B113" s="30" t="s">
        <v>122</v>
      </c>
      <c r="C113" s="10" t="s">
        <v>38</v>
      </c>
      <c r="D113" s="146">
        <f>+'[1]Datos de los PIPS'!S36*'[1]Datos de los PIPS'!N36</f>
        <v>54029.036684582097</v>
      </c>
      <c r="E113" s="8">
        <f t="shared" si="27"/>
        <v>16472.267281884786</v>
      </c>
      <c r="F113" s="11">
        <f t="shared" si="32"/>
        <v>13507.259171145524</v>
      </c>
      <c r="G113" s="29">
        <f t="shared" si="28"/>
        <v>2965.0081107392612</v>
      </c>
      <c r="H113" s="146">
        <f>+'[1]Datos de los PIPS'!S36*'[1]Datos de los PIPS'!O36</f>
        <v>66031.833315417898</v>
      </c>
      <c r="I113" s="11">
        <f t="shared" si="29"/>
        <v>20131.656498603021</v>
      </c>
      <c r="J113" s="11">
        <f t="shared" si="30"/>
        <v>16507.958328854478</v>
      </c>
      <c r="K113" s="29">
        <f t="shared" si="31"/>
        <v>3623.6981697485435</v>
      </c>
    </row>
    <row r="114" spans="1:11" s="13" customFormat="1">
      <c r="A114" s="20" t="s">
        <v>223</v>
      </c>
      <c r="B114" s="39" t="s">
        <v>124</v>
      </c>
      <c r="C114" s="32" t="s">
        <v>38</v>
      </c>
      <c r="D114" s="146">
        <f>+'[1]Datos de los PIPS'!S65*'[1]Datos de los PIPS'!N65</f>
        <v>43921.107685469178</v>
      </c>
      <c r="E114" s="8">
        <f>+D114/$C$4</f>
        <v>13390.581611423531</v>
      </c>
      <c r="F114" s="11">
        <f>+E114-G114</f>
        <v>10980.276921367296</v>
      </c>
      <c r="G114" s="29">
        <f>+E114*0.18</f>
        <v>2410.3046900562354</v>
      </c>
      <c r="H114" s="146">
        <f>+'[1]Datos de los PIPS'!S65*'[1]Datos de los PIPS'!O65</f>
        <v>70289.023755208793</v>
      </c>
      <c r="I114" s="11">
        <f>+H114/$C$4</f>
        <v>21429.580413173415</v>
      </c>
      <c r="J114" s="11">
        <f>+I114-K114</f>
        <v>17572.255938802202</v>
      </c>
      <c r="K114" s="29">
        <f>+I114*0.18</f>
        <v>3857.3244743712144</v>
      </c>
    </row>
    <row r="115" spans="1:11" s="9" customFormat="1">
      <c r="A115" s="20" t="s">
        <v>224</v>
      </c>
      <c r="B115" s="30" t="s">
        <v>126</v>
      </c>
      <c r="C115" s="10" t="s">
        <v>38</v>
      </c>
      <c r="D115" s="146">
        <f>+'[1]Datos de los PIPS'!S44*'[1]Datos de los PIPS'!N44</f>
        <v>35596.559884491056</v>
      </c>
      <c r="E115" s="8">
        <f t="shared" si="27"/>
        <v>10852.609720881421</v>
      </c>
      <c r="F115" s="11">
        <f t="shared" si="32"/>
        <v>8899.1399711227641</v>
      </c>
      <c r="G115" s="29">
        <f t="shared" si="28"/>
        <v>1953.4697497586558</v>
      </c>
      <c r="H115" s="146">
        <f>+'[1]Datos de los PIPS'!S44*'[1]Datos de los PIPS'!O44</f>
        <v>66763.522794992386</v>
      </c>
      <c r="I115" s="11">
        <f t="shared" si="29"/>
        <v>20354.732559448901</v>
      </c>
      <c r="J115" s="11">
        <f t="shared" si="30"/>
        <v>16690.8806987481</v>
      </c>
      <c r="K115" s="29">
        <f t="shared" si="31"/>
        <v>3663.8518607008023</v>
      </c>
    </row>
    <row r="116" spans="1:11" s="18" customFormat="1">
      <c r="A116" s="20" t="s">
        <v>225</v>
      </c>
      <c r="B116" s="30" t="s">
        <v>128</v>
      </c>
      <c r="C116" s="32" t="s">
        <v>38</v>
      </c>
      <c r="D116" s="146">
        <f>+'[1]Datos de los PIPS'!S57*'[1]Datos de los PIPS'!N57</f>
        <v>53585.994893299212</v>
      </c>
      <c r="E116" s="8">
        <f t="shared" si="27"/>
        <v>16337.193565030249</v>
      </c>
      <c r="F116" s="11">
        <f t="shared" si="32"/>
        <v>13396.498723324805</v>
      </c>
      <c r="G116" s="29">
        <f t="shared" si="28"/>
        <v>2940.6948417054446</v>
      </c>
      <c r="H116" s="146">
        <f>+'[1]Datos de los PIPS'!S57*'[1]Datos de los PIPS'!O57</f>
        <v>54513.283241780438</v>
      </c>
      <c r="I116" s="11">
        <f t="shared" si="29"/>
        <v>16619.903427372086</v>
      </c>
      <c r="J116" s="11">
        <f t="shared" si="30"/>
        <v>13628.320810445111</v>
      </c>
      <c r="K116" s="29">
        <f t="shared" si="31"/>
        <v>2991.5826169269753</v>
      </c>
    </row>
    <row r="117" spans="1:11" s="18" customFormat="1">
      <c r="A117" s="20" t="s">
        <v>226</v>
      </c>
      <c r="B117" s="30" t="s">
        <v>130</v>
      </c>
      <c r="C117" s="32" t="s">
        <v>38</v>
      </c>
      <c r="D117" s="146">
        <f>+'[1]Datos de los PIPS'!S58*'[1]Datos de los PIPS'!N58</f>
        <v>31863.827789691404</v>
      </c>
      <c r="E117" s="8">
        <f t="shared" si="27"/>
        <v>9714.5816431985986</v>
      </c>
      <c r="F117" s="11">
        <f t="shared" si="32"/>
        <v>7965.956947422851</v>
      </c>
      <c r="G117" s="29">
        <f t="shared" si="28"/>
        <v>1748.6246957757478</v>
      </c>
      <c r="H117" s="146">
        <f>+'[1]Datos de los PIPS'!S58*'[1]Datos de los PIPS'!O58</f>
        <v>73459.172210308592</v>
      </c>
      <c r="I117" s="11">
        <f t="shared" si="29"/>
        <v>22396.089088508717</v>
      </c>
      <c r="J117" s="11">
        <f t="shared" si="30"/>
        <v>18364.793052577148</v>
      </c>
      <c r="K117" s="29">
        <f t="shared" si="31"/>
        <v>4031.2960359315689</v>
      </c>
    </row>
    <row r="118" spans="1:11" s="18" customFormat="1">
      <c r="A118" s="20" t="s">
        <v>227</v>
      </c>
      <c r="B118" s="30" t="s">
        <v>132</v>
      </c>
      <c r="C118" s="32" t="s">
        <v>38</v>
      </c>
      <c r="D118" s="146">
        <f>+'[1]Datos de los PIPS'!S59*'[1]Datos de los PIPS'!N59</f>
        <v>34738.744674803951</v>
      </c>
      <c r="E118" s="8">
        <f t="shared" si="27"/>
        <v>10591.080693537791</v>
      </c>
      <c r="F118" s="11">
        <f t="shared" si="32"/>
        <v>8684.6861687009896</v>
      </c>
      <c r="G118" s="29">
        <f t="shared" si="28"/>
        <v>1906.3945248368025</v>
      </c>
      <c r="H118" s="146">
        <f>+'[1]Datos de los PIPS'!S59*'[1]Datos de los PIPS'!O59</f>
        <v>60543.715325196055</v>
      </c>
      <c r="I118" s="11">
        <f t="shared" si="29"/>
        <v>18458.44979426709</v>
      </c>
      <c r="J118" s="11">
        <f t="shared" si="30"/>
        <v>15135.928831299014</v>
      </c>
      <c r="K118" s="29">
        <f t="shared" si="31"/>
        <v>3322.5209629680762</v>
      </c>
    </row>
    <row r="119" spans="1:11" s="13" customFormat="1">
      <c r="A119" s="20" t="s">
        <v>228</v>
      </c>
      <c r="B119" s="30" t="s">
        <v>134</v>
      </c>
      <c r="C119" s="10" t="s">
        <v>38</v>
      </c>
      <c r="D119" s="146">
        <f>+'[1]Datos de los PIPS'!S60*'[1]Datos de los PIPS'!N60</f>
        <v>49275.11310303463</v>
      </c>
      <c r="E119" s="8">
        <f t="shared" si="27"/>
        <v>15022.900336291046</v>
      </c>
      <c r="F119" s="11">
        <f t="shared" si="32"/>
        <v>12318.778275758657</v>
      </c>
      <c r="G119" s="29">
        <f t="shared" si="28"/>
        <v>2704.1220605323883</v>
      </c>
      <c r="H119" s="146">
        <f>+'[1]Datos de los PIPS'!S60*'[1]Datos de los PIPS'!O60</f>
        <v>67480.586896965367</v>
      </c>
      <c r="I119" s="11">
        <f t="shared" si="29"/>
        <v>20573.349663708956</v>
      </c>
      <c r="J119" s="11">
        <f t="shared" si="30"/>
        <v>16870.146724241342</v>
      </c>
      <c r="K119" s="29">
        <f t="shared" si="31"/>
        <v>3703.2029394676119</v>
      </c>
    </row>
    <row r="120" spans="1:11" s="13" customFormat="1">
      <c r="A120" s="20" t="s">
        <v>229</v>
      </c>
      <c r="B120" s="30" t="s">
        <v>136</v>
      </c>
      <c r="C120" s="32" t="s">
        <v>38</v>
      </c>
      <c r="D120" s="146">
        <f>+'[1]Datos de los PIPS'!S61*'[1]Datos de los PIPS'!N61</f>
        <v>37371.753292659872</v>
      </c>
      <c r="E120" s="8">
        <f t="shared" si="27"/>
        <v>11393.827223371913</v>
      </c>
      <c r="F120" s="11">
        <f t="shared" si="32"/>
        <v>9342.9383231649681</v>
      </c>
      <c r="G120" s="29">
        <f t="shared" si="28"/>
        <v>2050.8889002069441</v>
      </c>
      <c r="H120" s="146">
        <f>+'[1]Datos de los PIPS'!S61*'[1]Datos de los PIPS'!O61</f>
        <v>71538.386707340134</v>
      </c>
      <c r="I120" s="11">
        <f t="shared" si="29"/>
        <v>21810.483752237848</v>
      </c>
      <c r="J120" s="11">
        <f t="shared" si="30"/>
        <v>17884.596676835034</v>
      </c>
      <c r="K120" s="29">
        <f t="shared" si="31"/>
        <v>3925.8870754028126</v>
      </c>
    </row>
    <row r="121" spans="1:11" s="13" customFormat="1">
      <c r="A121" s="20" t="s">
        <v>230</v>
      </c>
      <c r="B121" s="30" t="s">
        <v>138</v>
      </c>
      <c r="C121" s="32" t="s">
        <v>38</v>
      </c>
      <c r="D121" s="146">
        <f>+'[1]Datos de los PIPS'!S62*'[1]Datos de los PIPS'!N62</f>
        <v>39426.80660204844</v>
      </c>
      <c r="E121" s="8">
        <f t="shared" si="27"/>
        <v>12020.367866478184</v>
      </c>
      <c r="F121" s="11">
        <f t="shared" si="32"/>
        <v>9856.7016505121101</v>
      </c>
      <c r="G121" s="29">
        <f t="shared" si="28"/>
        <v>2163.6662159660732</v>
      </c>
      <c r="H121" s="146">
        <f>+'[1]Datos de los PIPS'!S62*'[1]Datos de los PIPS'!O62</f>
        <v>64415.54097750147</v>
      </c>
      <c r="I121" s="11">
        <f t="shared" si="29"/>
        <v>19638.884444360207</v>
      </c>
      <c r="J121" s="11">
        <f t="shared" si="30"/>
        <v>16103.885244375369</v>
      </c>
      <c r="K121" s="29">
        <f t="shared" si="31"/>
        <v>3534.9991999848371</v>
      </c>
    </row>
    <row r="122" spans="1:11" s="13" customFormat="1">
      <c r="A122" s="20" t="s">
        <v>231</v>
      </c>
      <c r="B122" s="30" t="s">
        <v>140</v>
      </c>
      <c r="C122" s="32" t="s">
        <v>38</v>
      </c>
      <c r="D122" s="146">
        <f>+'[1]Datos de los PIPS'!S63*'[1]Datos de los PIPS'!N63</f>
        <v>48210.429527241089</v>
      </c>
      <c r="E122" s="8">
        <f t="shared" si="27"/>
        <v>14698.30168513448</v>
      </c>
      <c r="F122" s="11">
        <f t="shared" si="32"/>
        <v>12052.607381810274</v>
      </c>
      <c r="G122" s="29">
        <f t="shared" si="28"/>
        <v>2645.6943033242064</v>
      </c>
      <c r="H122" s="146">
        <f>+'[1]Datos de los PIPS'!S63*'[1]Datos de los PIPS'!O63</f>
        <v>56661.40047275892</v>
      </c>
      <c r="I122" s="11">
        <f t="shared" si="29"/>
        <v>17274.81721730455</v>
      </c>
      <c r="J122" s="11">
        <f t="shared" si="30"/>
        <v>14165.35011818973</v>
      </c>
      <c r="K122" s="29">
        <f t="shared" si="31"/>
        <v>3109.4670991148187</v>
      </c>
    </row>
    <row r="123" spans="1:11" s="13" customFormat="1">
      <c r="A123" s="20" t="s">
        <v>232</v>
      </c>
      <c r="B123" s="30" t="s">
        <v>142</v>
      </c>
      <c r="C123" s="10" t="s">
        <v>38</v>
      </c>
      <c r="D123" s="146">
        <f>+'[1]Datos de los PIPS'!S64*'[1]Datos de los PIPS'!N64</f>
        <v>30479.345026208775</v>
      </c>
      <c r="E123" s="8">
        <f t="shared" si="27"/>
        <v>9292.4832396977981</v>
      </c>
      <c r="F123" s="11">
        <f t="shared" si="32"/>
        <v>7619.8362565521948</v>
      </c>
      <c r="G123" s="29">
        <f t="shared" si="28"/>
        <v>1672.6469831456036</v>
      </c>
      <c r="H123" s="146">
        <f>+'[1]Datos de los PIPS'!S64*'[1]Datos de los PIPS'!O64</f>
        <v>46385.381339841319</v>
      </c>
      <c r="I123" s="11">
        <f t="shared" si="29"/>
        <v>14141.88455482967</v>
      </c>
      <c r="J123" s="11">
        <f t="shared" si="30"/>
        <v>11596.34533496033</v>
      </c>
      <c r="K123" s="29">
        <f t="shared" si="31"/>
        <v>2545.5392198693407</v>
      </c>
    </row>
    <row r="124" spans="1:11" s="13" customFormat="1">
      <c r="A124" s="20" t="s">
        <v>233</v>
      </c>
      <c r="B124" s="30" t="s">
        <v>144</v>
      </c>
      <c r="C124" s="32" t="s">
        <v>38</v>
      </c>
      <c r="D124" s="146">
        <f>+'[1]Datos de los PIPS'!S69*'[1]Datos de los PIPS'!N69</f>
        <v>95081.976102460962</v>
      </c>
      <c r="E124" s="8">
        <f t="shared" si="27"/>
        <v>28988.40734831127</v>
      </c>
      <c r="F124" s="11">
        <f t="shared" si="32"/>
        <v>23770.49402561524</v>
      </c>
      <c r="G124" s="29">
        <f t="shared" si="28"/>
        <v>5217.9133226960284</v>
      </c>
      <c r="H124" s="146">
        <f>+'[1]Datos de los PIPS'!S69*'[1]Datos de los PIPS'!O69</f>
        <v>59296.363897539013</v>
      </c>
      <c r="I124" s="11">
        <f t="shared" si="29"/>
        <v>18078.159724859455</v>
      </c>
      <c r="J124" s="11">
        <f t="shared" si="30"/>
        <v>14824.090974384753</v>
      </c>
      <c r="K124" s="29">
        <f t="shared" si="31"/>
        <v>3254.068750474702</v>
      </c>
    </row>
    <row r="125" spans="1:11" s="13" customFormat="1">
      <c r="A125" s="20" t="s">
        <v>234</v>
      </c>
      <c r="B125" s="30" t="s">
        <v>146</v>
      </c>
      <c r="C125" s="32" t="s">
        <v>38</v>
      </c>
      <c r="D125" s="146">
        <f>+'[1]Datos de los PIPS'!S78*'[1]Datos de los PIPS'!N78</f>
        <v>27337.635047426145</v>
      </c>
      <c r="E125" s="8">
        <f t="shared" si="27"/>
        <v>8334.6448315323614</v>
      </c>
      <c r="F125" s="11">
        <f t="shared" si="32"/>
        <v>6834.4087618565363</v>
      </c>
      <c r="G125" s="29">
        <f t="shared" si="28"/>
        <v>1500.2360696758251</v>
      </c>
      <c r="H125" s="146">
        <f>+'[1]Datos de los PIPS'!S78*'[1]Datos de los PIPS'!O78</f>
        <v>57698.674952573856</v>
      </c>
      <c r="I125" s="11">
        <f t="shared" si="29"/>
        <v>17591.059436760323</v>
      </c>
      <c r="J125" s="11">
        <f t="shared" si="30"/>
        <v>14424.668738143464</v>
      </c>
      <c r="K125" s="29">
        <f t="shared" si="31"/>
        <v>3166.3906986168581</v>
      </c>
    </row>
    <row r="126" spans="1:11" s="13" customFormat="1">
      <c r="A126" s="20" t="s">
        <v>235</v>
      </c>
      <c r="B126" s="39" t="s">
        <v>148</v>
      </c>
      <c r="C126" s="10" t="s">
        <v>38</v>
      </c>
      <c r="D126" s="146">
        <f>+'[1]Datos de los PIPS'!S79*'[1]Datos de los PIPS'!N79</f>
        <v>28092.342874915565</v>
      </c>
      <c r="E126" s="8">
        <f t="shared" si="27"/>
        <v>8564.7386813766971</v>
      </c>
      <c r="F126" s="11">
        <f t="shared" si="32"/>
        <v>7023.0857187288912</v>
      </c>
      <c r="G126" s="29">
        <f t="shared" si="28"/>
        <v>1541.6529626478055</v>
      </c>
      <c r="H126" s="146">
        <f>+'[1]Datos de los PIPS'!S79*'[1]Datos de los PIPS'!O79</f>
        <v>56624.402125084438</v>
      </c>
      <c r="I126" s="11">
        <f t="shared" si="29"/>
        <v>17263.537233257452</v>
      </c>
      <c r="J126" s="11">
        <f t="shared" si="30"/>
        <v>14156.10053127111</v>
      </c>
      <c r="K126" s="29">
        <f t="shared" si="31"/>
        <v>3107.4367019863412</v>
      </c>
    </row>
    <row r="127" spans="1:11" s="13" customFormat="1">
      <c r="A127" s="20" t="s">
        <v>236</v>
      </c>
      <c r="B127" s="39" t="s">
        <v>150</v>
      </c>
      <c r="C127" s="32" t="s">
        <v>38</v>
      </c>
      <c r="D127" s="146">
        <f>+'[1]Datos de los PIPS'!S80*'[1]Datos de los PIPS'!N80</f>
        <v>40328.164632712243</v>
      </c>
      <c r="E127" s="8">
        <f t="shared" si="27"/>
        <v>12295.172144119588</v>
      </c>
      <c r="F127" s="11">
        <f t="shared" si="32"/>
        <v>10082.041158178063</v>
      </c>
      <c r="G127" s="29">
        <f t="shared" si="28"/>
        <v>2213.1309859415255</v>
      </c>
      <c r="H127" s="146">
        <f>+'[1]Datos de los PIPS'!S80*'[1]Datos de los PIPS'!O80</f>
        <v>43130.908672372483</v>
      </c>
      <c r="I127" s="11">
        <f t="shared" si="29"/>
        <v>13149.667278162344</v>
      </c>
      <c r="J127" s="11">
        <f t="shared" si="30"/>
        <v>10782.727168093123</v>
      </c>
      <c r="K127" s="29">
        <f t="shared" si="31"/>
        <v>2366.9401100692216</v>
      </c>
    </row>
    <row r="128" spans="1:11" s="13" customFormat="1">
      <c r="A128" s="20" t="s">
        <v>237</v>
      </c>
      <c r="B128" s="39" t="s">
        <v>152</v>
      </c>
      <c r="C128" s="32" t="s">
        <v>38</v>
      </c>
      <c r="D128" s="146">
        <f>+'[1]Datos de los PIPS'!S95*'[1]Datos de los PIPS'!N95</f>
        <v>63211.011396943213</v>
      </c>
      <c r="E128" s="8">
        <f t="shared" si="27"/>
        <v>19271.649816141224</v>
      </c>
      <c r="F128" s="11">
        <f t="shared" si="32"/>
        <v>15802.752849235803</v>
      </c>
      <c r="G128" s="29">
        <f t="shared" si="28"/>
        <v>3468.89696690542</v>
      </c>
      <c r="H128" s="146">
        <f>+'[1]Datos de los PIPS'!S95*'[1]Datos de los PIPS'!O95</f>
        <v>38916.98860305678</v>
      </c>
      <c r="I128" s="11">
        <f t="shared" si="29"/>
        <v>11864.935549712434</v>
      </c>
      <c r="J128" s="11">
        <f t="shared" si="30"/>
        <v>9729.2471507641967</v>
      </c>
      <c r="K128" s="29">
        <f t="shared" si="31"/>
        <v>2135.688398948238</v>
      </c>
    </row>
    <row r="129" spans="1:11" s="13" customFormat="1">
      <c r="A129" s="20" t="s">
        <v>238</v>
      </c>
      <c r="B129" s="39" t="s">
        <v>154</v>
      </c>
      <c r="C129" s="32" t="s">
        <v>38</v>
      </c>
      <c r="D129" s="146">
        <f>+'[1]Datos de los PIPS'!S96*'[1]Datos de los PIPS'!N96</f>
        <v>59695.476061845409</v>
      </c>
      <c r="E129" s="8">
        <f t="shared" si="27"/>
        <v>18199.840262757749</v>
      </c>
      <c r="F129" s="11">
        <f t="shared" si="32"/>
        <v>14923.869015461354</v>
      </c>
      <c r="G129" s="29">
        <f t="shared" si="28"/>
        <v>3275.9712472963947</v>
      </c>
      <c r="H129" s="146">
        <f>+'[1]Datos de los PIPS'!S96*'[1]Datos de los PIPS'!O96</f>
        <v>84277.968938154605</v>
      </c>
      <c r="I129" s="11">
        <f t="shared" si="29"/>
        <v>25694.502725047136</v>
      </c>
      <c r="J129" s="11">
        <f t="shared" si="30"/>
        <v>21069.492234538651</v>
      </c>
      <c r="K129" s="29">
        <f t="shared" si="31"/>
        <v>4625.0104905084845</v>
      </c>
    </row>
    <row r="130" spans="1:11" s="13" customFormat="1">
      <c r="A130" s="20" t="s">
        <v>239</v>
      </c>
      <c r="B130" s="39" t="s">
        <v>156</v>
      </c>
      <c r="C130" s="10" t="s">
        <v>38</v>
      </c>
      <c r="D130" s="146">
        <f>+'[1]Datos de los PIPS'!S97*'[1]Datos de los PIPS'!N97</f>
        <v>37518.831802994253</v>
      </c>
      <c r="E130" s="8">
        <f t="shared" si="27"/>
        <v>11438.668232620199</v>
      </c>
      <c r="F130" s="11">
        <f t="shared" si="32"/>
        <v>9379.7079507485632</v>
      </c>
      <c r="G130" s="29">
        <f t="shared" si="28"/>
        <v>2058.9602818716357</v>
      </c>
      <c r="H130" s="146">
        <f>+'[1]Datos de los PIPS'!S97*'[1]Datos de los PIPS'!O97</f>
        <v>65310.125317005753</v>
      </c>
      <c r="I130" s="11">
        <f t="shared" si="29"/>
        <v>19911.623572257853</v>
      </c>
      <c r="J130" s="11">
        <f t="shared" si="30"/>
        <v>16327.53132925144</v>
      </c>
      <c r="K130" s="29">
        <f t="shared" si="31"/>
        <v>3584.0922430064134</v>
      </c>
    </row>
    <row r="131" spans="1:11" s="13" customFormat="1">
      <c r="A131" s="20" t="s">
        <v>240</v>
      </c>
      <c r="B131" s="39" t="s">
        <v>158</v>
      </c>
      <c r="C131" s="32" t="s">
        <v>38</v>
      </c>
      <c r="D131" s="146">
        <f>+'[1]Datos de los PIPS'!S98*'[1]Datos de los PIPS'!N98</f>
        <v>40383.927083099756</v>
      </c>
      <c r="E131" s="8">
        <f t="shared" si="27"/>
        <v>12312.172891188951</v>
      </c>
      <c r="F131" s="11">
        <f t="shared" si="32"/>
        <v>10095.981770774941</v>
      </c>
      <c r="G131" s="29">
        <f t="shared" si="28"/>
        <v>2216.191120414011</v>
      </c>
      <c r="H131" s="146">
        <f>+'[1]Datos de los PIPS'!S98*'[1]Datos de los PIPS'!O98</f>
        <v>64058.840552075875</v>
      </c>
      <c r="I131" s="11">
        <f t="shared" si="29"/>
        <v>19530.13431465728</v>
      </c>
      <c r="J131" s="11">
        <f t="shared" si="30"/>
        <v>16014.710138018971</v>
      </c>
      <c r="K131" s="29">
        <f t="shared" si="31"/>
        <v>3515.4241766383102</v>
      </c>
    </row>
    <row r="132" spans="1:11" s="13" customFormat="1">
      <c r="A132" s="20" t="s">
        <v>241</v>
      </c>
      <c r="B132" s="39" t="s">
        <v>160</v>
      </c>
      <c r="C132" s="32" t="s">
        <v>38</v>
      </c>
      <c r="D132" s="146">
        <f>+'[1]Datos de los PIPS'!S99*'[1]Datos de los PIPS'!N99</f>
        <v>35282.85011159323</v>
      </c>
      <c r="E132" s="8">
        <f t="shared" si="27"/>
        <v>10756.966497436961</v>
      </c>
      <c r="F132" s="11">
        <f t="shared" si="32"/>
        <v>8820.7125278983076</v>
      </c>
      <c r="G132" s="29">
        <f t="shared" si="28"/>
        <v>1936.2539695386529</v>
      </c>
      <c r="H132" s="146">
        <f>+'[1]Datos de los PIPS'!S99*'[1]Datos de los PIPS'!O99</f>
        <v>68788.64700840677</v>
      </c>
      <c r="I132" s="11">
        <f t="shared" si="29"/>
        <v>20972.148478172796</v>
      </c>
      <c r="J132" s="11">
        <f t="shared" si="30"/>
        <v>17197.161752101692</v>
      </c>
      <c r="K132" s="29">
        <f t="shared" si="31"/>
        <v>3774.986726071103</v>
      </c>
    </row>
    <row r="133" spans="1:11" s="13" customFormat="1">
      <c r="A133" s="20" t="s">
        <v>242</v>
      </c>
      <c r="B133" s="39" t="s">
        <v>162</v>
      </c>
      <c r="C133" s="32" t="s">
        <v>38</v>
      </c>
      <c r="D133" s="146">
        <f>+'[1]Datos de los PIPS'!S102*'[1]Datos de los PIPS'!N102</f>
        <v>37709.657752177955</v>
      </c>
      <c r="E133" s="8">
        <f t="shared" si="27"/>
        <v>11496.84687566401</v>
      </c>
      <c r="F133" s="11">
        <f t="shared" si="32"/>
        <v>9427.4144380444886</v>
      </c>
      <c r="G133" s="29">
        <f t="shared" si="28"/>
        <v>2069.4324376195218</v>
      </c>
      <c r="H133" s="146">
        <f>+'[1]Datos de los PIPS'!S102*'[1]Datos de los PIPS'!O102</f>
        <v>62738.621434628956</v>
      </c>
      <c r="I133" s="11">
        <f t="shared" si="29"/>
        <v>19127.628486167367</v>
      </c>
      <c r="J133" s="11">
        <f t="shared" si="30"/>
        <v>15684.655358657241</v>
      </c>
      <c r="K133" s="29">
        <f t="shared" si="31"/>
        <v>3442.9731275101258</v>
      </c>
    </row>
    <row r="134" spans="1:11" s="7" customFormat="1">
      <c r="A134" s="20" t="s">
        <v>243</v>
      </c>
      <c r="B134" s="44" t="s">
        <v>244</v>
      </c>
      <c r="C134" s="44"/>
      <c r="D134" s="54">
        <f t="shared" ref="D134:K134" si="33">SUM(D135:D164)</f>
        <v>1369794.390490995</v>
      </c>
      <c r="E134" s="54">
        <f t="shared" si="33"/>
        <v>417620.24100335228</v>
      </c>
      <c r="F134" s="54">
        <f t="shared" si="33"/>
        <v>342448.59762274876</v>
      </c>
      <c r="G134" s="54">
        <f t="shared" si="33"/>
        <v>75171.643380603404</v>
      </c>
      <c r="H134" s="54">
        <f t="shared" si="33"/>
        <v>1885868.327787962</v>
      </c>
      <c r="I134" s="54">
        <f t="shared" si="33"/>
        <v>574959.85603291553</v>
      </c>
      <c r="J134" s="54">
        <f t="shared" si="33"/>
        <v>471467.08194699051</v>
      </c>
      <c r="K134" s="54">
        <f t="shared" si="33"/>
        <v>103492.77408592476</v>
      </c>
    </row>
    <row r="135" spans="1:11" s="7" customFormat="1">
      <c r="A135" s="20" t="s">
        <v>245</v>
      </c>
      <c r="B135" s="30" t="s">
        <v>109</v>
      </c>
      <c r="C135" s="10" t="s">
        <v>38</v>
      </c>
      <c r="D135" s="146">
        <f>+'[1]Datos de los PIPS'!T19*'[1]Datos de los PIPS'!N19</f>
        <v>37824.727071187175</v>
      </c>
      <c r="E135" s="8">
        <f t="shared" ref="E135:E164" si="34">+D135/$C$4</f>
        <v>11531.928985118042</v>
      </c>
      <c r="F135" s="11">
        <f t="shared" ref="F135:F195" si="35">+E135-G135</f>
        <v>9456.1817677967956</v>
      </c>
      <c r="G135" s="29">
        <f t="shared" ref="G135:G164" si="36">+E135*0.18</f>
        <v>2075.7472173212473</v>
      </c>
      <c r="H135" s="146">
        <f>+'[1]Datos de los PIPS'!T19*'[1]Datos de los PIPS'!O19</f>
        <v>52941.828068353636</v>
      </c>
      <c r="I135" s="11">
        <f t="shared" ref="I135:I164" si="37">+H135/$C$4</f>
        <v>16140.801240351719</v>
      </c>
      <c r="J135" s="11">
        <f t="shared" ref="J135:J164" si="38">+I135-K135</f>
        <v>13235.457017088409</v>
      </c>
      <c r="K135" s="29">
        <f t="shared" ref="K135:K164" si="39">+I135*0.18</f>
        <v>2905.3442232633092</v>
      </c>
    </row>
    <row r="136" spans="1:11" s="13" customFormat="1">
      <c r="A136" s="20" t="s">
        <v>246</v>
      </c>
      <c r="B136" s="30" t="s">
        <v>110</v>
      </c>
      <c r="C136" s="10" t="s">
        <v>38</v>
      </c>
      <c r="D136" s="146">
        <f>+'[1]Datos de los PIPS'!T20*'[1]Datos de los PIPS'!N20</f>
        <v>20089.824489755752</v>
      </c>
      <c r="E136" s="8">
        <f t="shared" si="34"/>
        <v>6124.9464907791935</v>
      </c>
      <c r="F136" s="11">
        <f t="shared" si="35"/>
        <v>5022.456122438939</v>
      </c>
      <c r="G136" s="29">
        <f t="shared" si="36"/>
        <v>1102.4903683402547</v>
      </c>
      <c r="H136" s="146">
        <f>+'[1]Datos de los PIPS'!T20*'[1]Datos de los PIPS'!O20</f>
        <v>19559.064325223582</v>
      </c>
      <c r="I136" s="11">
        <f t="shared" si="37"/>
        <v>5963.129367446214</v>
      </c>
      <c r="J136" s="11">
        <f t="shared" si="38"/>
        <v>4889.7660813058956</v>
      </c>
      <c r="K136" s="29">
        <f t="shared" si="39"/>
        <v>1073.3632861403185</v>
      </c>
    </row>
    <row r="137" spans="1:11" s="13" customFormat="1">
      <c r="A137" s="20" t="s">
        <v>247</v>
      </c>
      <c r="B137" s="30" t="s">
        <v>111</v>
      </c>
      <c r="C137" s="10" t="s">
        <v>38</v>
      </c>
      <c r="D137" s="146">
        <f>+'[1]Datos de los PIPS'!T21*'[1]Datos de los PIPS'!N21</f>
        <v>40329.826398605524</v>
      </c>
      <c r="E137" s="8">
        <f t="shared" si="34"/>
        <v>12295.678780062661</v>
      </c>
      <c r="F137" s="11">
        <f t="shared" si="35"/>
        <v>10082.456599651381</v>
      </c>
      <c r="G137" s="29">
        <f t="shared" si="36"/>
        <v>2213.2221804112787</v>
      </c>
      <c r="H137" s="146">
        <f>+'[1]Datos de los PIPS'!T21*'[1]Datos de los PIPS'!O21</f>
        <v>55119.27509686751</v>
      </c>
      <c r="I137" s="11">
        <f t="shared" si="37"/>
        <v>16804.6570417279</v>
      </c>
      <c r="J137" s="11">
        <f t="shared" si="38"/>
        <v>13779.818774216878</v>
      </c>
      <c r="K137" s="29">
        <f t="shared" si="39"/>
        <v>3024.838267511022</v>
      </c>
    </row>
    <row r="138" spans="1:11" s="13" customFormat="1">
      <c r="A138" s="20" t="s">
        <v>248</v>
      </c>
      <c r="B138" s="30" t="s">
        <v>112</v>
      </c>
      <c r="C138" s="10" t="s">
        <v>38</v>
      </c>
      <c r="D138" s="146">
        <f>+'[1]Datos de los PIPS'!T22*'[1]Datos de los PIPS'!N22</f>
        <v>33549.762804213293</v>
      </c>
      <c r="E138" s="8">
        <f t="shared" si="34"/>
        <v>10228.586220796737</v>
      </c>
      <c r="F138" s="11">
        <f t="shared" si="35"/>
        <v>8387.440701053325</v>
      </c>
      <c r="G138" s="29">
        <f t="shared" si="36"/>
        <v>1841.1455197434125</v>
      </c>
      <c r="H138" s="146">
        <f>+'[1]Datos de los PIPS'!T22*'[1]Datos de los PIPS'!O22</f>
        <v>57037.9871957867</v>
      </c>
      <c r="I138" s="11">
        <f t="shared" si="37"/>
        <v>17389.630242617899</v>
      </c>
      <c r="J138" s="11">
        <f t="shared" si="38"/>
        <v>14259.496798946677</v>
      </c>
      <c r="K138" s="29">
        <f t="shared" si="39"/>
        <v>3130.1334436712218</v>
      </c>
    </row>
    <row r="139" spans="1:11" s="13" customFormat="1">
      <c r="A139" s="20" t="s">
        <v>249</v>
      </c>
      <c r="B139" s="30" t="s">
        <v>113</v>
      </c>
      <c r="C139" s="10" t="s">
        <v>38</v>
      </c>
      <c r="D139" s="146">
        <f>+'[1]Datos de los PIPS'!T23*'[1]Datos de los PIPS'!N23</f>
        <v>31457.924913771581</v>
      </c>
      <c r="E139" s="8">
        <f t="shared" si="34"/>
        <v>9590.8307663937758</v>
      </c>
      <c r="F139" s="11">
        <f t="shared" si="35"/>
        <v>7864.4812284428963</v>
      </c>
      <c r="G139" s="29">
        <f t="shared" si="36"/>
        <v>1726.3495379508795</v>
      </c>
      <c r="H139" s="146">
        <f>+'[1]Datos de los PIPS'!T23*'[1]Datos de los PIPS'!O23</f>
        <v>55749.293659842806</v>
      </c>
      <c r="I139" s="11">
        <f t="shared" si="37"/>
        <v>16996.735871903296</v>
      </c>
      <c r="J139" s="11">
        <f t="shared" si="38"/>
        <v>13937.323414960703</v>
      </c>
      <c r="K139" s="29">
        <f t="shared" si="39"/>
        <v>3059.4124569425931</v>
      </c>
    </row>
    <row r="140" spans="1:11" s="13" customFormat="1">
      <c r="A140" s="20" t="s">
        <v>250</v>
      </c>
      <c r="B140" s="30" t="s">
        <v>114</v>
      </c>
      <c r="C140" s="10" t="s">
        <v>38</v>
      </c>
      <c r="D140" s="146">
        <f>+'[1]Datos de los PIPS'!T24*'[1]Datos de los PIPS'!N24</f>
        <v>42282.804704909773</v>
      </c>
      <c r="E140" s="8">
        <f t="shared" si="34"/>
        <v>12891.098995399321</v>
      </c>
      <c r="F140" s="11">
        <f t="shared" si="35"/>
        <v>10570.701176227443</v>
      </c>
      <c r="G140" s="29">
        <f t="shared" si="36"/>
        <v>2320.3978191718779</v>
      </c>
      <c r="H140" s="146">
        <f>+'[1]Datos de los PIPS'!T24*'[1]Datos de los PIPS'!O24</f>
        <v>48099.795295090225</v>
      </c>
      <c r="I140" s="11">
        <f t="shared" si="37"/>
        <v>14664.571736307997</v>
      </c>
      <c r="J140" s="11">
        <f t="shared" si="38"/>
        <v>12024.948823772556</v>
      </c>
      <c r="K140" s="29">
        <f t="shared" si="39"/>
        <v>2639.6229125354394</v>
      </c>
    </row>
    <row r="141" spans="1:11" s="13" customFormat="1">
      <c r="A141" s="20" t="s">
        <v>251</v>
      </c>
      <c r="B141" s="30" t="s">
        <v>116</v>
      </c>
      <c r="C141" s="10" t="s">
        <v>38</v>
      </c>
      <c r="D141" s="146">
        <f>+'[1]Datos de los PIPS'!T31*'[1]Datos de los PIPS'!N31</f>
        <v>45647.29587663748</v>
      </c>
      <c r="E141" s="8">
        <f t="shared" si="34"/>
        <v>13916.858498974841</v>
      </c>
      <c r="F141" s="11">
        <f t="shared" si="35"/>
        <v>11411.82396915937</v>
      </c>
      <c r="G141" s="29">
        <f t="shared" si="36"/>
        <v>2505.0345298154712</v>
      </c>
      <c r="H141" s="146">
        <f>+'[1]Datos de los PIPS'!T31*'[1]Datos de los PIPS'!O31</f>
        <v>73558.088699633707</v>
      </c>
      <c r="I141" s="11">
        <f t="shared" si="37"/>
        <v>22426.246554766374</v>
      </c>
      <c r="J141" s="11">
        <f t="shared" si="38"/>
        <v>18389.522174908427</v>
      </c>
      <c r="K141" s="29">
        <f t="shared" si="39"/>
        <v>4036.724379857947</v>
      </c>
    </row>
    <row r="142" spans="1:11" s="13" customFormat="1">
      <c r="A142" s="20" t="s">
        <v>252</v>
      </c>
      <c r="B142" s="30" t="s">
        <v>118</v>
      </c>
      <c r="C142" s="10" t="s">
        <v>38</v>
      </c>
      <c r="D142" s="146">
        <f>+'[1]Datos de los PIPS'!T33*'[1]Datos de los PIPS'!N33</f>
        <v>51805.079630243781</v>
      </c>
      <c r="E142" s="8">
        <f t="shared" si="34"/>
        <v>15794.231594586519</v>
      </c>
      <c r="F142" s="11">
        <f t="shared" si="35"/>
        <v>12951.269907560945</v>
      </c>
      <c r="G142" s="29">
        <f t="shared" si="36"/>
        <v>2842.9616870255732</v>
      </c>
      <c r="H142" s="146">
        <f>+'[1]Datos de los PIPS'!T33*'[1]Datos de los PIPS'!O33</f>
        <v>45935.932419224599</v>
      </c>
      <c r="I142" s="11">
        <f t="shared" si="37"/>
        <v>14004.857444885549</v>
      </c>
      <c r="J142" s="11">
        <f t="shared" si="38"/>
        <v>11483.98310480615</v>
      </c>
      <c r="K142" s="29">
        <f t="shared" si="39"/>
        <v>2520.8743400793987</v>
      </c>
    </row>
    <row r="143" spans="1:11" s="13" customFormat="1">
      <c r="A143" s="20" t="s">
        <v>253</v>
      </c>
      <c r="B143" s="30" t="s">
        <v>120</v>
      </c>
      <c r="C143" s="10" t="s">
        <v>38</v>
      </c>
      <c r="D143" s="146">
        <f>+'[1]Datos de los PIPS'!T34*'[1]Datos de los PIPS'!N34</f>
        <v>43140.410118362008</v>
      </c>
      <c r="E143" s="8">
        <f t="shared" si="34"/>
        <v>13152.564060476223</v>
      </c>
      <c r="F143" s="11">
        <f t="shared" si="35"/>
        <v>10785.102529590502</v>
      </c>
      <c r="G143" s="29">
        <f t="shared" si="36"/>
        <v>2367.4615308857201</v>
      </c>
      <c r="H143" s="146">
        <f>+'[1]Datos de los PIPS'!T34*'[1]Datos de los PIPS'!O34</f>
        <v>46927.05488067324</v>
      </c>
      <c r="I143" s="11">
        <f t="shared" si="37"/>
        <v>14307.028927034526</v>
      </c>
      <c r="J143" s="11">
        <f t="shared" si="38"/>
        <v>11731.76372016831</v>
      </c>
      <c r="K143" s="29">
        <f t="shared" si="39"/>
        <v>2575.2652068662146</v>
      </c>
    </row>
    <row r="144" spans="1:11" s="13" customFormat="1">
      <c r="A144" s="20" t="s">
        <v>254</v>
      </c>
      <c r="B144" s="30" t="s">
        <v>122</v>
      </c>
      <c r="C144" s="10" t="s">
        <v>38</v>
      </c>
      <c r="D144" s="146">
        <f>+'[1]Datos de los PIPS'!T36*'[1]Datos de los PIPS'!N36</f>
        <v>60858.845152302412</v>
      </c>
      <c r="E144" s="8">
        <f t="shared" si="34"/>
        <v>18554.525961067811</v>
      </c>
      <c r="F144" s="11">
        <f t="shared" si="35"/>
        <v>15214.711288075605</v>
      </c>
      <c r="G144" s="29">
        <f t="shared" si="36"/>
        <v>3339.8146729922059</v>
      </c>
      <c r="H144" s="146">
        <f>+'[1]Datos de los PIPS'!T36*'[1]Datos de los PIPS'!O36</f>
        <v>74378.914847697597</v>
      </c>
      <c r="I144" s="11">
        <f t="shared" si="37"/>
        <v>22676.498429176099</v>
      </c>
      <c r="J144" s="11">
        <f t="shared" si="38"/>
        <v>18594.728711924403</v>
      </c>
      <c r="K144" s="29">
        <f t="shared" si="39"/>
        <v>4081.7697172516978</v>
      </c>
    </row>
    <row r="145" spans="1:11" s="13" customFormat="1">
      <c r="A145" s="20" t="s">
        <v>255</v>
      </c>
      <c r="B145" s="39" t="s">
        <v>124</v>
      </c>
      <c r="C145" s="32" t="s">
        <v>38</v>
      </c>
      <c r="D145" s="146">
        <f>+'[1]Datos de los PIPS'!T65*'[1]Datos de los PIPS'!N65</f>
        <v>49737.679280498676</v>
      </c>
      <c r="E145" s="8">
        <f>+D145/$C$4</f>
        <v>15163.926609908134</v>
      </c>
      <c r="F145" s="11">
        <f>+E145-G145</f>
        <v>12434.419820124669</v>
      </c>
      <c r="G145" s="29">
        <f>+E145*0.18</f>
        <v>2729.5067897834642</v>
      </c>
      <c r="H145" s="146">
        <f>+'[1]Datos de los PIPS'!T65*'[1]Datos de los PIPS'!O65</f>
        <v>79597.558092382664</v>
      </c>
      <c r="I145" s="11">
        <f>+H145/$C$4</f>
        <v>24267.548198897155</v>
      </c>
      <c r="J145" s="11">
        <f>+I145-K145</f>
        <v>19899.38952309567</v>
      </c>
      <c r="K145" s="29">
        <f>+I145*0.18</f>
        <v>4368.1586758014873</v>
      </c>
    </row>
    <row r="146" spans="1:11" s="9" customFormat="1">
      <c r="A146" s="20" t="s">
        <v>256</v>
      </c>
      <c r="B146" s="30" t="s">
        <v>126</v>
      </c>
      <c r="C146" s="10" t="s">
        <v>38</v>
      </c>
      <c r="D146" s="146">
        <f>+'[1]Datos de los PIPS'!T44*'[1]Datos de los PIPS'!N44</f>
        <v>39087.983065321001</v>
      </c>
      <c r="E146" s="8">
        <f t="shared" si="34"/>
        <v>11917.068007719818</v>
      </c>
      <c r="F146" s="11">
        <f t="shared" si="35"/>
        <v>9771.9957663302503</v>
      </c>
      <c r="G146" s="29">
        <f t="shared" si="36"/>
        <v>2145.0722413895669</v>
      </c>
      <c r="H146" s="146">
        <f>+'[1]Datos de los PIPS'!T44*'[1]Datos de los PIPS'!O44</f>
        <v>73311.90027519557</v>
      </c>
      <c r="I146" s="11">
        <f t="shared" si="37"/>
        <v>22351.189108291335</v>
      </c>
      <c r="J146" s="11">
        <f t="shared" si="38"/>
        <v>18327.975068798896</v>
      </c>
      <c r="K146" s="29">
        <f t="shared" si="39"/>
        <v>4023.2140394924404</v>
      </c>
    </row>
    <row r="147" spans="1:11" s="18" customFormat="1">
      <c r="A147" s="20" t="s">
        <v>257</v>
      </c>
      <c r="B147" s="30" t="s">
        <v>128</v>
      </c>
      <c r="C147" s="32" t="s">
        <v>38</v>
      </c>
      <c r="D147" s="146">
        <f>+'[1]Datos de los PIPS'!T57*'[1]Datos de los PIPS'!N57</f>
        <v>71540.763393810746</v>
      </c>
      <c r="E147" s="8">
        <f t="shared" si="34"/>
        <v>21811.208351771569</v>
      </c>
      <c r="F147" s="11">
        <f t="shared" si="35"/>
        <v>17885.190848452687</v>
      </c>
      <c r="G147" s="29">
        <f t="shared" si="36"/>
        <v>3926.0175033188825</v>
      </c>
      <c r="H147" s="146">
        <f>+'[1]Datos de los PIPS'!T57*'[1]Datos de los PIPS'!O57</f>
        <v>72778.753216872312</v>
      </c>
      <c r="I147" s="11">
        <f t="shared" si="37"/>
        <v>22188.644273436683</v>
      </c>
      <c r="J147" s="11">
        <f t="shared" si="38"/>
        <v>18194.688304218082</v>
      </c>
      <c r="K147" s="29">
        <f t="shared" si="39"/>
        <v>3993.9559692186026</v>
      </c>
    </row>
    <row r="148" spans="1:11" s="18" customFormat="1">
      <c r="A148" s="20" t="s">
        <v>258</v>
      </c>
      <c r="B148" s="30" t="s">
        <v>130</v>
      </c>
      <c r="C148" s="32" t="s">
        <v>38</v>
      </c>
      <c r="D148" s="146">
        <f>+'[1]Datos de los PIPS'!T58*'[1]Datos de los PIPS'!N58</f>
        <v>34839.353186563741</v>
      </c>
      <c r="E148" s="8">
        <f t="shared" si="34"/>
        <v>10621.754020293823</v>
      </c>
      <c r="F148" s="11">
        <f t="shared" si="35"/>
        <v>8709.8382966409354</v>
      </c>
      <c r="G148" s="29">
        <f t="shared" si="36"/>
        <v>1911.9157236528881</v>
      </c>
      <c r="H148" s="146">
        <f>+'[1]Datos de los PIPS'!T58*'[1]Datos de los PIPS'!O58</f>
        <v>80318.976813436253</v>
      </c>
      <c r="I148" s="11">
        <f t="shared" si="37"/>
        <v>24487.492930925688</v>
      </c>
      <c r="J148" s="11">
        <f t="shared" si="38"/>
        <v>20079.744203359063</v>
      </c>
      <c r="K148" s="29">
        <f t="shared" si="39"/>
        <v>4407.7487275666235</v>
      </c>
    </row>
    <row r="149" spans="1:11" s="18" customFormat="1">
      <c r="A149" s="20" t="s">
        <v>259</v>
      </c>
      <c r="B149" s="30" t="s">
        <v>132</v>
      </c>
      <c r="C149" s="32" t="s">
        <v>38</v>
      </c>
      <c r="D149" s="146">
        <f>+'[1]Datos de los PIPS'!T59*'[1]Datos de los PIPS'!N59</f>
        <v>40513.900932419012</v>
      </c>
      <c r="E149" s="8">
        <f t="shared" si="34"/>
        <v>12351.799064761895</v>
      </c>
      <c r="F149" s="11">
        <f t="shared" si="35"/>
        <v>10128.475233104755</v>
      </c>
      <c r="G149" s="29">
        <f t="shared" si="36"/>
        <v>2223.323831657141</v>
      </c>
      <c r="H149" s="146">
        <f>+'[1]Datos de los PIPS'!T59*'[1]Datos de los PIPS'!O59</f>
        <v>70608.829067580984</v>
      </c>
      <c r="I149" s="11">
        <f t="shared" si="37"/>
        <v>21527.08203279908</v>
      </c>
      <c r="J149" s="11">
        <f t="shared" si="38"/>
        <v>17652.207266895246</v>
      </c>
      <c r="K149" s="29">
        <f t="shared" si="39"/>
        <v>3874.8747659038345</v>
      </c>
    </row>
    <row r="150" spans="1:11" s="13" customFormat="1">
      <c r="A150" s="20" t="s">
        <v>260</v>
      </c>
      <c r="B150" s="30" t="s">
        <v>134</v>
      </c>
      <c r="C150" s="10" t="s">
        <v>38</v>
      </c>
      <c r="D150" s="146">
        <f>+'[1]Datos de los PIPS'!T60*'[1]Datos de los PIPS'!N60</f>
        <v>50493.016262284887</v>
      </c>
      <c r="E150" s="8">
        <f t="shared" si="34"/>
        <v>15394.212275086857</v>
      </c>
      <c r="F150" s="11">
        <f t="shared" si="35"/>
        <v>12623.254065571222</v>
      </c>
      <c r="G150" s="29">
        <f t="shared" si="36"/>
        <v>2770.9582095156343</v>
      </c>
      <c r="H150" s="146">
        <f>+'[1]Datos de los PIPS'!T60*'[1]Datos de los PIPS'!O60</f>
        <v>69148.463737715108</v>
      </c>
      <c r="I150" s="11">
        <f t="shared" si="37"/>
        <v>21081.8487005229</v>
      </c>
      <c r="J150" s="11">
        <f t="shared" si="38"/>
        <v>17287.115934428777</v>
      </c>
      <c r="K150" s="29">
        <f t="shared" si="39"/>
        <v>3794.7327660941219</v>
      </c>
    </row>
    <row r="151" spans="1:11" s="13" customFormat="1">
      <c r="A151" s="20" t="s">
        <v>261</v>
      </c>
      <c r="B151" s="30" t="s">
        <v>136</v>
      </c>
      <c r="C151" s="32" t="s">
        <v>38</v>
      </c>
      <c r="D151" s="146">
        <f>+'[1]Datos de los PIPS'!T61*'[1]Datos de los PIPS'!N61</f>
        <v>40400.508504573067</v>
      </c>
      <c r="E151" s="8">
        <f t="shared" si="34"/>
        <v>12317.22820261374</v>
      </c>
      <c r="F151" s="11">
        <f t="shared" si="35"/>
        <v>10100.127126143267</v>
      </c>
      <c r="G151" s="29">
        <f t="shared" si="36"/>
        <v>2217.1010764704729</v>
      </c>
      <c r="H151" s="146">
        <f>+'[1]Datos de los PIPS'!T61*'[1]Datos de los PIPS'!O61</f>
        <v>77336.141495426942</v>
      </c>
      <c r="I151" s="11">
        <f t="shared" si="37"/>
        <v>23578.091919337483</v>
      </c>
      <c r="J151" s="11">
        <f t="shared" si="38"/>
        <v>19334.035373856736</v>
      </c>
      <c r="K151" s="29">
        <f t="shared" si="39"/>
        <v>4244.0565454807465</v>
      </c>
    </row>
    <row r="152" spans="1:11" s="13" customFormat="1">
      <c r="A152" s="20" t="s">
        <v>262</v>
      </c>
      <c r="B152" s="30" t="s">
        <v>138</v>
      </c>
      <c r="C152" s="32" t="s">
        <v>38</v>
      </c>
      <c r="D152" s="146">
        <f>+'[1]Datos de los PIPS'!T62*'[1]Datos de los PIPS'!N62</f>
        <v>52624.790340684711</v>
      </c>
      <c r="E152" s="8">
        <f t="shared" si="34"/>
        <v>16044.143396550218</v>
      </c>
      <c r="F152" s="11">
        <f t="shared" si="35"/>
        <v>13156.19758517118</v>
      </c>
      <c r="G152" s="29">
        <f t="shared" si="36"/>
        <v>2887.9458113790392</v>
      </c>
      <c r="H152" s="146">
        <f>+'[1]Datos de los PIPS'!T62*'[1]Datos de los PIPS'!O62</f>
        <v>85978.414961121351</v>
      </c>
      <c r="I152" s="11">
        <f t="shared" si="37"/>
        <v>26212.931390585778</v>
      </c>
      <c r="J152" s="11">
        <f t="shared" si="38"/>
        <v>21494.603740280338</v>
      </c>
      <c r="K152" s="29">
        <f t="shared" si="39"/>
        <v>4718.3276503054394</v>
      </c>
    </row>
    <row r="153" spans="1:11" s="13" customFormat="1">
      <c r="A153" s="20" t="s">
        <v>263</v>
      </c>
      <c r="B153" s="30" t="s">
        <v>140</v>
      </c>
      <c r="C153" s="32" t="s">
        <v>38</v>
      </c>
      <c r="D153" s="146">
        <f>+'[1]Datos de los PIPS'!T63*'[1]Datos de los PIPS'!N63</f>
        <v>56828.255449097509</v>
      </c>
      <c r="E153" s="8">
        <f t="shared" si="34"/>
        <v>17325.687636919974</v>
      </c>
      <c r="F153" s="11">
        <f t="shared" si="35"/>
        <v>14207.063862274379</v>
      </c>
      <c r="G153" s="29">
        <f t="shared" si="36"/>
        <v>3118.6237746455954</v>
      </c>
      <c r="H153" s="146">
        <f>+'[1]Datos de los PIPS'!T63*'[1]Datos de los PIPS'!O63</f>
        <v>66789.874550902503</v>
      </c>
      <c r="I153" s="11">
        <f t="shared" si="37"/>
        <v>20362.766631372717</v>
      </c>
      <c r="J153" s="11">
        <f t="shared" si="38"/>
        <v>16697.468637725629</v>
      </c>
      <c r="K153" s="29">
        <f t="shared" si="39"/>
        <v>3665.2979936470888</v>
      </c>
    </row>
    <row r="154" spans="1:11" s="13" customFormat="1">
      <c r="A154" s="20" t="s">
        <v>264</v>
      </c>
      <c r="B154" s="30" t="s">
        <v>142</v>
      </c>
      <c r="C154" s="10" t="s">
        <v>38</v>
      </c>
      <c r="D154" s="146">
        <f>+'[1]Datos de los PIPS'!T64*'[1]Datos de los PIPS'!N64</f>
        <v>35876.7287855861</v>
      </c>
      <c r="E154" s="8">
        <f t="shared" si="34"/>
        <v>10938.027068776251</v>
      </c>
      <c r="F154" s="11">
        <f t="shared" si="35"/>
        <v>8969.1821963965267</v>
      </c>
      <c r="G154" s="29">
        <f t="shared" si="36"/>
        <v>1968.8448723797251</v>
      </c>
      <c r="H154" s="146">
        <f>+'[1]Datos de los PIPS'!T64*'[1]Datos de los PIPS'!O64</f>
        <v>54599.458896327611</v>
      </c>
      <c r="I154" s="11">
        <f t="shared" si="37"/>
        <v>16646.176492782808</v>
      </c>
      <c r="J154" s="11">
        <f t="shared" si="38"/>
        <v>13649.864724081903</v>
      </c>
      <c r="K154" s="29">
        <f t="shared" si="39"/>
        <v>2996.3117687009053</v>
      </c>
    </row>
    <row r="155" spans="1:11" s="13" customFormat="1">
      <c r="A155" s="20" t="s">
        <v>265</v>
      </c>
      <c r="B155" s="30" t="s">
        <v>144</v>
      </c>
      <c r="C155" s="32" t="s">
        <v>38</v>
      </c>
      <c r="D155" s="146">
        <f>+'[1]Datos de los PIPS'!T69*'[1]Datos de los PIPS'!N69</f>
        <v>99022.217284839629</v>
      </c>
      <c r="E155" s="8">
        <f t="shared" si="34"/>
        <v>30189.700391719402</v>
      </c>
      <c r="F155" s="11">
        <f t="shared" si="35"/>
        <v>24755.554321209907</v>
      </c>
      <c r="G155" s="29">
        <f t="shared" si="36"/>
        <v>5434.1460705094923</v>
      </c>
      <c r="H155" s="146">
        <f>+'[1]Datos de los PIPS'!T69*'[1]Datos de los PIPS'!O69</f>
        <v>61753.632715160355</v>
      </c>
      <c r="I155" s="11">
        <f t="shared" si="37"/>
        <v>18827.327047304989</v>
      </c>
      <c r="J155" s="11">
        <f t="shared" si="38"/>
        <v>15438.40817879009</v>
      </c>
      <c r="K155" s="29">
        <f t="shared" si="39"/>
        <v>3388.9188685148979</v>
      </c>
    </row>
    <row r="156" spans="1:11" s="13" customFormat="1">
      <c r="A156" s="20" t="s">
        <v>266</v>
      </c>
      <c r="B156" s="30" t="s">
        <v>146</v>
      </c>
      <c r="C156" s="32" t="s">
        <v>38</v>
      </c>
      <c r="D156" s="146">
        <f>+'[1]Datos de los PIPS'!T78*'[1]Datos de los PIPS'!N78</f>
        <v>28964.327063898581</v>
      </c>
      <c r="E156" s="8">
        <f t="shared" si="34"/>
        <v>8830.5875194812761</v>
      </c>
      <c r="F156" s="11">
        <f t="shared" si="35"/>
        <v>7241.0817659746463</v>
      </c>
      <c r="G156" s="29">
        <f t="shared" si="36"/>
        <v>1589.5057535066296</v>
      </c>
      <c r="H156" s="146">
        <f>+'[1]Datos de los PIPS'!T78*'[1]Datos de los PIPS'!O78</f>
        <v>61131.962936101416</v>
      </c>
      <c r="I156" s="11">
        <f t="shared" si="37"/>
        <v>18637.793578079702</v>
      </c>
      <c r="J156" s="11">
        <f t="shared" si="38"/>
        <v>15282.990734025356</v>
      </c>
      <c r="K156" s="29">
        <f t="shared" si="39"/>
        <v>3354.8028440543462</v>
      </c>
    </row>
    <row r="157" spans="1:11" s="13" customFormat="1">
      <c r="A157" s="20" t="s">
        <v>267</v>
      </c>
      <c r="B157" s="39" t="s">
        <v>148</v>
      </c>
      <c r="C157" s="10" t="s">
        <v>38</v>
      </c>
      <c r="D157" s="146">
        <f>+'[1]Datos de los PIPS'!T79*'[1]Datos de los PIPS'!N79</f>
        <v>29860.90421890474</v>
      </c>
      <c r="E157" s="8">
        <f t="shared" si="34"/>
        <v>9103.9342130807145</v>
      </c>
      <c r="F157" s="11">
        <f t="shared" si="35"/>
        <v>7465.2260547261858</v>
      </c>
      <c r="G157" s="29">
        <f t="shared" si="36"/>
        <v>1638.7081583545285</v>
      </c>
      <c r="H157" s="146">
        <f>+'[1]Datos de los PIPS'!T79*'[1]Datos de los PIPS'!O79</f>
        <v>60189.20728109526</v>
      </c>
      <c r="I157" s="11">
        <f t="shared" si="37"/>
        <v>18350.368073504655</v>
      </c>
      <c r="J157" s="11">
        <f t="shared" si="38"/>
        <v>15047.301820273817</v>
      </c>
      <c r="K157" s="29">
        <f t="shared" si="39"/>
        <v>3303.0662532308379</v>
      </c>
    </row>
    <row r="158" spans="1:11" s="13" customFormat="1">
      <c r="A158" s="20" t="s">
        <v>268</v>
      </c>
      <c r="B158" s="39" t="s">
        <v>150</v>
      </c>
      <c r="C158" s="32" t="s">
        <v>38</v>
      </c>
      <c r="D158" s="146">
        <f>+'[1]Datos de los PIPS'!T80*'[1]Datos de los PIPS'!N80</f>
        <v>43426.639146792862</v>
      </c>
      <c r="E158" s="8">
        <f t="shared" si="34"/>
        <v>13239.829008168557</v>
      </c>
      <c r="F158" s="11">
        <f t="shared" si="35"/>
        <v>10856.659786698217</v>
      </c>
      <c r="G158" s="29">
        <f t="shared" si="36"/>
        <v>2383.1692214703403</v>
      </c>
      <c r="H158" s="146">
        <f>+'[1]Datos de los PIPS'!T80*'[1]Datos de los PIPS'!O80</f>
        <v>46444.72229388509</v>
      </c>
      <c r="I158" s="11">
        <f t="shared" si="37"/>
        <v>14159.976309111309</v>
      </c>
      <c r="J158" s="11">
        <f t="shared" si="38"/>
        <v>11611.180573471273</v>
      </c>
      <c r="K158" s="29">
        <f t="shared" si="39"/>
        <v>2548.7957356400357</v>
      </c>
    </row>
    <row r="159" spans="1:11" s="13" customFormat="1">
      <c r="A159" s="20" t="s">
        <v>269</v>
      </c>
      <c r="B159" s="39" t="s">
        <v>152</v>
      </c>
      <c r="C159" s="32" t="s">
        <v>38</v>
      </c>
      <c r="D159" s="146">
        <f>+'[1]Datos de los PIPS'!T95*'[1]Datos de los PIPS'!N95</f>
        <v>75951.643559835458</v>
      </c>
      <c r="E159" s="8">
        <f t="shared" si="34"/>
        <v>23155.988890193737</v>
      </c>
      <c r="F159" s="11">
        <f t="shared" si="35"/>
        <v>18987.910889958865</v>
      </c>
      <c r="G159" s="29">
        <f t="shared" si="36"/>
        <v>4168.0780002348729</v>
      </c>
      <c r="H159" s="146">
        <f>+'[1]Datos de los PIPS'!T95*'[1]Datos de los PIPS'!O95</f>
        <v>46760.986440164532</v>
      </c>
      <c r="I159" s="11">
        <f t="shared" si="37"/>
        <v>14256.398304928212</v>
      </c>
      <c r="J159" s="11">
        <f t="shared" si="38"/>
        <v>11690.246610041135</v>
      </c>
      <c r="K159" s="29">
        <f t="shared" si="39"/>
        <v>2566.1516948870781</v>
      </c>
    </row>
    <row r="160" spans="1:11" s="13" customFormat="1">
      <c r="A160" s="20" t="s">
        <v>270</v>
      </c>
      <c r="B160" s="39" t="s">
        <v>154</v>
      </c>
      <c r="C160" s="32" t="s">
        <v>38</v>
      </c>
      <c r="D160" s="146">
        <f>+'[1]Datos de los PIPS'!T96*'[1]Datos de los PIPS'!N96</f>
        <v>57649.654032710016</v>
      </c>
      <c r="E160" s="8">
        <f t="shared" si="34"/>
        <v>17576.11403436281</v>
      </c>
      <c r="F160" s="11">
        <f t="shared" si="35"/>
        <v>14412.413508177506</v>
      </c>
      <c r="G160" s="29">
        <f t="shared" si="36"/>
        <v>3163.7005261853055</v>
      </c>
      <c r="H160" s="146">
        <f>+'[1]Datos de los PIPS'!T96*'[1]Datos de los PIPS'!O96</f>
        <v>81389.680967289984</v>
      </c>
      <c r="I160" s="11">
        <f t="shared" si="37"/>
        <v>24813.927124173777</v>
      </c>
      <c r="J160" s="11">
        <f t="shared" si="38"/>
        <v>20347.420241822496</v>
      </c>
      <c r="K160" s="29">
        <f t="shared" si="39"/>
        <v>4466.5068823512793</v>
      </c>
    </row>
    <row r="161" spans="1:11" s="13" customFormat="1">
      <c r="A161" s="20" t="s">
        <v>271</v>
      </c>
      <c r="B161" s="39" t="s">
        <v>156</v>
      </c>
      <c r="C161" s="10" t="s">
        <v>38</v>
      </c>
      <c r="D161" s="146">
        <f>+'[1]Datos de los PIPS'!T97*'[1]Datos de los PIPS'!N97</f>
        <v>36637.022502869782</v>
      </c>
      <c r="E161" s="8">
        <f t="shared" si="34"/>
        <v>11169.823933801763</v>
      </c>
      <c r="F161" s="11">
        <f t="shared" si="35"/>
        <v>9159.2556257174456</v>
      </c>
      <c r="G161" s="29">
        <f t="shared" si="36"/>
        <v>2010.5683080843173</v>
      </c>
      <c r="H161" s="146">
        <f>+'[1]Datos de los PIPS'!T97*'[1]Datos de los PIPS'!O97</f>
        <v>63775.134137130204</v>
      </c>
      <c r="I161" s="11">
        <f t="shared" si="37"/>
        <v>19443.638456442135</v>
      </c>
      <c r="J161" s="11">
        <f t="shared" si="38"/>
        <v>15943.783534282551</v>
      </c>
      <c r="K161" s="29">
        <f t="shared" si="39"/>
        <v>3499.854922159584</v>
      </c>
    </row>
    <row r="162" spans="1:11" s="13" customFormat="1">
      <c r="A162" s="20" t="s">
        <v>272</v>
      </c>
      <c r="B162" s="39" t="s">
        <v>158</v>
      </c>
      <c r="C162" s="32" t="s">
        <v>38</v>
      </c>
      <c r="D162" s="146">
        <f>+'[1]Datos de los PIPS'!T98*'[1]Datos de los PIPS'!N98</f>
        <v>47711.330378857041</v>
      </c>
      <c r="E162" s="8">
        <f t="shared" si="34"/>
        <v>14546.137310627148</v>
      </c>
      <c r="F162" s="11">
        <f t="shared" si="35"/>
        <v>11927.832594714262</v>
      </c>
      <c r="G162" s="29">
        <f t="shared" si="36"/>
        <v>2618.3047159128864</v>
      </c>
      <c r="H162" s="146">
        <f>+'[1]Datos de los PIPS'!T98*'[1]Datos de los PIPS'!O98</f>
        <v>75681.904312511979</v>
      </c>
      <c r="I162" s="11">
        <f t="shared" si="37"/>
        <v>23073.751314790239</v>
      </c>
      <c r="J162" s="11">
        <f t="shared" si="38"/>
        <v>18920.476078127998</v>
      </c>
      <c r="K162" s="29">
        <f t="shared" si="39"/>
        <v>4153.2752366622426</v>
      </c>
    </row>
    <row r="163" spans="1:11" s="13" customFormat="1">
      <c r="A163" s="20" t="s">
        <v>273</v>
      </c>
      <c r="B163" s="39" t="s">
        <v>160</v>
      </c>
      <c r="C163" s="32" t="s">
        <v>38</v>
      </c>
      <c r="D163" s="146">
        <f>+'[1]Datos de los PIPS'!T99*'[1]Datos de los PIPS'!N99</f>
        <v>34186.259689682345</v>
      </c>
      <c r="E163" s="8">
        <f t="shared" si="34"/>
        <v>10422.640149293398</v>
      </c>
      <c r="F163" s="11">
        <f t="shared" si="35"/>
        <v>8546.5649224205863</v>
      </c>
      <c r="G163" s="29">
        <f t="shared" si="36"/>
        <v>1876.0752268728115</v>
      </c>
      <c r="H163" s="146">
        <f>+'[1]Datos de los PIPS'!T99*'[1]Datos de los PIPS'!O99</f>
        <v>66650.696950317739</v>
      </c>
      <c r="I163" s="11">
        <f t="shared" si="37"/>
        <v>20320.334436072484</v>
      </c>
      <c r="J163" s="11">
        <f t="shared" si="38"/>
        <v>16662.674237579438</v>
      </c>
      <c r="K163" s="29">
        <f t="shared" si="39"/>
        <v>3657.6601984930471</v>
      </c>
    </row>
    <row r="164" spans="1:11" s="13" customFormat="1">
      <c r="A164" s="20" t="s">
        <v>274</v>
      </c>
      <c r="B164" s="39" t="s">
        <v>162</v>
      </c>
      <c r="C164" s="32" t="s">
        <v>38</v>
      </c>
      <c r="D164" s="146">
        <f>+'[1]Datos de los PIPS'!T102*'[1]Datos de los PIPS'!N102</f>
        <v>37454.912251776484</v>
      </c>
      <c r="E164" s="8">
        <f t="shared" si="34"/>
        <v>11419.180564566002</v>
      </c>
      <c r="F164" s="11">
        <f t="shared" si="35"/>
        <v>9363.7280629441229</v>
      </c>
      <c r="G164" s="29">
        <f t="shared" si="36"/>
        <v>2055.4525016218804</v>
      </c>
      <c r="H164" s="146">
        <f>+'[1]Datos de los PIPS'!T102*'[1]Datos de los PIPS'!O102</f>
        <v>62314.794158950754</v>
      </c>
      <c r="I164" s="11">
        <f t="shared" si="37"/>
        <v>18998.412853338647</v>
      </c>
      <c r="J164" s="11">
        <f t="shared" si="38"/>
        <v>15578.69853973769</v>
      </c>
      <c r="K164" s="29">
        <f t="shared" si="39"/>
        <v>3419.7143136009563</v>
      </c>
    </row>
    <row r="165" spans="1:11" s="7" customFormat="1">
      <c r="A165" s="20" t="s">
        <v>275</v>
      </c>
      <c r="B165" s="44" t="s">
        <v>276</v>
      </c>
      <c r="C165" s="44"/>
      <c r="D165" s="54">
        <f t="shared" ref="D165:K165" si="40">SUM(D166:D195)</f>
        <v>1068070.3458551723</v>
      </c>
      <c r="E165" s="54">
        <f t="shared" si="40"/>
        <v>325631.2030046258</v>
      </c>
      <c r="F165" s="54">
        <f t="shared" si="40"/>
        <v>267017.58646379312</v>
      </c>
      <c r="G165" s="54">
        <f t="shared" si="40"/>
        <v>58613.616540832627</v>
      </c>
      <c r="H165" s="54">
        <f t="shared" si="40"/>
        <v>1435940.1075598572</v>
      </c>
      <c r="I165" s="54">
        <f t="shared" si="40"/>
        <v>437786.61815849313</v>
      </c>
      <c r="J165" s="54">
        <f t="shared" si="40"/>
        <v>358985.0268899643</v>
      </c>
      <c r="K165" s="54">
        <f t="shared" si="40"/>
        <v>78801.591268528762</v>
      </c>
    </row>
    <row r="166" spans="1:11" s="7" customFormat="1">
      <c r="A166" s="20" t="s">
        <v>277</v>
      </c>
      <c r="B166" s="30" t="s">
        <v>109</v>
      </c>
      <c r="C166" s="10" t="s">
        <v>38</v>
      </c>
      <c r="D166" s="146">
        <f>+'[1]Datos de los PIPS'!U19*'[1]Datos de los PIPS'!N19</f>
        <v>39435.501870520515</v>
      </c>
      <c r="E166" s="8">
        <f t="shared" ref="E166:E195" si="41">+D166/$C$4</f>
        <v>12023.018862963572</v>
      </c>
      <c r="F166" s="11">
        <f t="shared" si="35"/>
        <v>9858.8754676301287</v>
      </c>
      <c r="G166" s="29">
        <f t="shared" ref="G166:G195" si="42">+E166*0.18</f>
        <v>2164.1433953334431</v>
      </c>
      <c r="H166" s="146">
        <f>+'[1]Datos de los PIPS'!U19*'[1]Datos de los PIPS'!O19</f>
        <v>55196.368129479473</v>
      </c>
      <c r="I166" s="11">
        <f t="shared" ref="I166:I195" si="43">+H166/$C$4</f>
        <v>16828.161015085207</v>
      </c>
      <c r="J166" s="11">
        <f t="shared" ref="J166:J195" si="44">+I166-K166</f>
        <v>13799.09203236987</v>
      </c>
      <c r="K166" s="29">
        <f t="shared" ref="K166:K195" si="45">+I166*0.18</f>
        <v>3029.0689827153369</v>
      </c>
    </row>
    <row r="167" spans="1:11" s="13" customFormat="1">
      <c r="A167" s="20" t="s">
        <v>278</v>
      </c>
      <c r="B167" s="30" t="s">
        <v>110</v>
      </c>
      <c r="C167" s="10" t="s">
        <v>38</v>
      </c>
      <c r="D167" s="146">
        <f>+'[1]Datos de los PIPS'!U20*'[1]Datos de los PIPS'!N20</f>
        <v>47821.303954607291</v>
      </c>
      <c r="E167" s="8">
        <f t="shared" si="41"/>
        <v>14579.665839819298</v>
      </c>
      <c r="F167" s="11">
        <f t="shared" si="35"/>
        <v>11955.325988651824</v>
      </c>
      <c r="G167" s="29">
        <f t="shared" si="42"/>
        <v>2624.3398511674736</v>
      </c>
      <c r="H167" s="146">
        <f>+'[1]Datos de los PIPS'!U20*'[1]Datos de los PIPS'!O20</f>
        <v>46557.896045392699</v>
      </c>
      <c r="I167" s="11">
        <f t="shared" si="43"/>
        <v>14194.480501644117</v>
      </c>
      <c r="J167" s="11">
        <f t="shared" si="44"/>
        <v>11639.474011348175</v>
      </c>
      <c r="K167" s="29">
        <f t="shared" si="45"/>
        <v>2555.0064902959411</v>
      </c>
    </row>
    <row r="168" spans="1:11" s="13" customFormat="1">
      <c r="A168" s="20" t="s">
        <v>279</v>
      </c>
      <c r="B168" s="30" t="s">
        <v>111</v>
      </c>
      <c r="C168" s="10" t="s">
        <v>38</v>
      </c>
      <c r="D168" s="146">
        <f>+'[1]Datos de los PIPS'!U21*'[1]Datos de los PIPS'!N21</f>
        <v>42625.263069471868</v>
      </c>
      <c r="E168" s="8">
        <f t="shared" si="41"/>
        <v>12995.50703337557</v>
      </c>
      <c r="F168" s="11">
        <f t="shared" si="35"/>
        <v>10656.315767367967</v>
      </c>
      <c r="G168" s="29">
        <f t="shared" si="42"/>
        <v>2339.1912660076027</v>
      </c>
      <c r="H168" s="146">
        <f>+'[1]Datos de los PIPS'!U21*'[1]Datos de los PIPS'!O21</f>
        <v>58256.476930528137</v>
      </c>
      <c r="I168" s="11">
        <f t="shared" si="43"/>
        <v>17761.121015404922</v>
      </c>
      <c r="J168" s="11">
        <f t="shared" si="44"/>
        <v>14564.119232632036</v>
      </c>
      <c r="K168" s="29">
        <f t="shared" si="45"/>
        <v>3197.0017827728857</v>
      </c>
    </row>
    <row r="169" spans="1:11" s="13" customFormat="1">
      <c r="A169" s="20" t="s">
        <v>280</v>
      </c>
      <c r="B169" s="30" t="s">
        <v>112</v>
      </c>
      <c r="C169" s="10" t="s">
        <v>38</v>
      </c>
      <c r="D169" s="146">
        <f>+'[1]Datos de los PIPS'!U22*'[1]Datos de los PIPS'!N22</f>
        <v>35047.528967428239</v>
      </c>
      <c r="E169" s="8">
        <f t="shared" si="41"/>
        <v>10685.222246167146</v>
      </c>
      <c r="F169" s="11">
        <f t="shared" si="35"/>
        <v>8761.8822418570599</v>
      </c>
      <c r="G169" s="29">
        <f t="shared" si="42"/>
        <v>1923.3400043100862</v>
      </c>
      <c r="H169" s="146">
        <f>+'[1]Datos de los PIPS'!U22*'[1]Datos de los PIPS'!O22</f>
        <v>59584.341032571749</v>
      </c>
      <c r="I169" s="11">
        <f t="shared" si="43"/>
        <v>18165.957631881633</v>
      </c>
      <c r="J169" s="11">
        <f t="shared" si="44"/>
        <v>14896.085258142939</v>
      </c>
      <c r="K169" s="29">
        <f t="shared" si="45"/>
        <v>3269.8723737386936</v>
      </c>
    </row>
    <row r="170" spans="1:11" s="13" customFormat="1">
      <c r="A170" s="20" t="s">
        <v>281</v>
      </c>
      <c r="B170" s="30" t="s">
        <v>113</v>
      </c>
      <c r="C170" s="10" t="s">
        <v>38</v>
      </c>
      <c r="D170" s="146">
        <f>+'[1]Datos de los PIPS'!U23*'[1]Datos de los PIPS'!N23</f>
        <v>33406.560919784999</v>
      </c>
      <c r="E170" s="8">
        <f t="shared" si="41"/>
        <v>10184.927109690549</v>
      </c>
      <c r="F170" s="11">
        <f t="shared" si="35"/>
        <v>8351.6402299462497</v>
      </c>
      <c r="G170" s="29">
        <f t="shared" si="42"/>
        <v>1833.2868797442986</v>
      </c>
      <c r="H170" s="146">
        <f>+'[1]Datos de los PIPS'!U23*'[1]Datos de los PIPS'!O23</f>
        <v>59202.639080214998</v>
      </c>
      <c r="I170" s="11">
        <f t="shared" si="43"/>
        <v>18049.585085431401</v>
      </c>
      <c r="J170" s="11">
        <f t="shared" si="44"/>
        <v>14800.65977005375</v>
      </c>
      <c r="K170" s="29">
        <f t="shared" si="45"/>
        <v>3248.9253153776522</v>
      </c>
    </row>
    <row r="171" spans="1:11" s="13" customFormat="1">
      <c r="A171" s="20" t="s">
        <v>282</v>
      </c>
      <c r="B171" s="30" t="s">
        <v>114</v>
      </c>
      <c r="C171" s="10" t="s">
        <v>38</v>
      </c>
      <c r="D171" s="146">
        <f>+'[1]Datos de los PIPS'!U24*'[1]Datos de los PIPS'!N24</f>
        <v>44270.698984875511</v>
      </c>
      <c r="E171" s="8">
        <f t="shared" si="41"/>
        <v>13497.164324657169</v>
      </c>
      <c r="F171" s="11">
        <f t="shared" si="35"/>
        <v>11067.67474621888</v>
      </c>
      <c r="G171" s="29">
        <f t="shared" si="42"/>
        <v>2429.4895784382902</v>
      </c>
      <c r="H171" s="146">
        <f>+'[1]Datos de los PIPS'!U24*'[1]Datos de los PIPS'!O24</f>
        <v>50361.171015124477</v>
      </c>
      <c r="I171" s="11">
        <f t="shared" si="43"/>
        <v>15354.01555339161</v>
      </c>
      <c r="J171" s="11">
        <f t="shared" si="44"/>
        <v>12590.292753781119</v>
      </c>
      <c r="K171" s="29">
        <f t="shared" si="45"/>
        <v>2763.7227996104898</v>
      </c>
    </row>
    <row r="172" spans="1:11" s="13" customFormat="1">
      <c r="A172" s="20" t="s">
        <v>283</v>
      </c>
      <c r="B172" s="30" t="s">
        <v>116</v>
      </c>
      <c r="C172" s="10" t="s">
        <v>38</v>
      </c>
      <c r="D172" s="146">
        <f>+'[1]Datos de los PIPS'!U31*'[1]Datos de los PIPS'!N31</f>
        <v>36701.647737530227</v>
      </c>
      <c r="E172" s="8">
        <f t="shared" si="41"/>
        <v>11189.526749247021</v>
      </c>
      <c r="F172" s="11">
        <f t="shared" si="35"/>
        <v>9175.4119343825569</v>
      </c>
      <c r="G172" s="29">
        <f t="shared" si="42"/>
        <v>2014.1148148644638</v>
      </c>
      <c r="H172" s="146">
        <f>+'[1]Datos de los PIPS'!U31*'[1]Datos de los PIPS'!O31</f>
        <v>59142.67226246978</v>
      </c>
      <c r="I172" s="11">
        <f t="shared" si="43"/>
        <v>18031.302519045665</v>
      </c>
      <c r="J172" s="11">
        <f t="shared" si="44"/>
        <v>14785.668065617445</v>
      </c>
      <c r="K172" s="29">
        <f t="shared" si="45"/>
        <v>3245.6344534282193</v>
      </c>
    </row>
    <row r="173" spans="1:11" s="13" customFormat="1">
      <c r="A173" s="20" t="s">
        <v>284</v>
      </c>
      <c r="B173" s="30" t="s">
        <v>118</v>
      </c>
      <c r="C173" s="10" t="s">
        <v>38</v>
      </c>
      <c r="D173" s="146">
        <f>+'[1]Datos de los PIPS'!U33*'[1]Datos de los PIPS'!N33</f>
        <v>43564.786444227255</v>
      </c>
      <c r="E173" s="8">
        <f t="shared" si="41"/>
        <v>13281.947086654651</v>
      </c>
      <c r="F173" s="11">
        <f t="shared" si="35"/>
        <v>10891.196611056814</v>
      </c>
      <c r="G173" s="29">
        <f t="shared" si="42"/>
        <v>2390.7504755978371</v>
      </c>
      <c r="H173" s="146">
        <f>+'[1]Datos de los PIPS'!U33*'[1]Datos de los PIPS'!O33</f>
        <v>38629.20586636223</v>
      </c>
      <c r="I173" s="11">
        <f t="shared" si="43"/>
        <v>11777.19691047629</v>
      </c>
      <c r="J173" s="11">
        <f t="shared" si="44"/>
        <v>9657.3014665905575</v>
      </c>
      <c r="K173" s="29">
        <f t="shared" si="45"/>
        <v>2119.8954438857322</v>
      </c>
    </row>
    <row r="174" spans="1:11" s="13" customFormat="1">
      <c r="A174" s="20" t="s">
        <v>285</v>
      </c>
      <c r="B174" s="30" t="s">
        <v>120</v>
      </c>
      <c r="C174" s="10" t="s">
        <v>38</v>
      </c>
      <c r="D174" s="146">
        <f>+'[1]Datos de los PIPS'!U34*'[1]Datos de los PIPS'!N34</f>
        <v>36278.348905878862</v>
      </c>
      <c r="E174" s="8">
        <f t="shared" si="41"/>
        <v>11060.472227402093</v>
      </c>
      <c r="F174" s="11">
        <f t="shared" si="35"/>
        <v>9069.5872264697173</v>
      </c>
      <c r="G174" s="29">
        <f t="shared" si="42"/>
        <v>1990.8850009323767</v>
      </c>
      <c r="H174" s="146">
        <f>+'[1]Datos de los PIPS'!U34*'[1]Datos de los PIPS'!O34</f>
        <v>39462.676998561386</v>
      </c>
      <c r="I174" s="11">
        <f t="shared" si="43"/>
        <v>12031.303962976033</v>
      </c>
      <c r="J174" s="11">
        <f t="shared" si="44"/>
        <v>9865.6692496403484</v>
      </c>
      <c r="K174" s="29">
        <f t="shared" si="45"/>
        <v>2165.6347133356858</v>
      </c>
    </row>
    <row r="175" spans="1:11" s="13" customFormat="1">
      <c r="A175" s="20" t="s">
        <v>286</v>
      </c>
      <c r="B175" s="30" t="s">
        <v>122</v>
      </c>
      <c r="C175" s="10" t="s">
        <v>38</v>
      </c>
      <c r="D175" s="146">
        <f>+'[1]Datos de los PIPS'!U36*'[1]Datos de los PIPS'!N36</f>
        <v>45262.058730036035</v>
      </c>
      <c r="E175" s="8">
        <f t="shared" si="41"/>
        <v>13799.408149401232</v>
      </c>
      <c r="F175" s="11">
        <f t="shared" si="35"/>
        <v>11315.514682509011</v>
      </c>
      <c r="G175" s="29">
        <f t="shared" si="42"/>
        <v>2483.8934668922216</v>
      </c>
      <c r="H175" s="146">
        <f>+'[1]Datos de los PIPS'!U36*'[1]Datos de los PIPS'!O36</f>
        <v>55317.231269963959</v>
      </c>
      <c r="I175" s="11">
        <f t="shared" si="43"/>
        <v>16865.009533525597</v>
      </c>
      <c r="J175" s="11">
        <f t="shared" si="44"/>
        <v>13829.30781749099</v>
      </c>
      <c r="K175" s="29">
        <f t="shared" si="45"/>
        <v>3035.7017160346072</v>
      </c>
    </row>
    <row r="176" spans="1:11" s="13" customFormat="1">
      <c r="A176" s="20" t="s">
        <v>287</v>
      </c>
      <c r="B176" s="39" t="s">
        <v>124</v>
      </c>
      <c r="C176" s="32" t="s">
        <v>38</v>
      </c>
      <c r="D176" s="146">
        <f>+'[1]Datos de los PIPS'!U65*'[1]Datos de los PIPS'!N65</f>
        <v>36294.84489842756</v>
      </c>
      <c r="E176" s="8">
        <f>+D176/$C$4</f>
        <v>11065.501493423037</v>
      </c>
      <c r="F176" s="11">
        <f>+E176-G176</f>
        <v>9073.71122460689</v>
      </c>
      <c r="G176" s="29">
        <f>+E176*0.18</f>
        <v>1991.7902688161466</v>
      </c>
      <c r="H176" s="146">
        <f>+'[1]Datos de los PIPS'!U65*'[1]Datos de los PIPS'!O65</f>
        <v>58084.35510157243</v>
      </c>
      <c r="I176" s="11">
        <f>+H176/$C$4</f>
        <v>17708.644848040374</v>
      </c>
      <c r="J176" s="11">
        <f>+I176-K176</f>
        <v>14521.088775393107</v>
      </c>
      <c r="K176" s="29">
        <f>+I176*0.18</f>
        <v>3187.5560726472672</v>
      </c>
    </row>
    <row r="177" spans="1:11" s="9" customFormat="1">
      <c r="A177" s="20" t="s">
        <v>288</v>
      </c>
      <c r="B177" s="30" t="s">
        <v>126</v>
      </c>
      <c r="C177" s="10" t="s">
        <v>38</v>
      </c>
      <c r="D177" s="146">
        <f>+'[1]Datos de los PIPS'!U44*'[1]Datos de los PIPS'!N44</f>
        <v>30665.002175732894</v>
      </c>
      <c r="E177" s="8">
        <f t="shared" si="41"/>
        <v>9349.0860291868594</v>
      </c>
      <c r="F177" s="11">
        <f t="shared" si="35"/>
        <v>7666.2505439332244</v>
      </c>
      <c r="G177" s="29">
        <f t="shared" si="42"/>
        <v>1682.8354852536347</v>
      </c>
      <c r="H177" s="146">
        <f>+'[1]Datos de los PIPS'!U44*'[1]Datos de los PIPS'!O44</f>
        <v>57514.085024267108</v>
      </c>
      <c r="I177" s="11">
        <f t="shared" si="43"/>
        <v>17534.782019593633</v>
      </c>
      <c r="J177" s="11">
        <f t="shared" si="44"/>
        <v>14378.521256066779</v>
      </c>
      <c r="K177" s="29">
        <f t="shared" si="45"/>
        <v>3156.2607635268537</v>
      </c>
    </row>
    <row r="178" spans="1:11" s="18" customFormat="1">
      <c r="A178" s="20" t="s">
        <v>289</v>
      </c>
      <c r="B178" s="30" t="s">
        <v>128</v>
      </c>
      <c r="C178" s="32" t="s">
        <v>38</v>
      </c>
      <c r="D178" s="146">
        <f>+'[1]Datos de los PIPS'!U57*'[1]Datos de los PIPS'!N57</f>
        <v>51253.809681981627</v>
      </c>
      <c r="E178" s="8">
        <f t="shared" si="41"/>
        <v>15626.161488409034</v>
      </c>
      <c r="F178" s="11">
        <f t="shared" si="35"/>
        <v>12813.452420495409</v>
      </c>
      <c r="G178" s="29">
        <f t="shared" si="42"/>
        <v>2812.7090679136259</v>
      </c>
      <c r="H178" s="146">
        <f>+'[1]Datos de los PIPS'!U57*'[1]Datos de los PIPS'!O57</f>
        <v>52140.740318018383</v>
      </c>
      <c r="I178" s="11">
        <f t="shared" si="43"/>
        <v>15896.567170127557</v>
      </c>
      <c r="J178" s="11">
        <f t="shared" si="44"/>
        <v>13035.185079504598</v>
      </c>
      <c r="K178" s="29">
        <f t="shared" si="45"/>
        <v>2861.3820906229603</v>
      </c>
    </row>
    <row r="179" spans="1:11" s="18" customFormat="1">
      <c r="A179" s="20" t="s">
        <v>290</v>
      </c>
      <c r="B179" s="30" t="s">
        <v>130</v>
      </c>
      <c r="C179" s="32" t="s">
        <v>38</v>
      </c>
      <c r="D179" s="146">
        <f>+'[1]Datos de los PIPS'!U58*'[1]Datos de los PIPS'!N58</f>
        <v>8571.4976474668565</v>
      </c>
      <c r="E179" s="8">
        <f t="shared" si="41"/>
        <v>2613.2614778862371</v>
      </c>
      <c r="F179" s="11">
        <f t="shared" si="35"/>
        <v>2142.8744118667146</v>
      </c>
      <c r="G179" s="29">
        <f t="shared" si="42"/>
        <v>470.38706601952265</v>
      </c>
      <c r="H179" s="146">
        <f>+'[1]Datos de los PIPS'!U58*'[1]Datos de los PIPS'!O58</f>
        <v>19760.812352533147</v>
      </c>
      <c r="I179" s="11">
        <f t="shared" si="43"/>
        <v>6024.6379123576671</v>
      </c>
      <c r="J179" s="11">
        <f t="shared" si="44"/>
        <v>4940.2030881332867</v>
      </c>
      <c r="K179" s="29">
        <f t="shared" si="45"/>
        <v>1084.43482422438</v>
      </c>
    </row>
    <row r="180" spans="1:11" s="18" customFormat="1">
      <c r="A180" s="20" t="s">
        <v>291</v>
      </c>
      <c r="B180" s="30" t="s">
        <v>132</v>
      </c>
      <c r="C180" s="32" t="s">
        <v>38</v>
      </c>
      <c r="D180" s="146">
        <f>+'[1]Datos de los PIPS'!U59*'[1]Datos de los PIPS'!N59</f>
        <v>8762.8517950350961</v>
      </c>
      <c r="E180" s="8">
        <f t="shared" si="41"/>
        <v>2671.6011570228952</v>
      </c>
      <c r="F180" s="11">
        <f t="shared" si="35"/>
        <v>2190.712948758774</v>
      </c>
      <c r="G180" s="29">
        <f t="shared" si="42"/>
        <v>480.88820826412115</v>
      </c>
      <c r="H180" s="146">
        <f>+'[1]Datos de los PIPS'!U59*'[1]Datos de los PIPS'!O59</f>
        <v>15272.158204964904</v>
      </c>
      <c r="I180" s="11">
        <f t="shared" si="43"/>
        <v>4656.1457941966173</v>
      </c>
      <c r="J180" s="11">
        <f t="shared" si="44"/>
        <v>3818.039551241226</v>
      </c>
      <c r="K180" s="29">
        <f t="shared" si="45"/>
        <v>838.10624295539105</v>
      </c>
    </row>
    <row r="181" spans="1:11" s="13" customFormat="1">
      <c r="A181" s="20" t="s">
        <v>292</v>
      </c>
      <c r="B181" s="30" t="s">
        <v>134</v>
      </c>
      <c r="C181" s="10" t="s">
        <v>38</v>
      </c>
      <c r="D181" s="146">
        <f>+'[1]Datos de los PIPS'!U60*'[1]Datos de los PIPS'!N60</f>
        <v>47753.462166138263</v>
      </c>
      <c r="E181" s="8">
        <f t="shared" si="41"/>
        <v>14558.982367725081</v>
      </c>
      <c r="F181" s="11">
        <f t="shared" si="35"/>
        <v>11938.365541534566</v>
      </c>
      <c r="G181" s="29">
        <f t="shared" si="42"/>
        <v>2620.6168261905145</v>
      </c>
      <c r="H181" s="146">
        <f>+'[1]Datos de los PIPS'!U60*'[1]Datos de los PIPS'!O60</f>
        <v>65396.737833861735</v>
      </c>
      <c r="I181" s="11">
        <f t="shared" si="43"/>
        <v>19938.029827396873</v>
      </c>
      <c r="J181" s="11">
        <f t="shared" si="44"/>
        <v>16349.184458465435</v>
      </c>
      <c r="K181" s="29">
        <f t="shared" si="45"/>
        <v>3588.845368931437</v>
      </c>
    </row>
    <row r="182" spans="1:11" s="13" customFormat="1">
      <c r="A182" s="20" t="s">
        <v>293</v>
      </c>
      <c r="B182" s="30" t="s">
        <v>136</v>
      </c>
      <c r="C182" s="32" t="s">
        <v>38</v>
      </c>
      <c r="D182" s="146">
        <f>+'[1]Datos de los PIPS'!U61*'[1]Datos de los PIPS'!N61</f>
        <v>10301.046795111351</v>
      </c>
      <c r="E182" s="8">
        <f t="shared" si="41"/>
        <v>3140.5630472900461</v>
      </c>
      <c r="F182" s="11">
        <f t="shared" si="35"/>
        <v>2575.2616987778379</v>
      </c>
      <c r="G182" s="29">
        <f t="shared" si="42"/>
        <v>565.30134851220828</v>
      </c>
      <c r="H182" s="146">
        <f>+'[1]Datos de los PIPS'!U61*'[1]Datos de los PIPS'!O61</f>
        <v>19718.643204888649</v>
      </c>
      <c r="I182" s="11">
        <f t="shared" si="43"/>
        <v>6011.7814649050761</v>
      </c>
      <c r="J182" s="11">
        <f t="shared" si="44"/>
        <v>4929.6608012221623</v>
      </c>
      <c r="K182" s="29">
        <f t="shared" si="45"/>
        <v>1082.1206636829136</v>
      </c>
    </row>
    <row r="183" spans="1:11" s="13" customFormat="1">
      <c r="A183" s="20" t="s">
        <v>294</v>
      </c>
      <c r="B183" s="30" t="s">
        <v>138</v>
      </c>
      <c r="C183" s="32" t="s">
        <v>38</v>
      </c>
      <c r="D183" s="146">
        <f>+'[1]Datos de los PIPS'!U62*'[1]Datos de los PIPS'!N62</f>
        <v>40354.722103356085</v>
      </c>
      <c r="E183" s="8">
        <f t="shared" si="41"/>
        <v>12303.268933950027</v>
      </c>
      <c r="F183" s="11">
        <f t="shared" si="35"/>
        <v>10088.680525839021</v>
      </c>
      <c r="G183" s="29">
        <f t="shared" si="42"/>
        <v>2214.5884081110048</v>
      </c>
      <c r="H183" s="146">
        <f>+'[1]Datos de los PIPS'!U62*'[1]Datos de los PIPS'!O62</f>
        <v>65931.569896643909</v>
      </c>
      <c r="I183" s="11">
        <f t="shared" si="43"/>
        <v>20101.088383123144</v>
      </c>
      <c r="J183" s="11">
        <f t="shared" si="44"/>
        <v>16482.892474160977</v>
      </c>
      <c r="K183" s="29">
        <f t="shared" si="45"/>
        <v>3618.195908962166</v>
      </c>
    </row>
    <row r="184" spans="1:11" s="13" customFormat="1">
      <c r="A184" s="20" t="s">
        <v>295</v>
      </c>
      <c r="B184" s="30" t="s">
        <v>140</v>
      </c>
      <c r="C184" s="32" t="s">
        <v>38</v>
      </c>
      <c r="D184" s="146">
        <f>+'[1]Datos de los PIPS'!U63*'[1]Datos de los PIPS'!N63</f>
        <v>12950.588538920822</v>
      </c>
      <c r="E184" s="8">
        <f t="shared" si="41"/>
        <v>3948.3501643051286</v>
      </c>
      <c r="F184" s="11">
        <f t="shared" si="35"/>
        <v>3237.6471347302054</v>
      </c>
      <c r="G184" s="29">
        <f t="shared" si="42"/>
        <v>710.70302957492311</v>
      </c>
      <c r="H184" s="146">
        <f>+'[1]Datos de los PIPS'!U63*'[1]Datos de los PIPS'!O63</f>
        <v>15220.741461079182</v>
      </c>
      <c r="I184" s="11">
        <f t="shared" si="43"/>
        <v>4640.4699576460926</v>
      </c>
      <c r="J184" s="11">
        <f t="shared" si="44"/>
        <v>3805.185365269796</v>
      </c>
      <c r="K184" s="29">
        <f t="shared" si="45"/>
        <v>835.28459237629659</v>
      </c>
    </row>
    <row r="185" spans="1:11" s="13" customFormat="1">
      <c r="A185" s="20" t="s">
        <v>296</v>
      </c>
      <c r="B185" s="30" t="s">
        <v>142</v>
      </c>
      <c r="C185" s="10" t="s">
        <v>38</v>
      </c>
      <c r="D185" s="146">
        <f>+'[1]Datos de los PIPS'!U64*'[1]Datos de los PIPS'!N64</f>
        <v>35046.315773995957</v>
      </c>
      <c r="E185" s="8">
        <f t="shared" si="41"/>
        <v>10684.85237012072</v>
      </c>
      <c r="F185" s="11">
        <f t="shared" si="35"/>
        <v>8761.5789434989892</v>
      </c>
      <c r="G185" s="29">
        <f t="shared" si="42"/>
        <v>1923.2734266217294</v>
      </c>
      <c r="H185" s="146">
        <f>+'[1]Datos de los PIPS'!U64*'[1]Datos de los PIPS'!O64</f>
        <v>53335.684226004058</v>
      </c>
      <c r="I185" s="11">
        <f t="shared" si="43"/>
        <v>16260.87933719636</v>
      </c>
      <c r="J185" s="11">
        <f t="shared" si="44"/>
        <v>13333.921056501014</v>
      </c>
      <c r="K185" s="29">
        <f t="shared" si="45"/>
        <v>2926.9582806953449</v>
      </c>
    </row>
    <row r="186" spans="1:11" s="13" customFormat="1">
      <c r="A186" s="20" t="s">
        <v>297</v>
      </c>
      <c r="B186" s="30" t="s">
        <v>144</v>
      </c>
      <c r="C186" s="32" t="s">
        <v>38</v>
      </c>
      <c r="D186" s="146">
        <f>+'[1]Datos de los PIPS'!U69*'[1]Datos de los PIPS'!N69</f>
        <v>70140.975135695015</v>
      </c>
      <c r="E186" s="8">
        <f t="shared" si="41"/>
        <v>21384.443638931407</v>
      </c>
      <c r="F186" s="11">
        <f t="shared" si="35"/>
        <v>17535.243783923754</v>
      </c>
      <c r="G186" s="29">
        <f t="shared" si="42"/>
        <v>3849.1998550076532</v>
      </c>
      <c r="H186" s="146">
        <f>+'[1]Datos de los PIPS'!U69*'[1]Datos de los PIPS'!O69</f>
        <v>43742.304864304977</v>
      </c>
      <c r="I186" s="11">
        <f t="shared" si="43"/>
        <v>13336.068556190543</v>
      </c>
      <c r="J186" s="11">
        <f t="shared" si="44"/>
        <v>10935.576216076246</v>
      </c>
      <c r="K186" s="29">
        <f t="shared" si="45"/>
        <v>2400.4923401142978</v>
      </c>
    </row>
    <row r="187" spans="1:11" s="13" customFormat="1">
      <c r="A187" s="20" t="s">
        <v>298</v>
      </c>
      <c r="B187" s="30" t="s">
        <v>146</v>
      </c>
      <c r="C187" s="32" t="s">
        <v>38</v>
      </c>
      <c r="D187" s="146">
        <f>+'[1]Datos de los PIPS'!U78*'[1]Datos de los PIPS'!N78</f>
        <v>30118.006677468893</v>
      </c>
      <c r="E187" s="8">
        <f t="shared" si="41"/>
        <v>9182.3191089844186</v>
      </c>
      <c r="F187" s="11">
        <f t="shared" si="35"/>
        <v>7529.5016693672233</v>
      </c>
      <c r="G187" s="29">
        <f t="shared" si="42"/>
        <v>1652.8174396171953</v>
      </c>
      <c r="H187" s="146">
        <f>+'[1]Datos de los PIPS'!U78*'[1]Datos de los PIPS'!O78</f>
        <v>63566.913322531109</v>
      </c>
      <c r="I187" s="11">
        <f t="shared" si="43"/>
        <v>19380.156500771682</v>
      </c>
      <c r="J187" s="11">
        <f t="shared" si="44"/>
        <v>15891.728330632779</v>
      </c>
      <c r="K187" s="29">
        <f t="shared" si="45"/>
        <v>3488.4281701389027</v>
      </c>
    </row>
    <row r="188" spans="1:11" s="13" customFormat="1">
      <c r="A188" s="20" t="s">
        <v>299</v>
      </c>
      <c r="B188" s="39" t="s">
        <v>148</v>
      </c>
      <c r="C188" s="10" t="s">
        <v>38</v>
      </c>
      <c r="D188" s="146">
        <f>+'[1]Datos de los PIPS'!U79*'[1]Datos de los PIPS'!N79</f>
        <v>31066.218311964589</v>
      </c>
      <c r="E188" s="8">
        <f t="shared" si="41"/>
        <v>9471.4080219404241</v>
      </c>
      <c r="F188" s="11">
        <f t="shared" si="35"/>
        <v>7766.5545779911481</v>
      </c>
      <c r="G188" s="29">
        <f t="shared" si="42"/>
        <v>1704.8534439492762</v>
      </c>
      <c r="H188" s="146">
        <f>+'[1]Datos de los PIPS'!U79*'[1]Datos de los PIPS'!O79</f>
        <v>62618.701688035413</v>
      </c>
      <c r="I188" s="11">
        <f t="shared" si="43"/>
        <v>19091.067587815676</v>
      </c>
      <c r="J188" s="11">
        <f t="shared" si="44"/>
        <v>15654.675422008855</v>
      </c>
      <c r="K188" s="29">
        <f t="shared" si="45"/>
        <v>3436.3921658068216</v>
      </c>
    </row>
    <row r="189" spans="1:11" s="13" customFormat="1">
      <c r="A189" s="20" t="s">
        <v>300</v>
      </c>
      <c r="B189" s="39" t="s">
        <v>150</v>
      </c>
      <c r="C189" s="32" t="s">
        <v>38</v>
      </c>
      <c r="D189" s="146">
        <f>+'[1]Datos de los PIPS'!U80*'[1]Datos de los PIPS'!N80</f>
        <v>45269.384474848863</v>
      </c>
      <c r="E189" s="8">
        <f t="shared" si="41"/>
        <v>13801.64160818563</v>
      </c>
      <c r="F189" s="11">
        <f t="shared" si="35"/>
        <v>11317.346118712216</v>
      </c>
      <c r="G189" s="29">
        <f t="shared" si="42"/>
        <v>2484.2954894734135</v>
      </c>
      <c r="H189" s="146">
        <f>+'[1]Datos de los PIPS'!U80*'[1]Datos de los PIPS'!O80</f>
        <v>48415.535525151128</v>
      </c>
      <c r="I189" s="11">
        <f t="shared" si="43"/>
        <v>14760.834001570467</v>
      </c>
      <c r="J189" s="11">
        <f t="shared" si="44"/>
        <v>12103.883881287784</v>
      </c>
      <c r="K189" s="29">
        <f t="shared" si="45"/>
        <v>2656.9501202826841</v>
      </c>
    </row>
    <row r="190" spans="1:11" s="13" customFormat="1">
      <c r="A190" s="20" t="s">
        <v>301</v>
      </c>
      <c r="B190" s="39" t="s">
        <v>152</v>
      </c>
      <c r="C190" s="32" t="s">
        <v>38</v>
      </c>
      <c r="D190" s="146">
        <f>+'[1]Datos de los PIPS'!U95*'[1]Datos de los PIPS'!N95</f>
        <v>58304.545062871497</v>
      </c>
      <c r="E190" s="8">
        <f t="shared" si="41"/>
        <v>17775.775933802288</v>
      </c>
      <c r="F190" s="11">
        <f t="shared" si="35"/>
        <v>14576.136265717876</v>
      </c>
      <c r="G190" s="29">
        <f t="shared" si="42"/>
        <v>3199.6396680844118</v>
      </c>
      <c r="H190" s="146">
        <f>+'[1]Datos de los PIPS'!U95*'[1]Datos de los PIPS'!O95</f>
        <v>35896.234937128494</v>
      </c>
      <c r="I190" s="11">
        <f t="shared" si="43"/>
        <v>10943.974066197712</v>
      </c>
      <c r="J190" s="11">
        <f t="shared" si="44"/>
        <v>8974.0587342821236</v>
      </c>
      <c r="K190" s="29">
        <f t="shared" si="45"/>
        <v>1969.915331915588</v>
      </c>
    </row>
    <row r="191" spans="1:11" s="13" customFormat="1">
      <c r="A191" s="20" t="s">
        <v>302</v>
      </c>
      <c r="B191" s="39" t="s">
        <v>154</v>
      </c>
      <c r="C191" s="32" t="s">
        <v>38</v>
      </c>
      <c r="D191" s="146">
        <f>+'[1]Datos de los PIPS'!U96*'[1]Datos de los PIPS'!N96</f>
        <v>39058.316674280912</v>
      </c>
      <c r="E191" s="8">
        <f t="shared" si="41"/>
        <v>11908.023376305156</v>
      </c>
      <c r="F191" s="11">
        <f t="shared" si="35"/>
        <v>9764.5791685702279</v>
      </c>
      <c r="G191" s="29">
        <f t="shared" si="42"/>
        <v>2143.4442077349281</v>
      </c>
      <c r="H191" s="146">
        <f>+'[1]Datos de los PIPS'!U96*'[1]Datos de los PIPS'!O96</f>
        <v>55142.463325719102</v>
      </c>
      <c r="I191" s="11">
        <f t="shared" si="43"/>
        <v>16811.726623694849</v>
      </c>
      <c r="J191" s="11">
        <f t="shared" si="44"/>
        <v>13785.615831429775</v>
      </c>
      <c r="K191" s="29">
        <f t="shared" si="45"/>
        <v>3026.1107922650726</v>
      </c>
    </row>
    <row r="192" spans="1:11" s="13" customFormat="1">
      <c r="A192" s="20" t="s">
        <v>303</v>
      </c>
      <c r="B192" s="39" t="s">
        <v>156</v>
      </c>
      <c r="C192" s="10" t="s">
        <v>38</v>
      </c>
      <c r="D192" s="146">
        <f>+'[1]Datos de los PIPS'!U97*'[1]Datos de los PIPS'!N97</f>
        <v>17613.633756009691</v>
      </c>
      <c r="E192" s="8">
        <f t="shared" si="41"/>
        <v>5370.0102914663694</v>
      </c>
      <c r="F192" s="11">
        <f t="shared" si="35"/>
        <v>4403.4084390024227</v>
      </c>
      <c r="G192" s="29">
        <f t="shared" si="42"/>
        <v>966.60185246394644</v>
      </c>
      <c r="H192" s="146">
        <f>+'[1]Datos de los PIPS'!U97*'[1]Datos de los PIPS'!O97</f>
        <v>30660.566243990306</v>
      </c>
      <c r="I192" s="11">
        <f t="shared" si="43"/>
        <v>9347.7336109726548</v>
      </c>
      <c r="J192" s="11">
        <f t="shared" si="44"/>
        <v>7665.1415609975775</v>
      </c>
      <c r="K192" s="29">
        <f t="shared" si="45"/>
        <v>1682.5920499750778</v>
      </c>
    </row>
    <row r="193" spans="1:11" s="13" customFormat="1">
      <c r="A193" s="20" t="s">
        <v>304</v>
      </c>
      <c r="B193" s="39" t="s">
        <v>158</v>
      </c>
      <c r="C193" s="32" t="s">
        <v>38</v>
      </c>
      <c r="D193" s="146">
        <f>+'[1]Datos de los PIPS'!U98*'[1]Datos de los PIPS'!N98</f>
        <v>36423.75165678675</v>
      </c>
      <c r="E193" s="8">
        <f t="shared" si="41"/>
        <v>11104.802334386204</v>
      </c>
      <c r="F193" s="11">
        <f t="shared" si="35"/>
        <v>9105.9379141966874</v>
      </c>
      <c r="G193" s="29">
        <f t="shared" si="42"/>
        <v>1998.8644201895167</v>
      </c>
      <c r="H193" s="146">
        <f>+'[1]Datos de los PIPS'!U98*'[1]Datos de los PIPS'!O98</f>
        <v>57777.028343213256</v>
      </c>
      <c r="I193" s="11">
        <f t="shared" si="43"/>
        <v>17614.947665613799</v>
      </c>
      <c r="J193" s="11">
        <f t="shared" si="44"/>
        <v>14444.257085803316</v>
      </c>
      <c r="K193" s="29">
        <f t="shared" si="45"/>
        <v>3170.690579810484</v>
      </c>
    </row>
    <row r="194" spans="1:11" s="13" customFormat="1">
      <c r="A194" s="20" t="s">
        <v>305</v>
      </c>
      <c r="B194" s="39" t="s">
        <v>160</v>
      </c>
      <c r="C194" s="32" t="s">
        <v>38</v>
      </c>
      <c r="D194" s="146">
        <f>+'[1]Datos de los PIPS'!U99*'[1]Datos de los PIPS'!N99</f>
        <v>16366.164308770669</v>
      </c>
      <c r="E194" s="8">
        <f t="shared" si="41"/>
        <v>4989.6842404788631</v>
      </c>
      <c r="F194" s="11">
        <f t="shared" si="35"/>
        <v>4091.5410771926677</v>
      </c>
      <c r="G194" s="29">
        <f t="shared" si="42"/>
        <v>898.14316328619532</v>
      </c>
      <c r="H194" s="146">
        <f>+'[1]Datos de los PIPS'!U99*'[1]Datos de los PIPS'!O99</f>
        <v>31908.031691229331</v>
      </c>
      <c r="I194" s="11">
        <f t="shared" si="43"/>
        <v>9728.0584424479675</v>
      </c>
      <c r="J194" s="11">
        <f t="shared" si="44"/>
        <v>7977.0079228073337</v>
      </c>
      <c r="K194" s="29">
        <f t="shared" si="45"/>
        <v>1751.0505196406341</v>
      </c>
    </row>
    <row r="195" spans="1:11" s="13" customFormat="1">
      <c r="A195" s="20" t="s">
        <v>306</v>
      </c>
      <c r="B195" s="39" t="s">
        <v>162</v>
      </c>
      <c r="C195" s="32" t="s">
        <v>38</v>
      </c>
      <c r="D195" s="146">
        <f>+'[1]Datos de los PIPS'!U102*'[1]Datos de los PIPS'!N102</f>
        <v>37341.508635948019</v>
      </c>
      <c r="E195" s="8">
        <f t="shared" si="41"/>
        <v>11384.606291447568</v>
      </c>
      <c r="F195" s="11">
        <f t="shared" si="35"/>
        <v>9335.3771589870048</v>
      </c>
      <c r="G195" s="29">
        <f t="shared" si="42"/>
        <v>2049.2291324605621</v>
      </c>
      <c r="H195" s="146">
        <f>+'[1]Datos de los PIPS'!U102*'[1]Datos de los PIPS'!O102</f>
        <v>62126.121364051964</v>
      </c>
      <c r="I195" s="11">
        <f t="shared" si="43"/>
        <v>18940.89065977194</v>
      </c>
      <c r="J195" s="11">
        <f t="shared" si="44"/>
        <v>15531.530341012991</v>
      </c>
      <c r="K195" s="29">
        <f t="shared" si="45"/>
        <v>3409.3603187589492</v>
      </c>
    </row>
  </sheetData>
  <mergeCells count="6">
    <mergeCell ref="D6:G6"/>
    <mergeCell ref="H6:K6"/>
    <mergeCell ref="B8:C8"/>
    <mergeCell ref="B2:G2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8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21"/>
  <sheetViews>
    <sheetView topLeftCell="C1" zoomScale="82" zoomScaleNormal="82" workbookViewId="0" xr3:uid="{F9CF3CF3-643B-5BE6-8B46-32C596A47465}">
      <pane ySplit="7" topLeftCell="A8" activePane="bottomLeft" state="frozen"/>
      <selection pane="bottomLeft" activeCell="L1" sqref="L1:AH1048576"/>
    </sheetView>
  </sheetViews>
  <sheetFormatPr defaultColWidth="11.42578125" defaultRowHeight="11.25"/>
  <cols>
    <col min="1" max="1" width="7.140625" style="20" customWidth="1"/>
    <col min="2" max="2" width="63" style="5" customWidth="1"/>
    <col min="3" max="3" width="12" style="5" customWidth="1"/>
    <col min="4" max="4" width="11.42578125" style="5" customWidth="1"/>
    <col min="5" max="5" width="13.28515625" style="5" customWidth="1"/>
    <col min="6" max="6" width="13" style="5" customWidth="1"/>
    <col min="7" max="7" width="9.5703125" style="5" customWidth="1"/>
    <col min="8" max="8" width="12.28515625" style="5" customWidth="1"/>
    <col min="9" max="9" width="11.140625" style="5" customWidth="1"/>
    <col min="10" max="10" width="12.5703125" style="5" customWidth="1"/>
    <col min="11" max="11" width="10.5703125" style="5" bestFit="1" customWidth="1"/>
    <col min="12" max="16384" width="11.42578125" style="5"/>
  </cols>
  <sheetData>
    <row r="1" spans="1:11" s="27" customFormat="1" ht="12.75">
      <c r="A1" s="19"/>
      <c r="C1" s="2"/>
      <c r="D1" s="2"/>
      <c r="E1" s="3"/>
      <c r="F1" s="3"/>
      <c r="G1" s="3"/>
      <c r="H1" s="2"/>
      <c r="I1" s="3"/>
      <c r="J1" s="3"/>
      <c r="K1" s="3"/>
    </row>
    <row r="2" spans="1:11" s="27" customFormat="1" ht="12.75">
      <c r="A2" s="19"/>
      <c r="B2" s="269" t="s">
        <v>307</v>
      </c>
      <c r="C2" s="269"/>
      <c r="D2" s="269"/>
      <c r="E2" s="269"/>
      <c r="F2" s="269"/>
      <c r="G2" s="269"/>
    </row>
    <row r="3" spans="1:11" s="27" customFormat="1" ht="12.75">
      <c r="A3" s="19"/>
      <c r="C3" s="2"/>
      <c r="D3" s="2"/>
      <c r="E3" s="3"/>
      <c r="F3" s="3"/>
      <c r="G3" s="3"/>
      <c r="H3" s="2"/>
      <c r="I3" s="3"/>
      <c r="J3" s="3"/>
      <c r="K3" s="3"/>
    </row>
    <row r="4" spans="1:11" s="27" customFormat="1" ht="12.75">
      <c r="A4" s="19"/>
      <c r="B4" s="2" t="s">
        <v>29</v>
      </c>
      <c r="C4" s="63">
        <v>3.28</v>
      </c>
      <c r="F4" s="3"/>
      <c r="G4" s="3"/>
      <c r="J4" s="3"/>
      <c r="K4" s="3"/>
    </row>
    <row r="5" spans="1:11" s="27" customFormat="1" ht="12.75">
      <c r="A5" s="19"/>
      <c r="C5" s="2"/>
      <c r="D5" s="2"/>
      <c r="E5" s="3"/>
      <c r="F5" s="3"/>
      <c r="G5" s="3"/>
      <c r="H5" s="2"/>
      <c r="I5" s="3"/>
      <c r="J5" s="3"/>
      <c r="K5" s="3"/>
    </row>
    <row r="6" spans="1:11" ht="24" customHeight="1">
      <c r="B6" s="270" t="s">
        <v>3</v>
      </c>
      <c r="C6" s="270" t="s">
        <v>30</v>
      </c>
      <c r="D6" s="271" t="s">
        <v>102</v>
      </c>
      <c r="E6" s="273"/>
      <c r="F6" s="270" t="s">
        <v>102</v>
      </c>
      <c r="G6" s="270"/>
      <c r="H6" s="271" t="s">
        <v>103</v>
      </c>
      <c r="I6" s="273"/>
      <c r="J6" s="270" t="s">
        <v>103</v>
      </c>
      <c r="K6" s="270"/>
    </row>
    <row r="7" spans="1:11">
      <c r="B7" s="270"/>
      <c r="C7" s="270"/>
      <c r="D7" s="263" t="s">
        <v>104</v>
      </c>
      <c r="E7" s="263" t="s">
        <v>105</v>
      </c>
      <c r="F7" s="263" t="s">
        <v>4</v>
      </c>
      <c r="G7" s="263" t="s">
        <v>5</v>
      </c>
      <c r="H7" s="264" t="s">
        <v>104</v>
      </c>
      <c r="I7" s="264" t="s">
        <v>105</v>
      </c>
      <c r="J7" s="263" t="s">
        <v>4</v>
      </c>
      <c r="K7" s="263" t="s">
        <v>5</v>
      </c>
    </row>
    <row r="8" spans="1:11" s="7" customFormat="1">
      <c r="A8" s="20">
        <v>1</v>
      </c>
      <c r="B8" s="274" t="s">
        <v>106</v>
      </c>
      <c r="C8" s="275"/>
      <c r="D8" s="60">
        <f>+D9</f>
        <v>9619725.0594497249</v>
      </c>
      <c r="E8" s="60">
        <f>+E9</f>
        <v>2931863.7108462914</v>
      </c>
      <c r="F8" s="60">
        <f>+F9</f>
        <v>2404128.2428939589</v>
      </c>
      <c r="G8" s="60">
        <f>+G9</f>
        <v>527735.46795233246</v>
      </c>
      <c r="H8" s="61">
        <v>5817991.3742595203</v>
      </c>
      <c r="I8" s="61">
        <v>5817991.3742595203</v>
      </c>
      <c r="J8" s="60">
        <f t="shared" ref="J8:K8" si="0">+J9</f>
        <v>4583477.8231086573</v>
      </c>
      <c r="K8" s="60">
        <f t="shared" si="0"/>
        <v>1006129.2782433635</v>
      </c>
    </row>
    <row r="9" spans="1:11" s="7" customFormat="1">
      <c r="A9" s="20">
        <v>1.1000000000000001</v>
      </c>
      <c r="B9" s="43" t="s">
        <v>308</v>
      </c>
      <c r="C9" s="43"/>
      <c r="D9" s="59">
        <f>+D10+D58+D74+D90+D106+D26+D42</f>
        <v>9619725.0594497249</v>
      </c>
      <c r="E9" s="59">
        <f>+E10+E58+E74+E90+E106+E26+E42</f>
        <v>2931863.7108462914</v>
      </c>
      <c r="F9" s="59">
        <f t="shared" ref="F9:K9" si="1">+F10+F58+F74+F90+F106+F26+F42</f>
        <v>2404128.2428939589</v>
      </c>
      <c r="G9" s="59">
        <f t="shared" si="1"/>
        <v>527735.46795233246</v>
      </c>
      <c r="H9" s="59">
        <f t="shared" si="1"/>
        <v>18333911.292434629</v>
      </c>
      <c r="I9" s="59">
        <f t="shared" si="1"/>
        <v>5589607.1013520202</v>
      </c>
      <c r="J9" s="59">
        <f t="shared" si="1"/>
        <v>4583477.8231086573</v>
      </c>
      <c r="K9" s="59">
        <f t="shared" si="1"/>
        <v>1006129.2782433635</v>
      </c>
    </row>
    <row r="10" spans="1:11" s="7" customFormat="1">
      <c r="A10" s="20" t="s">
        <v>34</v>
      </c>
      <c r="B10" s="44" t="s">
        <v>309</v>
      </c>
      <c r="C10" s="44"/>
      <c r="D10" s="54">
        <f t="shared" ref="D10:E10" si="2">SUM(D11:D25)</f>
        <v>7838884.8915119357</v>
      </c>
      <c r="E10" s="54">
        <f t="shared" si="2"/>
        <v>2389903.9303390048</v>
      </c>
      <c r="F10" s="54">
        <f t="shared" ref="F10:K10" si="3">SUM(F11:F25)</f>
        <v>1959721.2228779839</v>
      </c>
      <c r="G10" s="54">
        <f t="shared" si="3"/>
        <v>430182.70746102085</v>
      </c>
      <c r="H10" s="54">
        <f t="shared" ref="H10:I10" si="4">SUM(H11:H25)</f>
        <v>15249356.640533026</v>
      </c>
      <c r="I10" s="54">
        <f t="shared" si="4"/>
        <v>4649194.0977234831</v>
      </c>
      <c r="J10" s="54">
        <f t="shared" si="3"/>
        <v>3812339.1601332566</v>
      </c>
      <c r="K10" s="54">
        <f t="shared" si="3"/>
        <v>836854.937590227</v>
      </c>
    </row>
    <row r="11" spans="1:11" s="7" customFormat="1">
      <c r="A11" s="20" t="s">
        <v>36</v>
      </c>
      <c r="B11" s="30" t="s">
        <v>310</v>
      </c>
      <c r="C11" s="10" t="s">
        <v>38</v>
      </c>
      <c r="D11" s="146">
        <f>+'[1]Datos de los PIPS'!I4</f>
        <v>533706.53735849087</v>
      </c>
      <c r="E11" s="11">
        <f t="shared" ref="E11:E25" si="5">+D11/$C$4</f>
        <v>162715.40773124722</v>
      </c>
      <c r="F11" s="11">
        <f>+E11*0.82</f>
        <v>133426.63433962272</v>
      </c>
      <c r="G11" s="11">
        <f>+E11*0.18</f>
        <v>29288.773391624498</v>
      </c>
      <c r="H11" s="146">
        <f>+'[1]Datos de los PIPS'!L4</f>
        <v>1374277.1473705275</v>
      </c>
      <c r="I11" s="11">
        <f t="shared" ref="I11:I25" si="6">+H11/$C$4</f>
        <v>418986.93517394131</v>
      </c>
      <c r="J11" s="11">
        <f>+I11*0.82</f>
        <v>343569.28684263187</v>
      </c>
      <c r="K11" s="11">
        <f>+I11*0.18</f>
        <v>75417.648331309436</v>
      </c>
    </row>
    <row r="12" spans="1:11" s="13" customFormat="1">
      <c r="A12" s="20" t="s">
        <v>39</v>
      </c>
      <c r="B12" s="30" t="s">
        <v>311</v>
      </c>
      <c r="C12" s="10" t="s">
        <v>38</v>
      </c>
      <c r="D12" s="42">
        <f>+'[1]Datos de los PIPS'!I5</f>
        <v>315764.07065622695</v>
      </c>
      <c r="E12" s="11">
        <f t="shared" si="5"/>
        <v>96269.533736654557</v>
      </c>
      <c r="F12" s="11">
        <f t="shared" ref="F12:F41" si="7">+E12*0.82</f>
        <v>78941.017664056737</v>
      </c>
      <c r="G12" s="11">
        <f t="shared" ref="G12:G25" si="8">+E12*0.18</f>
        <v>17328.51607259782</v>
      </c>
      <c r="H12" s="146">
        <f>+'[1]Datos de los PIPS'!L5</f>
        <v>800138.71071982605</v>
      </c>
      <c r="I12" s="11">
        <f t="shared" si="6"/>
        <v>243944.72887799577</v>
      </c>
      <c r="J12" s="11">
        <f t="shared" ref="J12:J41" si="9">+I12*0.82</f>
        <v>200034.67767995651</v>
      </c>
      <c r="K12" s="11">
        <f t="shared" ref="K12:K25" si="10">+I12*0.18</f>
        <v>43910.05119803924</v>
      </c>
    </row>
    <row r="13" spans="1:11" s="13" customFormat="1">
      <c r="A13" s="20" t="s">
        <v>41</v>
      </c>
      <c r="B13" s="30" t="s">
        <v>312</v>
      </c>
      <c r="C13" s="10" t="s">
        <v>38</v>
      </c>
      <c r="D13" s="42">
        <f>+'[1]Datos de los PIPS'!I6</f>
        <v>967718.45717213582</v>
      </c>
      <c r="E13" s="11">
        <f t="shared" si="5"/>
        <v>295036.11499150482</v>
      </c>
      <c r="F13" s="11">
        <f t="shared" si="7"/>
        <v>241929.61429303393</v>
      </c>
      <c r="G13" s="11">
        <f t="shared" si="8"/>
        <v>53106.500698470867</v>
      </c>
      <c r="H13" s="146">
        <f>+'[1]Datos de los PIPS'!L6</f>
        <v>966799.24282786413</v>
      </c>
      <c r="I13" s="11">
        <f t="shared" si="6"/>
        <v>294755.86671581224</v>
      </c>
      <c r="J13" s="11">
        <f t="shared" si="9"/>
        <v>241699.81070696603</v>
      </c>
      <c r="K13" s="11">
        <f t="shared" si="10"/>
        <v>53056.056008846201</v>
      </c>
    </row>
    <row r="14" spans="1:11" s="13" customFormat="1">
      <c r="A14" s="20" t="s">
        <v>43</v>
      </c>
      <c r="B14" s="30" t="s">
        <v>313</v>
      </c>
      <c r="C14" s="10" t="s">
        <v>38</v>
      </c>
      <c r="D14" s="42">
        <f>+'[1]Datos de los PIPS'!I30</f>
        <v>839542.17758709705</v>
      </c>
      <c r="E14" s="11">
        <f t="shared" si="5"/>
        <v>255957.98097167595</v>
      </c>
      <c r="F14" s="11">
        <f t="shared" si="7"/>
        <v>209885.54439677426</v>
      </c>
      <c r="G14" s="11">
        <f t="shared" si="8"/>
        <v>46072.436574901672</v>
      </c>
      <c r="H14" s="146">
        <f>+'[1]Datos de los PIPS'!L30</f>
        <v>1161609.761397511</v>
      </c>
      <c r="I14" s="11">
        <f t="shared" si="6"/>
        <v>354149.31749924115</v>
      </c>
      <c r="J14" s="11">
        <f t="shared" si="9"/>
        <v>290402.44034937775</v>
      </c>
      <c r="K14" s="11">
        <f t="shared" si="10"/>
        <v>63746.877149863401</v>
      </c>
    </row>
    <row r="15" spans="1:11" s="13" customFormat="1">
      <c r="A15" s="20" t="s">
        <v>45</v>
      </c>
      <c r="B15" s="30" t="s">
        <v>314</v>
      </c>
      <c r="C15" s="10" t="s">
        <v>38</v>
      </c>
      <c r="D15" s="42">
        <f>+'[1]Datos de los PIPS'!I32</f>
        <v>792882.50177418382</v>
      </c>
      <c r="E15" s="11">
        <f t="shared" si="5"/>
        <v>241732.47005310483</v>
      </c>
      <c r="F15" s="11">
        <f t="shared" si="7"/>
        <v>198220.62544354596</v>
      </c>
      <c r="G15" s="11">
        <f t="shared" si="8"/>
        <v>43511.844609558866</v>
      </c>
      <c r="H15" s="146">
        <f>+'[1]Datos de los PIPS'!L32</f>
        <v>1279464.6220360708</v>
      </c>
      <c r="I15" s="11">
        <f t="shared" si="6"/>
        <v>390080.67745002161</v>
      </c>
      <c r="J15" s="11">
        <f t="shared" si="9"/>
        <v>319866.1555090177</v>
      </c>
      <c r="K15" s="11">
        <f t="shared" si="10"/>
        <v>70214.521941003884</v>
      </c>
    </row>
    <row r="16" spans="1:11" s="13" customFormat="1">
      <c r="A16" s="20" t="s">
        <v>47</v>
      </c>
      <c r="B16" s="30" t="s">
        <v>315</v>
      </c>
      <c r="C16" s="10" t="s">
        <v>38</v>
      </c>
      <c r="D16" s="42">
        <f>+'[1]Datos de los PIPS'!I35</f>
        <v>734518.0184862999</v>
      </c>
      <c r="E16" s="11">
        <f t="shared" si="5"/>
        <v>223938.42027021339</v>
      </c>
      <c r="F16" s="11">
        <f t="shared" si="7"/>
        <v>183629.50462157498</v>
      </c>
      <c r="G16" s="11">
        <f t="shared" si="8"/>
        <v>40308.915648638409</v>
      </c>
      <c r="H16" s="146">
        <f>+'[1]Datos de los PIPS'!L35</f>
        <v>1060127.0315137</v>
      </c>
      <c r="I16" s="11">
        <f t="shared" si="6"/>
        <v>323209.46082734759</v>
      </c>
      <c r="J16" s="11">
        <f t="shared" si="9"/>
        <v>265031.75787842501</v>
      </c>
      <c r="K16" s="11">
        <f t="shared" si="10"/>
        <v>58177.702948922561</v>
      </c>
    </row>
    <row r="17" spans="1:11" s="13" customFormat="1">
      <c r="A17" s="20" t="s">
        <v>115</v>
      </c>
      <c r="B17" s="30" t="s">
        <v>316</v>
      </c>
      <c r="C17" s="10" t="s">
        <v>38</v>
      </c>
      <c r="D17" s="42">
        <f>+'[1]Datos de los PIPS'!I39</f>
        <v>491723.64155870432</v>
      </c>
      <c r="E17" s="11">
        <f t="shared" si="5"/>
        <v>149915.74437765375</v>
      </c>
      <c r="F17" s="11">
        <f t="shared" si="7"/>
        <v>122930.91038967606</v>
      </c>
      <c r="G17" s="11">
        <f t="shared" si="8"/>
        <v>26984.833987977676</v>
      </c>
      <c r="H17" s="146">
        <f>+'[1]Datos de los PIPS'!L39</f>
        <v>751671.34980542818</v>
      </c>
      <c r="I17" s="11">
        <f t="shared" si="6"/>
        <v>229168.09445287447</v>
      </c>
      <c r="J17" s="11">
        <f t="shared" si="9"/>
        <v>187917.83745135705</v>
      </c>
      <c r="K17" s="11">
        <f t="shared" si="10"/>
        <v>41250.257001517406</v>
      </c>
    </row>
    <row r="18" spans="1:11" s="13" customFormat="1">
      <c r="A18" s="20" t="s">
        <v>117</v>
      </c>
      <c r="B18" s="30" t="s">
        <v>317</v>
      </c>
      <c r="C18" s="10" t="s">
        <v>38</v>
      </c>
      <c r="D18" s="42">
        <f>+'[1]Datos de los PIPS'!I40</f>
        <v>568196.34617856226</v>
      </c>
      <c r="E18" s="11">
        <f t="shared" si="5"/>
        <v>173230.59334712266</v>
      </c>
      <c r="F18" s="11">
        <f t="shared" si="7"/>
        <v>142049.08654464057</v>
      </c>
      <c r="G18" s="11">
        <f t="shared" si="8"/>
        <v>31181.506802482079</v>
      </c>
      <c r="H18" s="146">
        <f>+'[1]Datos de los PIPS'!L40</f>
        <v>1458305.1198355306</v>
      </c>
      <c r="I18" s="11">
        <f t="shared" si="6"/>
        <v>444605.21946205205</v>
      </c>
      <c r="J18" s="11">
        <f t="shared" si="9"/>
        <v>364576.27995888266</v>
      </c>
      <c r="K18" s="11">
        <f t="shared" si="10"/>
        <v>80028.939503169371</v>
      </c>
    </row>
    <row r="19" spans="1:11" s="13" customFormat="1">
      <c r="A19" s="20" t="s">
        <v>119</v>
      </c>
      <c r="B19" s="30" t="s">
        <v>318</v>
      </c>
      <c r="C19" s="10" t="s">
        <v>38</v>
      </c>
      <c r="D19" s="146">
        <f>+'[1]Datos de los PIPS'!I41</f>
        <v>358907.28014489164</v>
      </c>
      <c r="E19" s="8">
        <f t="shared" si="5"/>
        <v>109422.95126368648</v>
      </c>
      <c r="F19" s="11">
        <f t="shared" si="7"/>
        <v>89726.820036222911</v>
      </c>
      <c r="G19" s="11">
        <f t="shared" si="8"/>
        <v>19696.131227463567</v>
      </c>
      <c r="H19" s="146">
        <f>+'[1]Datos de los PIPS'!L41</f>
        <v>616866.74824060814</v>
      </c>
      <c r="I19" s="11">
        <f t="shared" si="6"/>
        <v>188069.13056116103</v>
      </c>
      <c r="J19" s="11">
        <f t="shared" si="9"/>
        <v>154216.68706015203</v>
      </c>
      <c r="K19" s="11">
        <f t="shared" si="10"/>
        <v>33852.443501008987</v>
      </c>
    </row>
    <row r="20" spans="1:11" s="13" customFormat="1">
      <c r="A20" s="20" t="s">
        <v>121</v>
      </c>
      <c r="B20" s="30" t="s">
        <v>319</v>
      </c>
      <c r="C20" s="10" t="s">
        <v>38</v>
      </c>
      <c r="D20" s="146">
        <f>+'[1]Datos de los PIPS'!I42</f>
        <v>619222.17992826388</v>
      </c>
      <c r="E20" s="8">
        <f t="shared" si="5"/>
        <v>188787.24997812926</v>
      </c>
      <c r="F20" s="11">
        <f t="shared" si="7"/>
        <v>154805.54498206597</v>
      </c>
      <c r="G20" s="11">
        <f t="shared" si="8"/>
        <v>33981.704996063265</v>
      </c>
      <c r="H20" s="146">
        <f>+'[1]Datos de los PIPS'!L42</f>
        <v>880207.39877165109</v>
      </c>
      <c r="I20" s="11">
        <f t="shared" si="6"/>
        <v>268355.91425964975</v>
      </c>
      <c r="J20" s="11">
        <f t="shared" si="9"/>
        <v>220051.84969291277</v>
      </c>
      <c r="K20" s="11">
        <f t="shared" si="10"/>
        <v>48304.064566736954</v>
      </c>
    </row>
    <row r="21" spans="1:11" s="13" customFormat="1">
      <c r="A21" s="20" t="s">
        <v>125</v>
      </c>
      <c r="B21" s="39" t="s">
        <v>320</v>
      </c>
      <c r="C21" s="10" t="s">
        <v>38</v>
      </c>
      <c r="D21" s="42">
        <f>+'[1]Datos de los PIPS'!I43</f>
        <v>343689.53638747119</v>
      </c>
      <c r="E21" s="11">
        <f t="shared" si="5"/>
        <v>104783.39524008268</v>
      </c>
      <c r="F21" s="11">
        <f t="shared" si="7"/>
        <v>85922.384096867798</v>
      </c>
      <c r="G21" s="11">
        <f t="shared" si="8"/>
        <v>18861.011143214881</v>
      </c>
      <c r="H21" s="146">
        <f>+'[1]Datos de los PIPS'!L43</f>
        <v>1057350.0722040727</v>
      </c>
      <c r="I21" s="11">
        <f t="shared" si="6"/>
        <v>322362.8268914856</v>
      </c>
      <c r="J21" s="11">
        <f t="shared" si="9"/>
        <v>264337.51805101818</v>
      </c>
      <c r="K21" s="11">
        <f t="shared" si="10"/>
        <v>58025.308840467405</v>
      </c>
    </row>
    <row r="22" spans="1:11" s="13" customFormat="1">
      <c r="A22" s="20" t="s">
        <v>127</v>
      </c>
      <c r="B22" s="30" t="s">
        <v>321</v>
      </c>
      <c r="C22" s="10" t="s">
        <v>38</v>
      </c>
      <c r="D22" s="42">
        <f>+'[1]Datos de los PIPS'!I76</f>
        <v>411604.5689814802</v>
      </c>
      <c r="E22" s="11">
        <f t="shared" si="5"/>
        <v>125489.19786020738</v>
      </c>
      <c r="F22" s="11">
        <f t="shared" si="7"/>
        <v>102901.14224537005</v>
      </c>
      <c r="G22" s="11">
        <f t="shared" si="8"/>
        <v>22588.055614837329</v>
      </c>
      <c r="H22" s="146">
        <f>+'[1]Datos de los PIPS'!L76</f>
        <v>840268.72533488018</v>
      </c>
      <c r="I22" s="11">
        <f t="shared" si="6"/>
        <v>256179.48943136592</v>
      </c>
      <c r="J22" s="11">
        <f t="shared" si="9"/>
        <v>210067.18133372004</v>
      </c>
      <c r="K22" s="11">
        <f t="shared" si="10"/>
        <v>46112.308097645866</v>
      </c>
    </row>
    <row r="23" spans="1:11" s="13" customFormat="1">
      <c r="A23" s="20" t="s">
        <v>129</v>
      </c>
      <c r="B23" s="30" t="s">
        <v>322</v>
      </c>
      <c r="C23" s="10" t="s">
        <v>38</v>
      </c>
      <c r="D23" s="42">
        <f>+'[1]Datos de los PIPS'!I77</f>
        <v>398422.09487990348</v>
      </c>
      <c r="E23" s="11">
        <f t="shared" si="5"/>
        <v>121470.15087801935</v>
      </c>
      <c r="F23" s="11">
        <f t="shared" si="7"/>
        <v>99605.52371997587</v>
      </c>
      <c r="G23" s="11">
        <f t="shared" si="8"/>
        <v>21864.627158043484</v>
      </c>
      <c r="H23" s="146">
        <f>+'[1]Datos de los PIPS'!L77</f>
        <v>991535.89639098896</v>
      </c>
      <c r="I23" s="11">
        <f t="shared" si="6"/>
        <v>302297.52938749664</v>
      </c>
      <c r="J23" s="11">
        <f t="shared" si="9"/>
        <v>247883.97409774724</v>
      </c>
      <c r="K23" s="11">
        <f t="shared" si="10"/>
        <v>54413.555289749391</v>
      </c>
    </row>
    <row r="24" spans="1:11" s="13" customFormat="1">
      <c r="A24" s="20" t="s">
        <v>131</v>
      </c>
      <c r="B24" s="39" t="s">
        <v>323</v>
      </c>
      <c r="C24" s="10" t="s">
        <v>38</v>
      </c>
      <c r="D24" s="42">
        <f>+'[1]Datos de los PIPS'!I100</f>
        <v>462987.4804182243</v>
      </c>
      <c r="E24" s="11">
        <f t="shared" si="5"/>
        <v>141154.71963970253</v>
      </c>
      <c r="F24" s="11">
        <f t="shared" si="7"/>
        <v>115746.87010455606</v>
      </c>
      <c r="G24" s="11">
        <f t="shared" si="8"/>
        <v>25407.849535146455</v>
      </c>
      <c r="H24" s="146">
        <f>+'[1]Datos de los PIPS'!L100</f>
        <v>695456.10653592041</v>
      </c>
      <c r="I24" s="11">
        <f t="shared" si="6"/>
        <v>212029.30077314647</v>
      </c>
      <c r="J24" s="11">
        <f t="shared" si="9"/>
        <v>173864.0266339801</v>
      </c>
      <c r="K24" s="11">
        <f t="shared" si="10"/>
        <v>38165.274139166366</v>
      </c>
    </row>
    <row r="25" spans="1:11" s="9" customFormat="1">
      <c r="A25" s="20" t="s">
        <v>133</v>
      </c>
      <c r="B25" s="30" t="s">
        <v>324</v>
      </c>
      <c r="C25" s="10" t="s">
        <v>38</v>
      </c>
      <c r="D25" s="146">
        <f>+'[1]Datos de los PIPS'!I101</f>
        <v>0</v>
      </c>
      <c r="E25" s="11">
        <f t="shared" si="5"/>
        <v>0</v>
      </c>
      <c r="F25" s="11">
        <f t="shared" si="7"/>
        <v>0</v>
      </c>
      <c r="G25" s="11">
        <f t="shared" si="8"/>
        <v>0</v>
      </c>
      <c r="H25" s="146">
        <f>+'[1]Datos de los PIPS'!L101</f>
        <v>1315278.7075484444</v>
      </c>
      <c r="I25" s="11">
        <f t="shared" si="6"/>
        <v>400999.60595989163</v>
      </c>
      <c r="J25" s="11">
        <f t="shared" si="9"/>
        <v>328819.6768871111</v>
      </c>
      <c r="K25" s="11">
        <f t="shared" si="10"/>
        <v>72179.929072780491</v>
      </c>
    </row>
    <row r="26" spans="1:11" s="7" customFormat="1">
      <c r="A26" s="20" t="s">
        <v>57</v>
      </c>
      <c r="B26" s="44" t="s">
        <v>325</v>
      </c>
      <c r="C26" s="44"/>
      <c r="D26" s="54">
        <f t="shared" ref="D26:E26" si="11">SUM(D27:D41)</f>
        <v>333223.33551502298</v>
      </c>
      <c r="E26" s="54">
        <f t="shared" si="11"/>
        <v>101592.48033994602</v>
      </c>
      <c r="F26" s="54">
        <f t="shared" ref="F26:K26" si="12">SUM(F27:F41)</f>
        <v>83305.833878755744</v>
      </c>
      <c r="G26" s="54">
        <f t="shared" si="12"/>
        <v>18286.646461190285</v>
      </c>
      <c r="H26" s="54">
        <f t="shared" ref="H26:I26" si="13">SUM(H27:H41)</f>
        <v>656176.66448497702</v>
      </c>
      <c r="I26" s="54">
        <f t="shared" si="13"/>
        <v>200053.86112346864</v>
      </c>
      <c r="J26" s="54">
        <f t="shared" si="12"/>
        <v>164044.16612124426</v>
      </c>
      <c r="K26" s="54">
        <f t="shared" si="12"/>
        <v>36009.695002224347</v>
      </c>
    </row>
    <row r="27" spans="1:11" s="7" customFormat="1">
      <c r="A27" s="20" t="s">
        <v>58</v>
      </c>
      <c r="B27" s="30" t="s">
        <v>310</v>
      </c>
      <c r="C27" s="10" t="s">
        <v>38</v>
      </c>
      <c r="D27" s="146">
        <f>+'[1]Datos de los PIPS'!Q4*'[1]Datos de los PIPS'!N4</f>
        <v>19384.789993210208</v>
      </c>
      <c r="E27" s="8">
        <f t="shared" ref="E27:E41" si="14">+D27/$C$4</f>
        <v>5909.9969491494539</v>
      </c>
      <c r="F27" s="11">
        <f t="shared" si="7"/>
        <v>4846.197498302552</v>
      </c>
      <c r="G27" s="11">
        <f t="shared" ref="G27" si="15">+E27*0.18</f>
        <v>1063.7994508469017</v>
      </c>
      <c r="H27" s="146">
        <f>+'[1]Datos de los PIPS'!Q4*'[1]Datos de los PIPS'!O4</f>
        <v>49915.210006789792</v>
      </c>
      <c r="I27" s="11">
        <f t="shared" ref="I27:I41" si="16">+H27/$C$4</f>
        <v>15218.051831338353</v>
      </c>
      <c r="J27" s="11">
        <f t="shared" si="9"/>
        <v>12478.802501697448</v>
      </c>
      <c r="K27" s="11">
        <f t="shared" ref="K27" si="17">+I27*0.18</f>
        <v>2739.2493296409034</v>
      </c>
    </row>
    <row r="28" spans="1:11" s="13" customFormat="1">
      <c r="A28" s="20" t="s">
        <v>189</v>
      </c>
      <c r="B28" s="30" t="s">
        <v>311</v>
      </c>
      <c r="C28" s="10" t="s">
        <v>38</v>
      </c>
      <c r="D28" s="146">
        <f>+'[1]Datos de los PIPS'!Q5*'[1]Datos de los PIPS'!N5</f>
        <v>16129.13985679862</v>
      </c>
      <c r="E28" s="8">
        <f t="shared" si="14"/>
        <v>4917.4206880483598</v>
      </c>
      <c r="F28" s="11">
        <f t="shared" si="7"/>
        <v>4032.284964199655</v>
      </c>
      <c r="G28" s="11">
        <f t="shared" ref="G28:G41" si="18">+E28*0.18</f>
        <v>885.13572384870474</v>
      </c>
      <c r="H28" s="146">
        <f>+'[1]Datos de los PIPS'!Q5*'[1]Datos de los PIPS'!O5</f>
        <v>40870.860143201375</v>
      </c>
      <c r="I28" s="11">
        <f t="shared" si="16"/>
        <v>12460.628092439445</v>
      </c>
      <c r="J28" s="11">
        <f t="shared" si="9"/>
        <v>10217.715035800344</v>
      </c>
      <c r="K28" s="11">
        <f t="shared" ref="K28:K41" si="19">+I28*0.18</f>
        <v>2242.9130566391</v>
      </c>
    </row>
    <row r="29" spans="1:11" s="13" customFormat="1">
      <c r="A29" s="20" t="s">
        <v>190</v>
      </c>
      <c r="B29" s="30" t="s">
        <v>312</v>
      </c>
      <c r="C29" s="10" t="s">
        <v>38</v>
      </c>
      <c r="D29" s="146">
        <f>+'[1]Datos de los PIPS'!Q6*'[1]Datos de los PIPS'!N6</f>
        <v>35566.892101808553</v>
      </c>
      <c r="E29" s="8">
        <f t="shared" si="14"/>
        <v>10843.564665185535</v>
      </c>
      <c r="F29" s="11">
        <f t="shared" si="7"/>
        <v>8891.7230254521382</v>
      </c>
      <c r="G29" s="11">
        <f t="shared" si="18"/>
        <v>1951.8416397333963</v>
      </c>
      <c r="H29" s="146">
        <f>+'[1]Datos de los PIPS'!Q6*'[1]Datos de los PIPS'!O6</f>
        <v>35533.10789819144</v>
      </c>
      <c r="I29" s="11">
        <f t="shared" si="16"/>
        <v>10833.264603107147</v>
      </c>
      <c r="J29" s="11">
        <f t="shared" si="9"/>
        <v>8883.2769745478599</v>
      </c>
      <c r="K29" s="11">
        <f t="shared" si="19"/>
        <v>1949.9876285592863</v>
      </c>
    </row>
    <row r="30" spans="1:11" s="13" customFormat="1">
      <c r="A30" s="20" t="s">
        <v>191</v>
      </c>
      <c r="B30" s="30" t="s">
        <v>313</v>
      </c>
      <c r="C30" s="10" t="s">
        <v>38</v>
      </c>
      <c r="D30" s="146">
        <f>+'[1]Datos de los PIPS'!Q30*'[1]Datos de los PIPS'!N30</f>
        <v>29073.391067100438</v>
      </c>
      <c r="E30" s="8">
        <f t="shared" si="14"/>
        <v>8863.8387399696458</v>
      </c>
      <c r="F30" s="11">
        <f t="shared" si="7"/>
        <v>7268.3477667751094</v>
      </c>
      <c r="G30" s="11">
        <f t="shared" si="18"/>
        <v>1595.4909731945361</v>
      </c>
      <c r="H30" s="146">
        <f>+'[1]Datos de los PIPS'!Q30*'[1]Datos de los PIPS'!O30</f>
        <v>40226.608932899566</v>
      </c>
      <c r="I30" s="11">
        <f t="shared" si="16"/>
        <v>12264.210040518161</v>
      </c>
      <c r="J30" s="11">
        <f t="shared" si="9"/>
        <v>10056.652233224891</v>
      </c>
      <c r="K30" s="11">
        <f t="shared" si="19"/>
        <v>2207.557807293269</v>
      </c>
    </row>
    <row r="31" spans="1:11" s="13" customFormat="1">
      <c r="A31" s="20" t="s">
        <v>192</v>
      </c>
      <c r="B31" s="30" t="s">
        <v>314</v>
      </c>
      <c r="C31" s="10" t="s">
        <v>38</v>
      </c>
      <c r="D31" s="146">
        <f>+'[1]Datos de los PIPS'!Q32*'[1]Datos de los PIPS'!N32</f>
        <v>26169.922257831069</v>
      </c>
      <c r="E31" s="8">
        <f t="shared" si="14"/>
        <v>7978.6348347045951</v>
      </c>
      <c r="F31" s="11">
        <f t="shared" si="7"/>
        <v>6542.4805644577673</v>
      </c>
      <c r="G31" s="11">
        <f t="shared" si="18"/>
        <v>1436.1542702468271</v>
      </c>
      <c r="H31" s="146">
        <f>+'[1]Datos de los PIPS'!Q32*'[1]Datos de los PIPS'!O32</f>
        <v>42230.077742168942</v>
      </c>
      <c r="I31" s="11">
        <f t="shared" si="16"/>
        <v>12875.023701880777</v>
      </c>
      <c r="J31" s="11">
        <f t="shared" si="9"/>
        <v>10557.519435542235</v>
      </c>
      <c r="K31" s="11">
        <f t="shared" si="19"/>
        <v>2317.5042663385398</v>
      </c>
    </row>
    <row r="32" spans="1:11" s="13" customFormat="1">
      <c r="A32" s="20" t="s">
        <v>193</v>
      </c>
      <c r="B32" s="30" t="s">
        <v>315</v>
      </c>
      <c r="C32" s="10" t="s">
        <v>38</v>
      </c>
      <c r="D32" s="146">
        <f>+'[1]Datos de los PIPS'!Q35*'[1]Datos de los PIPS'!N35</f>
        <v>27626.61410278609</v>
      </c>
      <c r="E32" s="8">
        <f t="shared" si="14"/>
        <v>8422.7482020689313</v>
      </c>
      <c r="F32" s="11">
        <f t="shared" si="7"/>
        <v>6906.6535256965235</v>
      </c>
      <c r="G32" s="11">
        <f t="shared" si="18"/>
        <v>1516.0946763724075</v>
      </c>
      <c r="H32" s="146">
        <f>+'[1]Datos de los PIPS'!Q35*'[1]Datos de los PIPS'!O35</f>
        <v>39873.385897213913</v>
      </c>
      <c r="I32" s="11">
        <f t="shared" si="16"/>
        <v>12156.520090613998</v>
      </c>
      <c r="J32" s="11">
        <f t="shared" si="9"/>
        <v>9968.3464743034783</v>
      </c>
      <c r="K32" s="11">
        <f t="shared" si="19"/>
        <v>2188.1736163105197</v>
      </c>
    </row>
    <row r="33" spans="1:11" s="13" customFormat="1">
      <c r="A33" s="20" t="s">
        <v>194</v>
      </c>
      <c r="B33" s="30" t="s">
        <v>316</v>
      </c>
      <c r="C33" s="10" t="s">
        <v>38</v>
      </c>
      <c r="D33" s="146">
        <f>+'[1]Datos de los PIPS'!Q39*'[1]Datos de los PIPS'!N39</f>
        <v>25982.285174692228</v>
      </c>
      <c r="E33" s="8">
        <f t="shared" si="14"/>
        <v>7921.4284069183623</v>
      </c>
      <c r="F33" s="11">
        <f t="shared" si="7"/>
        <v>6495.571293673057</v>
      </c>
      <c r="G33" s="11">
        <f t="shared" si="18"/>
        <v>1425.8571132453051</v>
      </c>
      <c r="H33" s="146">
        <f>+'[1]Datos de los PIPS'!Q39*'[1]Datos de los PIPS'!O39</f>
        <v>39717.714825307768</v>
      </c>
      <c r="I33" s="11">
        <f t="shared" si="16"/>
        <v>12109.059397959687</v>
      </c>
      <c r="J33" s="11">
        <f t="shared" si="9"/>
        <v>9929.4287063269421</v>
      </c>
      <c r="K33" s="11">
        <f t="shared" si="19"/>
        <v>2179.6306916327435</v>
      </c>
    </row>
    <row r="34" spans="1:11" s="13" customFormat="1">
      <c r="A34" s="20" t="s">
        <v>195</v>
      </c>
      <c r="B34" s="30" t="s">
        <v>317</v>
      </c>
      <c r="C34" s="10" t="s">
        <v>38</v>
      </c>
      <c r="D34" s="146">
        <f>+'[1]Datos de los PIPS'!Q40*'[1]Datos de los PIPS'!N40</f>
        <v>18925.845359732019</v>
      </c>
      <c r="E34" s="8">
        <f t="shared" si="14"/>
        <v>5770.0748047963471</v>
      </c>
      <c r="F34" s="11">
        <f t="shared" si="7"/>
        <v>4731.4613399330046</v>
      </c>
      <c r="G34" s="11">
        <f t="shared" si="18"/>
        <v>1038.6134648633424</v>
      </c>
      <c r="H34" s="146">
        <f>+'[1]Datos de los PIPS'!Q40*'[1]Datos de los PIPS'!O40</f>
        <v>48574.154640267981</v>
      </c>
      <c r="I34" s="11">
        <f t="shared" si="16"/>
        <v>14809.193487886581</v>
      </c>
      <c r="J34" s="11">
        <f t="shared" si="9"/>
        <v>12143.538660066995</v>
      </c>
      <c r="K34" s="11">
        <f t="shared" si="19"/>
        <v>2665.6548278195846</v>
      </c>
    </row>
    <row r="35" spans="1:11" s="13" customFormat="1">
      <c r="A35" s="20" t="s">
        <v>196</v>
      </c>
      <c r="B35" s="30" t="s">
        <v>318</v>
      </c>
      <c r="C35" s="10" t="s">
        <v>38</v>
      </c>
      <c r="D35" s="146">
        <f>+'[1]Datos de los PIPS'!Q41*'[1]Datos de los PIPS'!N41</f>
        <v>20138.037103165869</v>
      </c>
      <c r="E35" s="8">
        <f t="shared" si="14"/>
        <v>6139.6454582822771</v>
      </c>
      <c r="F35" s="11">
        <f t="shared" si="7"/>
        <v>5034.5092757914672</v>
      </c>
      <c r="G35" s="11">
        <f t="shared" si="18"/>
        <v>1105.1361824908099</v>
      </c>
      <c r="H35" s="146">
        <f>+'[1]Datos de los PIPS'!Q41*'[1]Datos de los PIPS'!O41</f>
        <v>34611.962896834135</v>
      </c>
      <c r="I35" s="11">
        <f t="shared" si="16"/>
        <v>10552.427712449433</v>
      </c>
      <c r="J35" s="11">
        <f t="shared" si="9"/>
        <v>8652.9907242085337</v>
      </c>
      <c r="K35" s="11">
        <f t="shared" si="19"/>
        <v>1899.4369882408978</v>
      </c>
    </row>
    <row r="36" spans="1:11" s="13" customFormat="1">
      <c r="A36" s="20" t="s">
        <v>197</v>
      </c>
      <c r="B36" s="30" t="s">
        <v>319</v>
      </c>
      <c r="C36" s="10" t="s">
        <v>38</v>
      </c>
      <c r="D36" s="146">
        <f>+'[1]Datos de los PIPS'!Q42*'[1]Datos de los PIPS'!N42</f>
        <v>27875.598653588291</v>
      </c>
      <c r="E36" s="8">
        <f t="shared" si="14"/>
        <v>8498.6581260939911</v>
      </c>
      <c r="F36" s="11">
        <f t="shared" si="7"/>
        <v>6968.8996633970719</v>
      </c>
      <c r="G36" s="11">
        <f t="shared" si="18"/>
        <v>1529.7584626969183</v>
      </c>
      <c r="H36" s="146">
        <f>+'[1]Datos de los PIPS'!Q42*'[1]Datos de los PIPS'!O42</f>
        <v>39624.401346411709</v>
      </c>
      <c r="I36" s="11">
        <f t="shared" si="16"/>
        <v>12080.610166588936</v>
      </c>
      <c r="J36" s="11">
        <f t="shared" si="9"/>
        <v>9906.1003366029272</v>
      </c>
      <c r="K36" s="11">
        <f t="shared" si="19"/>
        <v>2174.5098299860083</v>
      </c>
    </row>
    <row r="37" spans="1:11" s="9" customFormat="1">
      <c r="A37" s="20" t="s">
        <v>199</v>
      </c>
      <c r="B37" s="39" t="s">
        <v>320</v>
      </c>
      <c r="C37" s="10" t="s">
        <v>38</v>
      </c>
      <c r="D37" s="146">
        <f>+'[1]Datos de los PIPS'!Q43*'[1]Datos de los PIPS'!N43</f>
        <v>16558.449571226723</v>
      </c>
      <c r="E37" s="8">
        <f t="shared" si="14"/>
        <v>5048.3077961057088</v>
      </c>
      <c r="F37" s="11">
        <f t="shared" si="7"/>
        <v>4139.6123928066809</v>
      </c>
      <c r="G37" s="11">
        <f t="shared" si="18"/>
        <v>908.69540329902759</v>
      </c>
      <c r="H37" s="146">
        <f>+'[1]Datos de los PIPS'!Q43*'[1]Datos de los PIPS'!O43</f>
        <v>50941.550428773269</v>
      </c>
      <c r="I37" s="11">
        <f t="shared" si="16"/>
        <v>15530.960496577218</v>
      </c>
      <c r="J37" s="11">
        <f t="shared" si="9"/>
        <v>12735.387607193317</v>
      </c>
      <c r="K37" s="11">
        <f t="shared" si="19"/>
        <v>2795.5728893838991</v>
      </c>
    </row>
    <row r="38" spans="1:11" s="18" customFormat="1">
      <c r="A38" s="20" t="s">
        <v>200</v>
      </c>
      <c r="B38" s="30" t="s">
        <v>321</v>
      </c>
      <c r="C38" s="32" t="s">
        <v>38</v>
      </c>
      <c r="D38" s="146">
        <f>+'[1]Datos de los PIPS'!Q76*'[1]Datos de los PIPS'!N76</f>
        <v>22489.2987542384</v>
      </c>
      <c r="E38" s="8">
        <f t="shared" si="14"/>
        <v>6856.4935226336593</v>
      </c>
      <c r="F38" s="11">
        <f t="shared" si="7"/>
        <v>5622.3246885596</v>
      </c>
      <c r="G38" s="11">
        <f t="shared" si="18"/>
        <v>1234.1688340740586</v>
      </c>
      <c r="H38" s="146">
        <f>+'[1]Datos de los PIPS'!Q76*'[1]Datos de los PIPS'!O76</f>
        <v>45910.701245761607</v>
      </c>
      <c r="I38" s="11">
        <f t="shared" si="16"/>
        <v>13997.16501395171</v>
      </c>
      <c r="J38" s="11">
        <f t="shared" si="9"/>
        <v>11477.675311440402</v>
      </c>
      <c r="K38" s="11">
        <f t="shared" si="19"/>
        <v>2519.4897025113078</v>
      </c>
    </row>
    <row r="39" spans="1:11" s="18" customFormat="1">
      <c r="A39" s="20" t="s">
        <v>201</v>
      </c>
      <c r="B39" s="30" t="s">
        <v>322</v>
      </c>
      <c r="C39" s="32" t="s">
        <v>38</v>
      </c>
      <c r="D39" s="146">
        <f>+'[1]Datos de los PIPS'!Q77*'[1]Datos de los PIPS'!N77</f>
        <v>19606.399229999592</v>
      </c>
      <c r="E39" s="8">
        <f t="shared" si="14"/>
        <v>5977.5607408535343</v>
      </c>
      <c r="F39" s="11">
        <f t="shared" si="7"/>
        <v>4901.5998074998979</v>
      </c>
      <c r="G39" s="11">
        <f t="shared" si="18"/>
        <v>1075.9609333536362</v>
      </c>
      <c r="H39" s="146">
        <f>+'[1]Datos de los PIPS'!Q77*'[1]Datos de los PIPS'!O77</f>
        <v>48793.600770000412</v>
      </c>
      <c r="I39" s="11">
        <f t="shared" si="16"/>
        <v>14876.097795731834</v>
      </c>
      <c r="J39" s="11">
        <f t="shared" si="9"/>
        <v>12198.400192500103</v>
      </c>
      <c r="K39" s="11">
        <f t="shared" si="19"/>
        <v>2677.6976032317298</v>
      </c>
    </row>
    <row r="40" spans="1:11" s="18" customFormat="1">
      <c r="A40" s="20" t="s">
        <v>202</v>
      </c>
      <c r="B40" s="39" t="s">
        <v>323</v>
      </c>
      <c r="C40" s="32" t="s">
        <v>38</v>
      </c>
      <c r="D40" s="146">
        <f>+'[1]Datos de los PIPS'!Q100*'[1]Datos de los PIPS'!N100</f>
        <v>27696.672288844893</v>
      </c>
      <c r="E40" s="8">
        <f t="shared" si="14"/>
        <v>8444.1074051356391</v>
      </c>
      <c r="F40" s="11">
        <f t="shared" si="7"/>
        <v>6924.1680722112233</v>
      </c>
      <c r="G40" s="11">
        <f t="shared" si="18"/>
        <v>1519.9393329244149</v>
      </c>
      <c r="H40" s="146">
        <f>+'[1]Datos de los PIPS'!Q100*'[1]Datos de los PIPS'!O100</f>
        <v>41603.3277111551</v>
      </c>
      <c r="I40" s="11">
        <f t="shared" si="16"/>
        <v>12683.941375352166</v>
      </c>
      <c r="J40" s="11">
        <f t="shared" si="9"/>
        <v>10400.831927788775</v>
      </c>
      <c r="K40" s="11">
        <f t="shared" si="19"/>
        <v>2283.1094475633899</v>
      </c>
    </row>
    <row r="41" spans="1:11" s="13" customFormat="1">
      <c r="A41" s="20" t="s">
        <v>203</v>
      </c>
      <c r="B41" s="30" t="s">
        <v>324</v>
      </c>
      <c r="C41" s="10" t="s">
        <v>38</v>
      </c>
      <c r="D41" s="146">
        <f>+'[1]Datos de los PIPS'!Q101*'[1]Datos de los PIPS'!N101</f>
        <v>0</v>
      </c>
      <c r="E41" s="8">
        <f t="shared" si="14"/>
        <v>0</v>
      </c>
      <c r="F41" s="11">
        <f t="shared" si="7"/>
        <v>0</v>
      </c>
      <c r="G41" s="11">
        <f t="shared" si="18"/>
        <v>0</v>
      </c>
      <c r="H41" s="146">
        <f>+'[1]Datos de los PIPS'!Q101*'[1]Datos de los PIPS'!O101</f>
        <v>57750</v>
      </c>
      <c r="I41" s="11">
        <f t="shared" si="16"/>
        <v>17606.707317073171</v>
      </c>
      <c r="J41" s="11">
        <f t="shared" si="9"/>
        <v>14437.5</v>
      </c>
      <c r="K41" s="11">
        <f t="shared" si="19"/>
        <v>3169.2073170731705</v>
      </c>
    </row>
    <row r="42" spans="1:11" s="7" customFormat="1">
      <c r="A42" s="20">
        <v>1.1399999999999999</v>
      </c>
      <c r="B42" s="44" t="s">
        <v>326</v>
      </c>
      <c r="C42" s="44"/>
      <c r="D42" s="54">
        <f t="shared" ref="D42:E42" si="20">SUM(D43:D57)</f>
        <v>268450</v>
      </c>
      <c r="E42" s="54">
        <f t="shared" si="20"/>
        <v>81844.512195121977</v>
      </c>
      <c r="F42" s="54">
        <f t="shared" ref="F42:K42" si="21">SUM(F43:F57)</f>
        <v>67112.5</v>
      </c>
      <c r="G42" s="54">
        <f t="shared" si="21"/>
        <v>14732.012195121953</v>
      </c>
      <c r="H42" s="54">
        <f t="shared" ref="H42:I42" si="22">SUM(H43:H57)</f>
        <v>0</v>
      </c>
      <c r="I42" s="54">
        <f t="shared" si="22"/>
        <v>0</v>
      </c>
      <c r="J42" s="54">
        <f t="shared" si="21"/>
        <v>0</v>
      </c>
      <c r="K42" s="54">
        <f t="shared" si="21"/>
        <v>0</v>
      </c>
    </row>
    <row r="43" spans="1:11" s="7" customFormat="1">
      <c r="A43" s="20" t="s">
        <v>61</v>
      </c>
      <c r="B43" s="30" t="s">
        <v>310</v>
      </c>
      <c r="C43" s="10" t="s">
        <v>38</v>
      </c>
      <c r="D43" s="146">
        <f>+'[1]Datos de los PIPS'!R4</f>
        <v>22800</v>
      </c>
      <c r="E43" s="8">
        <f t="shared" ref="E43:E57" si="23">+D43/$C$4</f>
        <v>6951.2195121951227</v>
      </c>
      <c r="F43" s="11">
        <f>+E43*0.82</f>
        <v>5700</v>
      </c>
      <c r="G43" s="11">
        <f t="shared" ref="G43:G57" si="24">+E43*0.18</f>
        <v>1251.219512195122</v>
      </c>
      <c r="H43" s="146">
        <v>0</v>
      </c>
      <c r="I43" s="11">
        <f t="shared" ref="I43:I57" si="25">+H43/$C$4</f>
        <v>0</v>
      </c>
      <c r="J43" s="11">
        <v>0</v>
      </c>
      <c r="K43" s="29">
        <v>0</v>
      </c>
    </row>
    <row r="44" spans="1:11" s="13" customFormat="1">
      <c r="A44" s="20" t="s">
        <v>62</v>
      </c>
      <c r="B44" s="30" t="s">
        <v>311</v>
      </c>
      <c r="C44" s="10" t="s">
        <v>38</v>
      </c>
      <c r="D44" s="146">
        <f>+'[1]Datos de los PIPS'!R5</f>
        <v>7800</v>
      </c>
      <c r="E44" s="8">
        <f t="shared" si="23"/>
        <v>2378.0487804878048</v>
      </c>
      <c r="F44" s="11">
        <f t="shared" ref="F44:F57" si="26">+E44*0.82</f>
        <v>1949.9999999999998</v>
      </c>
      <c r="G44" s="11">
        <f t="shared" si="24"/>
        <v>428.04878048780483</v>
      </c>
      <c r="H44" s="146">
        <v>0</v>
      </c>
      <c r="I44" s="11">
        <f t="shared" si="25"/>
        <v>0</v>
      </c>
      <c r="J44" s="11">
        <f t="shared" ref="J44:J57" si="27">+I44</f>
        <v>0</v>
      </c>
      <c r="K44" s="29">
        <v>0</v>
      </c>
    </row>
    <row r="45" spans="1:11" s="13" customFormat="1">
      <c r="A45" s="20" t="s">
        <v>63</v>
      </c>
      <c r="B45" s="30" t="s">
        <v>312</v>
      </c>
      <c r="C45" s="10" t="s">
        <v>38</v>
      </c>
      <c r="D45" s="146">
        <f>+'[1]Datos de los PIPS'!R6</f>
        <v>23800</v>
      </c>
      <c r="E45" s="8">
        <f t="shared" si="23"/>
        <v>7256.0975609756106</v>
      </c>
      <c r="F45" s="11">
        <f t="shared" si="26"/>
        <v>5950</v>
      </c>
      <c r="G45" s="11">
        <f t="shared" si="24"/>
        <v>1306.0975609756099</v>
      </c>
      <c r="H45" s="146">
        <v>0</v>
      </c>
      <c r="I45" s="11">
        <f t="shared" si="25"/>
        <v>0</v>
      </c>
      <c r="J45" s="11">
        <f t="shared" si="27"/>
        <v>0</v>
      </c>
      <c r="K45" s="29">
        <v>0</v>
      </c>
    </row>
    <row r="46" spans="1:11" s="13" customFormat="1">
      <c r="A46" s="20" t="s">
        <v>64</v>
      </c>
      <c r="B46" s="30" t="s">
        <v>313</v>
      </c>
      <c r="C46" s="10" t="s">
        <v>38</v>
      </c>
      <c r="D46" s="146">
        <f>+'[1]Datos de los PIPS'!R30</f>
        <v>21300</v>
      </c>
      <c r="E46" s="8">
        <f t="shared" si="23"/>
        <v>6493.9024390243903</v>
      </c>
      <c r="F46" s="11">
        <f t="shared" si="26"/>
        <v>5325</v>
      </c>
      <c r="G46" s="11">
        <f t="shared" si="24"/>
        <v>1168.9024390243901</v>
      </c>
      <c r="H46" s="146">
        <v>0</v>
      </c>
      <c r="I46" s="11">
        <f t="shared" si="25"/>
        <v>0</v>
      </c>
      <c r="J46" s="11">
        <f t="shared" si="27"/>
        <v>0</v>
      </c>
      <c r="K46" s="29">
        <v>0</v>
      </c>
    </row>
    <row r="47" spans="1:11" s="13" customFormat="1">
      <c r="A47" s="20" t="s">
        <v>65</v>
      </c>
      <c r="B47" s="30" t="s">
        <v>314</v>
      </c>
      <c r="C47" s="10" t="s">
        <v>38</v>
      </c>
      <c r="D47" s="146">
        <f>+'[1]Datos de los PIPS'!R32</f>
        <v>21300</v>
      </c>
      <c r="E47" s="8">
        <f t="shared" si="23"/>
        <v>6493.9024390243903</v>
      </c>
      <c r="F47" s="11">
        <f t="shared" si="26"/>
        <v>5325</v>
      </c>
      <c r="G47" s="11">
        <f t="shared" si="24"/>
        <v>1168.9024390243901</v>
      </c>
      <c r="H47" s="146">
        <v>0</v>
      </c>
      <c r="I47" s="11">
        <f t="shared" si="25"/>
        <v>0</v>
      </c>
      <c r="J47" s="11">
        <f t="shared" si="27"/>
        <v>0</v>
      </c>
      <c r="K47" s="29">
        <v>0</v>
      </c>
    </row>
    <row r="48" spans="1:11" s="13" customFormat="1">
      <c r="A48" s="20" t="s">
        <v>66</v>
      </c>
      <c r="B48" s="30" t="s">
        <v>315</v>
      </c>
      <c r="C48" s="10" t="s">
        <v>38</v>
      </c>
      <c r="D48" s="146">
        <f>+'[1]Datos de los PIPS'!R35</f>
        <v>21300</v>
      </c>
      <c r="E48" s="8">
        <f t="shared" si="23"/>
        <v>6493.9024390243903</v>
      </c>
      <c r="F48" s="11">
        <f t="shared" si="26"/>
        <v>5325</v>
      </c>
      <c r="G48" s="11">
        <f t="shared" si="24"/>
        <v>1168.9024390243901</v>
      </c>
      <c r="H48" s="146">
        <v>0</v>
      </c>
      <c r="I48" s="11">
        <f t="shared" si="25"/>
        <v>0</v>
      </c>
      <c r="J48" s="11">
        <f t="shared" si="27"/>
        <v>0</v>
      </c>
      <c r="K48" s="29">
        <v>0</v>
      </c>
    </row>
    <row r="49" spans="1:11" s="13" customFormat="1">
      <c r="A49" s="20" t="s">
        <v>219</v>
      </c>
      <c r="B49" s="30" t="s">
        <v>316</v>
      </c>
      <c r="C49" s="10" t="s">
        <v>38</v>
      </c>
      <c r="D49" s="146">
        <f>+'[1]Datos de los PIPS'!R39</f>
        <v>22800</v>
      </c>
      <c r="E49" s="8">
        <f t="shared" si="23"/>
        <v>6951.2195121951227</v>
      </c>
      <c r="F49" s="11">
        <f t="shared" si="26"/>
        <v>5700</v>
      </c>
      <c r="G49" s="11">
        <f t="shared" si="24"/>
        <v>1251.219512195122</v>
      </c>
      <c r="H49" s="146">
        <v>0</v>
      </c>
      <c r="I49" s="11">
        <f t="shared" si="25"/>
        <v>0</v>
      </c>
      <c r="J49" s="11">
        <f t="shared" si="27"/>
        <v>0</v>
      </c>
      <c r="K49" s="29">
        <v>0</v>
      </c>
    </row>
    <row r="50" spans="1:11" s="13" customFormat="1">
      <c r="A50" s="20" t="s">
        <v>220</v>
      </c>
      <c r="B50" s="30" t="s">
        <v>317</v>
      </c>
      <c r="C50" s="10" t="s">
        <v>38</v>
      </c>
      <c r="D50" s="146">
        <f>+'[1]Datos de los PIPS'!R40</f>
        <v>22800</v>
      </c>
      <c r="E50" s="8">
        <f t="shared" si="23"/>
        <v>6951.2195121951227</v>
      </c>
      <c r="F50" s="11">
        <f t="shared" si="26"/>
        <v>5700</v>
      </c>
      <c r="G50" s="11">
        <f t="shared" si="24"/>
        <v>1251.219512195122</v>
      </c>
      <c r="H50" s="146">
        <v>0</v>
      </c>
      <c r="I50" s="11">
        <f t="shared" si="25"/>
        <v>0</v>
      </c>
      <c r="J50" s="11">
        <f t="shared" si="27"/>
        <v>0</v>
      </c>
      <c r="K50" s="29">
        <v>0</v>
      </c>
    </row>
    <row r="51" spans="1:11" s="13" customFormat="1">
      <c r="A51" s="20" t="s">
        <v>221</v>
      </c>
      <c r="B51" s="30" t="s">
        <v>318</v>
      </c>
      <c r="C51" s="10" t="s">
        <v>38</v>
      </c>
      <c r="D51" s="146">
        <f>+'[1]Datos de los PIPS'!R41</f>
        <v>22800</v>
      </c>
      <c r="E51" s="8">
        <f t="shared" si="23"/>
        <v>6951.2195121951227</v>
      </c>
      <c r="F51" s="11">
        <f t="shared" si="26"/>
        <v>5700</v>
      </c>
      <c r="G51" s="11">
        <f t="shared" si="24"/>
        <v>1251.219512195122</v>
      </c>
      <c r="H51" s="146">
        <v>0</v>
      </c>
      <c r="I51" s="11">
        <f t="shared" si="25"/>
        <v>0</v>
      </c>
      <c r="J51" s="11">
        <f t="shared" si="27"/>
        <v>0</v>
      </c>
      <c r="K51" s="29">
        <v>0</v>
      </c>
    </row>
    <row r="52" spans="1:11" s="13" customFormat="1">
      <c r="A52" s="20" t="s">
        <v>222</v>
      </c>
      <c r="B52" s="30" t="s">
        <v>319</v>
      </c>
      <c r="C52" s="10" t="s">
        <v>38</v>
      </c>
      <c r="D52" s="146">
        <f>+'[1]Datos de los PIPS'!R42</f>
        <v>22800</v>
      </c>
      <c r="E52" s="8">
        <f t="shared" si="23"/>
        <v>6951.2195121951227</v>
      </c>
      <c r="F52" s="11">
        <f t="shared" si="26"/>
        <v>5700</v>
      </c>
      <c r="G52" s="11">
        <f t="shared" si="24"/>
        <v>1251.219512195122</v>
      </c>
      <c r="H52" s="146">
        <v>0</v>
      </c>
      <c r="I52" s="11">
        <f t="shared" si="25"/>
        <v>0</v>
      </c>
      <c r="J52" s="11">
        <f t="shared" si="27"/>
        <v>0</v>
      </c>
      <c r="K52" s="29">
        <v>0</v>
      </c>
    </row>
    <row r="53" spans="1:11" s="9" customFormat="1">
      <c r="A53" s="20" t="s">
        <v>224</v>
      </c>
      <c r="B53" s="39" t="s">
        <v>320</v>
      </c>
      <c r="C53" s="10" t="s">
        <v>38</v>
      </c>
      <c r="D53" s="146">
        <f>+'[1]Datos de los PIPS'!R43</f>
        <v>22800</v>
      </c>
      <c r="E53" s="8">
        <f t="shared" si="23"/>
        <v>6951.2195121951227</v>
      </c>
      <c r="F53" s="11">
        <f t="shared" si="26"/>
        <v>5700</v>
      </c>
      <c r="G53" s="11">
        <f t="shared" si="24"/>
        <v>1251.219512195122</v>
      </c>
      <c r="H53" s="146">
        <v>0</v>
      </c>
      <c r="I53" s="11">
        <f t="shared" si="25"/>
        <v>0</v>
      </c>
      <c r="J53" s="11">
        <f t="shared" si="27"/>
        <v>0</v>
      </c>
      <c r="K53" s="29">
        <v>0</v>
      </c>
    </row>
    <row r="54" spans="1:11" s="18" customFormat="1">
      <c r="A54" s="20" t="s">
        <v>225</v>
      </c>
      <c r="B54" s="30" t="s">
        <v>321</v>
      </c>
      <c r="C54" s="32" t="s">
        <v>38</v>
      </c>
      <c r="D54" s="146">
        <f>+'[1]Datos de los PIPS'!R76</f>
        <v>7800</v>
      </c>
      <c r="E54" s="8">
        <f t="shared" si="23"/>
        <v>2378.0487804878048</v>
      </c>
      <c r="F54" s="11">
        <f t="shared" si="26"/>
        <v>1949.9999999999998</v>
      </c>
      <c r="G54" s="11">
        <f t="shared" si="24"/>
        <v>428.04878048780483</v>
      </c>
      <c r="H54" s="146">
        <v>0</v>
      </c>
      <c r="I54" s="11">
        <f t="shared" si="25"/>
        <v>0</v>
      </c>
      <c r="J54" s="11">
        <f t="shared" si="27"/>
        <v>0</v>
      </c>
      <c r="K54" s="29">
        <v>0</v>
      </c>
    </row>
    <row r="55" spans="1:11" s="18" customFormat="1">
      <c r="A55" s="20" t="s">
        <v>226</v>
      </c>
      <c r="B55" s="30" t="s">
        <v>322</v>
      </c>
      <c r="C55" s="32" t="s">
        <v>38</v>
      </c>
      <c r="D55" s="146">
        <f>+'[1]Datos de los PIPS'!R77</f>
        <v>7800</v>
      </c>
      <c r="E55" s="8">
        <f t="shared" si="23"/>
        <v>2378.0487804878048</v>
      </c>
      <c r="F55" s="11">
        <f t="shared" si="26"/>
        <v>1949.9999999999998</v>
      </c>
      <c r="G55" s="11">
        <f t="shared" si="24"/>
        <v>428.04878048780483</v>
      </c>
      <c r="H55" s="146">
        <v>0</v>
      </c>
      <c r="I55" s="11">
        <f t="shared" si="25"/>
        <v>0</v>
      </c>
      <c r="J55" s="11">
        <f t="shared" si="27"/>
        <v>0</v>
      </c>
      <c r="K55" s="29">
        <v>0</v>
      </c>
    </row>
    <row r="56" spans="1:11" s="18" customFormat="1">
      <c r="A56" s="20" t="s">
        <v>227</v>
      </c>
      <c r="B56" s="39" t="s">
        <v>323</v>
      </c>
      <c r="C56" s="32" t="s">
        <v>38</v>
      </c>
      <c r="D56" s="146">
        <f>+'[1]Datos de los PIPS'!R100</f>
        <v>2250</v>
      </c>
      <c r="E56" s="8">
        <f t="shared" si="23"/>
        <v>685.97560975609758</v>
      </c>
      <c r="F56" s="11">
        <f t="shared" si="26"/>
        <v>562.5</v>
      </c>
      <c r="G56" s="11">
        <f t="shared" si="24"/>
        <v>123.47560975609755</v>
      </c>
      <c r="H56" s="146">
        <v>0</v>
      </c>
      <c r="I56" s="11">
        <f t="shared" si="25"/>
        <v>0</v>
      </c>
      <c r="J56" s="11">
        <f t="shared" si="27"/>
        <v>0</v>
      </c>
      <c r="K56" s="29">
        <v>0</v>
      </c>
    </row>
    <row r="57" spans="1:11" s="13" customFormat="1">
      <c r="A57" s="20" t="s">
        <v>228</v>
      </c>
      <c r="B57" s="30" t="s">
        <v>324</v>
      </c>
      <c r="C57" s="10" t="s">
        <v>38</v>
      </c>
      <c r="D57" s="146">
        <f>+'[1]Datos de los PIPS'!R101</f>
        <v>18300</v>
      </c>
      <c r="E57" s="8">
        <f t="shared" si="23"/>
        <v>5579.2682926829275</v>
      </c>
      <c r="F57" s="11">
        <f t="shared" si="26"/>
        <v>4575</v>
      </c>
      <c r="G57" s="11">
        <f t="shared" si="24"/>
        <v>1004.2682926829269</v>
      </c>
      <c r="H57" s="146">
        <v>0</v>
      </c>
      <c r="I57" s="11">
        <f t="shared" si="25"/>
        <v>0</v>
      </c>
      <c r="J57" s="11">
        <f t="shared" si="27"/>
        <v>0</v>
      </c>
      <c r="K57" s="29">
        <v>0</v>
      </c>
    </row>
    <row r="58" spans="1:11" s="7" customFormat="1">
      <c r="A58" s="20" t="s">
        <v>243</v>
      </c>
      <c r="B58" s="44" t="s">
        <v>327</v>
      </c>
      <c r="C58" s="44"/>
      <c r="D58" s="54">
        <f t="shared" ref="D58:E58" si="28">SUM(D59:D73)</f>
        <v>323673.16023997258</v>
      </c>
      <c r="E58" s="54">
        <f t="shared" si="28"/>
        <v>98680.84153657702</v>
      </c>
      <c r="F58" s="54">
        <f t="shared" ref="F58:K58" si="29">SUM(F59:F73)</f>
        <v>80918.290059993145</v>
      </c>
      <c r="G58" s="54">
        <f t="shared" si="29"/>
        <v>17762.551476583863</v>
      </c>
      <c r="H58" s="54">
        <f t="shared" ref="H58:I58" si="30">SUM(H59:H73)</f>
        <v>684702.09962609748</v>
      </c>
      <c r="I58" s="54">
        <f t="shared" si="30"/>
        <v>208750.64012990773</v>
      </c>
      <c r="J58" s="54">
        <f t="shared" si="29"/>
        <v>171175.52490652437</v>
      </c>
      <c r="K58" s="54">
        <f t="shared" si="29"/>
        <v>37575.115223383393</v>
      </c>
    </row>
    <row r="59" spans="1:11" s="7" customFormat="1">
      <c r="A59" s="20" t="s">
        <v>245</v>
      </c>
      <c r="B59" s="30" t="s">
        <v>310</v>
      </c>
      <c r="C59" s="10" t="s">
        <v>38</v>
      </c>
      <c r="D59" s="146">
        <f>+'[1]Datos de los PIPS'!S4*'[1]Datos de los PIPS'!N4</f>
        <v>36763.380097382855</v>
      </c>
      <c r="E59" s="8">
        <f t="shared" ref="E59:E73" si="31">+D59/$C$4</f>
        <v>11208.347590665506</v>
      </c>
      <c r="F59" s="11">
        <f t="shared" ref="F59:F105" si="32">+E59*0.82</f>
        <v>9190.8450243457137</v>
      </c>
      <c r="G59" s="11">
        <f t="shared" ref="G59" si="33">+E59*0.18</f>
        <v>2017.502566319791</v>
      </c>
      <c r="H59" s="146">
        <f>+'[1]Datos de los PIPS'!S4*'[1]Datos de los PIPS'!O4</f>
        <v>94664.519902617147</v>
      </c>
      <c r="I59" s="11">
        <f t="shared" ref="I59:I73" si="34">+H59/$C$4</f>
        <v>28861.13411665157</v>
      </c>
      <c r="J59" s="11">
        <f t="shared" ref="J59:J105" si="35">+I59*0.82</f>
        <v>23666.129975654287</v>
      </c>
      <c r="K59" s="11">
        <f t="shared" ref="K59" si="36">+I59*0.18</f>
        <v>5195.0041409972828</v>
      </c>
    </row>
    <row r="60" spans="1:11" s="13" customFormat="1">
      <c r="A60" s="20" t="s">
        <v>246</v>
      </c>
      <c r="B60" s="30" t="s">
        <v>311</v>
      </c>
      <c r="C60" s="10" t="s">
        <v>38</v>
      </c>
      <c r="D60" s="146">
        <f>+'[1]Datos de los PIPS'!S5*'[1]Datos de los PIPS'!N5</f>
        <v>34002.334925007512</v>
      </c>
      <c r="E60" s="8">
        <f t="shared" si="31"/>
        <v>10366.565525916925</v>
      </c>
      <c r="F60" s="11">
        <f t="shared" si="32"/>
        <v>8500.5837312518779</v>
      </c>
      <c r="G60" s="11">
        <f t="shared" ref="G60:G73" si="37">+E60*0.18</f>
        <v>1865.9817946650464</v>
      </c>
      <c r="H60" s="146">
        <f>+'[1]Datos de los PIPS'!S5*'[1]Datos de los PIPS'!O5</f>
        <v>86161.115074992471</v>
      </c>
      <c r="I60" s="11">
        <f t="shared" si="34"/>
        <v>26268.632644814781</v>
      </c>
      <c r="J60" s="11">
        <f t="shared" si="35"/>
        <v>21540.278768748118</v>
      </c>
      <c r="K60" s="11">
        <f t="shared" ref="K60:K73" si="38">+I60*0.18</f>
        <v>4728.3538760666606</v>
      </c>
    </row>
    <row r="61" spans="1:11" s="13" customFormat="1">
      <c r="A61" s="20" t="s">
        <v>247</v>
      </c>
      <c r="B61" s="30" t="s">
        <v>312</v>
      </c>
      <c r="C61" s="10" t="s">
        <v>38</v>
      </c>
      <c r="D61" s="146">
        <f>+'[1]Datos de los PIPS'!S6*'[1]Datos de los PIPS'!N6</f>
        <v>18083.778690567902</v>
      </c>
      <c r="E61" s="8">
        <f t="shared" si="31"/>
        <v>5513.3471617585074</v>
      </c>
      <c r="F61" s="11">
        <f t="shared" si="32"/>
        <v>4520.9446726419756</v>
      </c>
      <c r="G61" s="11">
        <f t="shared" si="37"/>
        <v>992.40248911653134</v>
      </c>
      <c r="H61" s="146">
        <f>+'[1]Datos de los PIPS'!S6*'[1]Datos de los PIPS'!O6</f>
        <v>18066.601309432092</v>
      </c>
      <c r="I61" s="11">
        <f t="shared" si="34"/>
        <v>5508.1101553146627</v>
      </c>
      <c r="J61" s="11">
        <f t="shared" si="35"/>
        <v>4516.6503273580229</v>
      </c>
      <c r="K61" s="11">
        <f t="shared" si="38"/>
        <v>991.45982795663929</v>
      </c>
    </row>
    <row r="62" spans="1:11" s="13" customFormat="1">
      <c r="A62" s="20" t="s">
        <v>248</v>
      </c>
      <c r="B62" s="30" t="s">
        <v>313</v>
      </c>
      <c r="C62" s="10" t="s">
        <v>38</v>
      </c>
      <c r="D62" s="146">
        <f>+'[1]Datos de los PIPS'!S30*'[1]Datos de los PIPS'!N30</f>
        <v>25412.136557545764</v>
      </c>
      <c r="E62" s="8">
        <f t="shared" si="31"/>
        <v>7747.6026090078549</v>
      </c>
      <c r="F62" s="11">
        <f t="shared" si="32"/>
        <v>6353.034139386441</v>
      </c>
      <c r="G62" s="11">
        <f t="shared" si="37"/>
        <v>1394.5684696214139</v>
      </c>
      <c r="H62" s="146">
        <f>+'[1]Datos de los PIPS'!S30*'[1]Datos de los PIPS'!O30</f>
        <v>35160.813442454237</v>
      </c>
      <c r="I62" s="11">
        <f t="shared" si="34"/>
        <v>10719.760195870194</v>
      </c>
      <c r="J62" s="11">
        <f t="shared" si="35"/>
        <v>8790.2033606135592</v>
      </c>
      <c r="K62" s="11">
        <f t="shared" si="38"/>
        <v>1929.5568352566349</v>
      </c>
    </row>
    <row r="63" spans="1:11" s="13" customFormat="1">
      <c r="A63" s="20" t="s">
        <v>249</v>
      </c>
      <c r="B63" s="30" t="s">
        <v>314</v>
      </c>
      <c r="C63" s="10" t="s">
        <v>38</v>
      </c>
      <c r="D63" s="146">
        <f>+'[1]Datos de los PIPS'!S32*'[1]Datos de los PIPS'!N32</f>
        <v>23262.042163723305</v>
      </c>
      <c r="E63" s="8">
        <f t="shared" si="31"/>
        <v>7092.0860255253983</v>
      </c>
      <c r="F63" s="11">
        <f t="shared" si="32"/>
        <v>5815.5105409308262</v>
      </c>
      <c r="G63" s="11">
        <f t="shared" si="37"/>
        <v>1276.5754845945717</v>
      </c>
      <c r="H63" s="146">
        <f>+'[1]Datos de los PIPS'!S32*'[1]Datos de los PIPS'!O32</f>
        <v>37537.667836276698</v>
      </c>
      <c r="I63" s="11">
        <f t="shared" si="34"/>
        <v>11444.410925694116</v>
      </c>
      <c r="J63" s="11">
        <f t="shared" si="35"/>
        <v>9384.4169590691745</v>
      </c>
      <c r="K63" s="11">
        <f t="shared" si="38"/>
        <v>2059.9939666249406</v>
      </c>
    </row>
    <row r="64" spans="1:11" s="13" customFormat="1">
      <c r="A64" s="20" t="s">
        <v>250</v>
      </c>
      <c r="B64" s="30" t="s">
        <v>315</v>
      </c>
      <c r="C64" s="10" t="s">
        <v>38</v>
      </c>
      <c r="D64" s="146">
        <f>+'[1]Datos de los PIPS'!S35*'[1]Datos de los PIPS'!N35</f>
        <v>14775.429467720813</v>
      </c>
      <c r="E64" s="8">
        <f t="shared" si="31"/>
        <v>4504.7041060124429</v>
      </c>
      <c r="F64" s="11">
        <f t="shared" si="32"/>
        <v>3693.8573669302032</v>
      </c>
      <c r="G64" s="11">
        <f t="shared" si="37"/>
        <v>810.84673908223965</v>
      </c>
      <c r="H64" s="146">
        <f>+'[1]Datos de los PIPS'!S35*'[1]Datos de los PIPS'!O35</f>
        <v>21325.320532279187</v>
      </c>
      <c r="I64" s="11">
        <f t="shared" si="34"/>
        <v>6501.6221134997522</v>
      </c>
      <c r="J64" s="11">
        <f t="shared" si="35"/>
        <v>5331.3301330697968</v>
      </c>
      <c r="K64" s="11">
        <f t="shared" si="38"/>
        <v>1170.2919804299554</v>
      </c>
    </row>
    <row r="65" spans="1:11" s="13" customFormat="1">
      <c r="A65" s="20" t="s">
        <v>251</v>
      </c>
      <c r="B65" s="30" t="s">
        <v>316</v>
      </c>
      <c r="C65" s="10" t="s">
        <v>38</v>
      </c>
      <c r="D65" s="146">
        <f>+'[1]Datos de los PIPS'!S39*'[1]Datos de los PIPS'!N39</f>
        <v>27766.165618362211</v>
      </c>
      <c r="E65" s="8">
        <f t="shared" si="31"/>
        <v>8465.2943958421383</v>
      </c>
      <c r="F65" s="11">
        <f t="shared" si="32"/>
        <v>6941.5414045905527</v>
      </c>
      <c r="G65" s="11">
        <f t="shared" si="37"/>
        <v>1523.7529912515849</v>
      </c>
      <c r="H65" s="146">
        <f>+'[1]Datos de los PIPS'!S39*'[1]Datos de los PIPS'!O39</f>
        <v>42444.636428536884</v>
      </c>
      <c r="I65" s="11">
        <f t="shared" si="34"/>
        <v>12940.437935529539</v>
      </c>
      <c r="J65" s="11">
        <f t="shared" si="35"/>
        <v>10611.159107134221</v>
      </c>
      <c r="K65" s="11">
        <f t="shared" si="38"/>
        <v>2329.2788283953169</v>
      </c>
    </row>
    <row r="66" spans="1:11" s="13" customFormat="1">
      <c r="A66" s="20" t="s">
        <v>252</v>
      </c>
      <c r="B66" s="30" t="s">
        <v>317</v>
      </c>
      <c r="C66" s="10" t="s">
        <v>38</v>
      </c>
      <c r="D66" s="146">
        <f>+'[1]Datos de los PIPS'!S40*'[1]Datos de los PIPS'!N40</f>
        <v>17989.706138970363</v>
      </c>
      <c r="E66" s="8">
        <f t="shared" si="31"/>
        <v>5484.6665057836481</v>
      </c>
      <c r="F66" s="11">
        <f t="shared" si="32"/>
        <v>4497.4265347425908</v>
      </c>
      <c r="G66" s="11">
        <f t="shared" si="37"/>
        <v>987.23997104105661</v>
      </c>
      <c r="H66" s="146">
        <f>+'[1]Datos de los PIPS'!S40*'[1]Datos de los PIPS'!O40</f>
        <v>46171.505225682442</v>
      </c>
      <c r="I66" s="11">
        <f t="shared" si="34"/>
        <v>14076.67842246416</v>
      </c>
      <c r="J66" s="11">
        <f t="shared" si="35"/>
        <v>11542.87630642061</v>
      </c>
      <c r="K66" s="11">
        <f t="shared" si="38"/>
        <v>2533.8021160435487</v>
      </c>
    </row>
    <row r="67" spans="1:11" s="13" customFormat="1">
      <c r="A67" s="20" t="s">
        <v>253</v>
      </c>
      <c r="B67" s="30" t="s">
        <v>318</v>
      </c>
      <c r="C67" s="10" t="s">
        <v>38</v>
      </c>
      <c r="D67" s="146">
        <f>+'[1]Datos de los PIPS'!S41*'[1]Datos de los PIPS'!N41</f>
        <v>20453.641480606679</v>
      </c>
      <c r="E67" s="8">
        <f t="shared" si="31"/>
        <v>6235.8663050630121</v>
      </c>
      <c r="F67" s="11">
        <f t="shared" si="32"/>
        <v>5113.4103701516697</v>
      </c>
      <c r="G67" s="11">
        <f t="shared" si="37"/>
        <v>1122.4559349113422</v>
      </c>
      <c r="H67" s="146">
        <f>+'[1]Datos de los PIPS'!S41*'[1]Datos de los PIPS'!O41</f>
        <v>35154.40340114438</v>
      </c>
      <c r="I67" s="11">
        <f t="shared" si="34"/>
        <v>10717.805914983044</v>
      </c>
      <c r="J67" s="11">
        <f t="shared" si="35"/>
        <v>8788.600850286095</v>
      </c>
      <c r="K67" s="11">
        <f t="shared" si="38"/>
        <v>1929.2050646969478</v>
      </c>
    </row>
    <row r="68" spans="1:11" s="13" customFormat="1">
      <c r="A68" s="20" t="s">
        <v>254</v>
      </c>
      <c r="B68" s="30" t="s">
        <v>319</v>
      </c>
      <c r="C68" s="10" t="s">
        <v>38</v>
      </c>
      <c r="D68" s="146">
        <f>+'[1]Datos de los PIPS'!S42*'[1]Datos de los PIPS'!N42</f>
        <v>24963.915974432093</v>
      </c>
      <c r="E68" s="8">
        <f t="shared" si="31"/>
        <v>7610.9499922049072</v>
      </c>
      <c r="F68" s="11">
        <f t="shared" si="32"/>
        <v>6240.9789936080233</v>
      </c>
      <c r="G68" s="11">
        <f t="shared" si="37"/>
        <v>1369.9709985968832</v>
      </c>
      <c r="H68" s="146">
        <f>+'[1]Datos de los PIPS'!S42*'[1]Datos de los PIPS'!O42</f>
        <v>35485.524025567909</v>
      </c>
      <c r="I68" s="11">
        <f t="shared" si="34"/>
        <v>10818.757324868266</v>
      </c>
      <c r="J68" s="11">
        <f t="shared" si="35"/>
        <v>8871.3810063919773</v>
      </c>
      <c r="K68" s="11">
        <f t="shared" si="38"/>
        <v>1947.3763184762877</v>
      </c>
    </row>
    <row r="69" spans="1:11" s="9" customFormat="1">
      <c r="A69" s="20" t="s">
        <v>256</v>
      </c>
      <c r="B69" s="39" t="s">
        <v>320</v>
      </c>
      <c r="C69" s="10" t="s">
        <v>38</v>
      </c>
      <c r="D69" s="146">
        <f>+'[1]Datos de los PIPS'!S43*'[1]Datos de los PIPS'!N43</f>
        <v>14714.478256526525</v>
      </c>
      <c r="E69" s="8">
        <f t="shared" si="31"/>
        <v>4486.1214196727215</v>
      </c>
      <c r="F69" s="11">
        <f t="shared" si="32"/>
        <v>3678.6195641316313</v>
      </c>
      <c r="G69" s="11">
        <f t="shared" si="37"/>
        <v>807.50185554108987</v>
      </c>
      <c r="H69" s="146">
        <f>+'[1]Datos de los PIPS'!S43*'[1]Datos de los PIPS'!O43</f>
        <v>45268.630551042697</v>
      </c>
      <c r="I69" s="11">
        <f t="shared" si="34"/>
        <v>13801.411753366678</v>
      </c>
      <c r="J69" s="11">
        <f t="shared" si="35"/>
        <v>11317.157637760674</v>
      </c>
      <c r="K69" s="11">
        <f t="shared" si="38"/>
        <v>2484.254115606002</v>
      </c>
    </row>
    <row r="70" spans="1:11" s="18" customFormat="1">
      <c r="A70" s="20" t="s">
        <v>257</v>
      </c>
      <c r="B70" s="30" t="s">
        <v>321</v>
      </c>
      <c r="C70" s="32" t="s">
        <v>38</v>
      </c>
      <c r="D70" s="146">
        <f>+'[1]Datos de los PIPS'!S76*'[1]Datos de los PIPS'!N76</f>
        <v>19909.670974033666</v>
      </c>
      <c r="E70" s="8">
        <f t="shared" si="31"/>
        <v>6070.0216384248988</v>
      </c>
      <c r="F70" s="11">
        <f t="shared" si="32"/>
        <v>4977.4177435084166</v>
      </c>
      <c r="G70" s="11">
        <f t="shared" si="37"/>
        <v>1092.6038949164817</v>
      </c>
      <c r="H70" s="146">
        <f>+'[1]Datos de los PIPS'!S76*'[1]Datos de los PIPS'!O76</f>
        <v>40644.529025966338</v>
      </c>
      <c r="I70" s="11">
        <f t="shared" si="34"/>
        <v>12391.624703038518</v>
      </c>
      <c r="J70" s="11">
        <f t="shared" si="35"/>
        <v>10161.132256491584</v>
      </c>
      <c r="K70" s="11">
        <f t="shared" si="38"/>
        <v>2230.492446546933</v>
      </c>
    </row>
    <row r="71" spans="1:11" s="18" customFormat="1">
      <c r="A71" s="20" t="s">
        <v>258</v>
      </c>
      <c r="B71" s="30" t="s">
        <v>322</v>
      </c>
      <c r="C71" s="32" t="s">
        <v>38</v>
      </c>
      <c r="D71" s="146">
        <f>+'[1]Datos de los PIPS'!S77*'[1]Datos de los PIPS'!N77</f>
        <v>17754.139124965463</v>
      </c>
      <c r="E71" s="8">
        <f t="shared" si="31"/>
        <v>5412.8472941967875</v>
      </c>
      <c r="F71" s="11">
        <f t="shared" si="32"/>
        <v>4438.5347812413656</v>
      </c>
      <c r="G71" s="11">
        <f t="shared" si="37"/>
        <v>974.31251295542177</v>
      </c>
      <c r="H71" s="146">
        <f>+'[1]Datos de los PIPS'!S77*'[1]Datos de los PIPS'!O77</f>
        <v>44183.960875034543</v>
      </c>
      <c r="I71" s="11">
        <f t="shared" si="34"/>
        <v>13470.719778973948</v>
      </c>
      <c r="J71" s="11">
        <f t="shared" si="35"/>
        <v>11045.990218758636</v>
      </c>
      <c r="K71" s="11">
        <f t="shared" si="38"/>
        <v>2424.7295602153104</v>
      </c>
    </row>
    <row r="72" spans="1:11" s="18" customFormat="1">
      <c r="A72" s="20" t="s">
        <v>259</v>
      </c>
      <c r="B72" s="39" t="s">
        <v>323</v>
      </c>
      <c r="C72" s="32" t="s">
        <v>38</v>
      </c>
      <c r="D72" s="146">
        <f>+'[1]Datos de los PIPS'!S100*'[1]Datos de los PIPS'!N100</f>
        <v>27822.340770127423</v>
      </c>
      <c r="E72" s="8">
        <f t="shared" si="31"/>
        <v>8482.4209665022627</v>
      </c>
      <c r="F72" s="11">
        <f t="shared" si="32"/>
        <v>6955.5851925318548</v>
      </c>
      <c r="G72" s="11">
        <f t="shared" si="37"/>
        <v>1526.8357739704072</v>
      </c>
      <c r="H72" s="146">
        <f>+'[1]Datos de los PIPS'!S100*'[1]Datos de los PIPS'!O100</f>
        <v>41792.095045917762</v>
      </c>
      <c r="I72" s="11">
        <f t="shared" si="34"/>
        <v>12741.4923920481</v>
      </c>
      <c r="J72" s="11">
        <f t="shared" si="35"/>
        <v>10448.023761479441</v>
      </c>
      <c r="K72" s="11">
        <f t="shared" si="38"/>
        <v>2293.4686305686578</v>
      </c>
    </row>
    <row r="73" spans="1:11" s="13" customFormat="1">
      <c r="A73" s="20" t="s">
        <v>260</v>
      </c>
      <c r="B73" s="30" t="s">
        <v>324</v>
      </c>
      <c r="C73" s="10" t="s">
        <v>38</v>
      </c>
      <c r="D73" s="146">
        <f>+'[1]Datos de los PIPS'!S101*'[1]Datos de los PIPS'!N101</f>
        <v>0</v>
      </c>
      <c r="E73" s="8">
        <f t="shared" si="31"/>
        <v>0</v>
      </c>
      <c r="F73" s="11">
        <f t="shared" si="32"/>
        <v>0</v>
      </c>
      <c r="G73" s="11">
        <f t="shared" si="37"/>
        <v>0</v>
      </c>
      <c r="H73" s="146">
        <f>+'[1]Datos de los PIPS'!S101*'[1]Datos de los PIPS'!O101</f>
        <v>60640.776949152547</v>
      </c>
      <c r="I73" s="11">
        <f t="shared" si="34"/>
        <v>18488.04175279041</v>
      </c>
      <c r="J73" s="11">
        <f t="shared" si="35"/>
        <v>15160.194237288135</v>
      </c>
      <c r="K73" s="11">
        <f t="shared" si="38"/>
        <v>3327.8475155022738</v>
      </c>
    </row>
    <row r="74" spans="1:11" s="7" customFormat="1">
      <c r="A74" s="20" t="s">
        <v>275</v>
      </c>
      <c r="B74" s="44" t="s">
        <v>328</v>
      </c>
      <c r="C74" s="44"/>
      <c r="D74" s="54">
        <f t="shared" ref="D74:E74" si="39">SUM(D75:D89)</f>
        <v>320595.9796664879</v>
      </c>
      <c r="E74" s="54">
        <f t="shared" si="39"/>
        <v>97742.67672758775</v>
      </c>
      <c r="F74" s="54">
        <f t="shared" ref="F74:K74" si="40">SUM(F75:F89)</f>
        <v>80148.994916621974</v>
      </c>
      <c r="G74" s="54">
        <f t="shared" si="40"/>
        <v>17593.681810965802</v>
      </c>
      <c r="H74" s="54">
        <f t="shared" si="40"/>
        <v>666302.39163364749</v>
      </c>
      <c r="I74" s="54">
        <f t="shared" si="40"/>
        <v>203140.97305903884</v>
      </c>
      <c r="J74" s="54">
        <f t="shared" si="40"/>
        <v>166575.59790841187</v>
      </c>
      <c r="K74" s="54">
        <f t="shared" si="40"/>
        <v>36565.375150626991</v>
      </c>
    </row>
    <row r="75" spans="1:11" s="7" customFormat="1">
      <c r="A75" s="20" t="s">
        <v>277</v>
      </c>
      <c r="B75" s="30" t="s">
        <v>310</v>
      </c>
      <c r="C75" s="10" t="s">
        <v>38</v>
      </c>
      <c r="D75" s="146">
        <f>+'[1]Datos de los PIPS'!T4*'[1]Datos de los PIPS'!N4</f>
        <v>7509.6620489136485</v>
      </c>
      <c r="E75" s="8">
        <f t="shared" ref="E75:E89" si="41">+D75/$C$4</f>
        <v>2289.5311124736736</v>
      </c>
      <c r="F75" s="11">
        <f t="shared" si="32"/>
        <v>1877.4155122284124</v>
      </c>
      <c r="G75" s="11">
        <f t="shared" ref="G75:G89" si="42">+E75*0.18</f>
        <v>412.11560024526125</v>
      </c>
      <c r="H75" s="146">
        <f>+'[1]Datos de los PIPS'!T4*'[1]Datos de los PIPS'!O4</f>
        <v>19337.137951086352</v>
      </c>
      <c r="I75" s="11">
        <f t="shared" ref="I75:I89" si="43">+H75/$C$4</f>
        <v>5895.4688875263273</v>
      </c>
      <c r="J75" s="11">
        <f t="shared" si="35"/>
        <v>4834.2844877715879</v>
      </c>
      <c r="K75" s="11">
        <f t="shared" ref="K75:K89" si="44">+I75*0.18</f>
        <v>1061.1843997547389</v>
      </c>
    </row>
    <row r="76" spans="1:11" s="13" customFormat="1">
      <c r="A76" s="20" t="s">
        <v>278</v>
      </c>
      <c r="B76" s="30" t="s">
        <v>311</v>
      </c>
      <c r="C76" s="10" t="s">
        <v>38</v>
      </c>
      <c r="D76" s="146">
        <f>+'[1]Datos de los PIPS'!T5*'[1]Datos de los PIPS'!N5</f>
        <v>8672.1176492050636</v>
      </c>
      <c r="E76" s="8">
        <f t="shared" si="41"/>
        <v>2643.9383076844706</v>
      </c>
      <c r="F76" s="11">
        <f t="shared" si="32"/>
        <v>2168.0294123012659</v>
      </c>
      <c r="G76" s="11">
        <f t="shared" si="42"/>
        <v>475.90889538320471</v>
      </c>
      <c r="H76" s="146">
        <f>+'[1]Datos de los PIPS'!T5*'[1]Datos de los PIPS'!O5</f>
        <v>21974.941672828831</v>
      </c>
      <c r="I76" s="11">
        <f t="shared" si="43"/>
        <v>6699.6773392770829</v>
      </c>
      <c r="J76" s="11">
        <f t="shared" si="35"/>
        <v>5493.7354182072077</v>
      </c>
      <c r="K76" s="11">
        <f t="shared" si="44"/>
        <v>1205.941921069875</v>
      </c>
    </row>
    <row r="77" spans="1:11" s="13" customFormat="1">
      <c r="A77" s="20" t="s">
        <v>279</v>
      </c>
      <c r="B77" s="30" t="s">
        <v>312</v>
      </c>
      <c r="C77" s="10" t="s">
        <v>38</v>
      </c>
      <c r="D77" s="146">
        <f>+'[1]Datos de los PIPS'!T6*'[1]Datos de los PIPS'!N6</f>
        <v>23732.871664761231</v>
      </c>
      <c r="E77" s="8">
        <f t="shared" si="41"/>
        <v>7235.6316051101321</v>
      </c>
      <c r="F77" s="11">
        <f t="shared" si="32"/>
        <v>5933.2179161903077</v>
      </c>
      <c r="G77" s="11">
        <f t="shared" si="42"/>
        <v>1302.4136889198237</v>
      </c>
      <c r="H77" s="146">
        <f>+'[1]Datos de los PIPS'!T6*'[1]Datos de los PIPS'!O6</f>
        <v>23710.328335238763</v>
      </c>
      <c r="I77" s="11">
        <f t="shared" si="43"/>
        <v>7228.7586387923056</v>
      </c>
      <c r="J77" s="11">
        <f t="shared" si="35"/>
        <v>5927.5820838096906</v>
      </c>
      <c r="K77" s="11">
        <f t="shared" si="44"/>
        <v>1301.176554982615</v>
      </c>
    </row>
    <row r="78" spans="1:11" s="13" customFormat="1">
      <c r="A78" s="20" t="s">
        <v>280</v>
      </c>
      <c r="B78" s="30" t="s">
        <v>313</v>
      </c>
      <c r="C78" s="10" t="s">
        <v>38</v>
      </c>
      <c r="D78" s="146">
        <f>+'[1]Datos de los PIPS'!T30*'[1]Datos de los PIPS'!N30</f>
        <v>31427.651910527791</v>
      </c>
      <c r="E78" s="8">
        <f t="shared" si="41"/>
        <v>9581.601192234084</v>
      </c>
      <c r="F78" s="11">
        <f t="shared" si="32"/>
        <v>7856.9129776319487</v>
      </c>
      <c r="G78" s="11">
        <f t="shared" si="42"/>
        <v>1724.6882146021351</v>
      </c>
      <c r="H78" s="146">
        <f>+'[1]Datos de los PIPS'!T30*'[1]Datos de los PIPS'!O30</f>
        <v>43484.018089472214</v>
      </c>
      <c r="I78" s="11">
        <f t="shared" si="43"/>
        <v>13257.322588253724</v>
      </c>
      <c r="J78" s="11">
        <f t="shared" si="35"/>
        <v>10871.004522368054</v>
      </c>
      <c r="K78" s="11">
        <f t="shared" si="44"/>
        <v>2386.3180658856704</v>
      </c>
    </row>
    <row r="79" spans="1:11" s="13" customFormat="1">
      <c r="A79" s="20" t="s">
        <v>281</v>
      </c>
      <c r="B79" s="30" t="s">
        <v>314</v>
      </c>
      <c r="C79" s="10" t="s">
        <v>38</v>
      </c>
      <c r="D79" s="146">
        <f>+'[1]Datos de los PIPS'!T32*'[1]Datos de los PIPS'!N32</f>
        <v>28663.13151653704</v>
      </c>
      <c r="E79" s="8">
        <f t="shared" si="41"/>
        <v>8738.7596087003167</v>
      </c>
      <c r="F79" s="11">
        <f t="shared" si="32"/>
        <v>7165.782879134259</v>
      </c>
      <c r="G79" s="11">
        <f t="shared" si="42"/>
        <v>1572.976729566057</v>
      </c>
      <c r="H79" s="146">
        <f>+'[1]Datos de los PIPS'!T32*'[1]Datos de los PIPS'!O32</f>
        <v>46253.338483462969</v>
      </c>
      <c r="I79" s="11">
        <f t="shared" si="43"/>
        <v>14101.627586421637</v>
      </c>
      <c r="J79" s="11">
        <f t="shared" si="35"/>
        <v>11563.334620865742</v>
      </c>
      <c r="K79" s="11">
        <f t="shared" si="44"/>
        <v>2538.2929655558946</v>
      </c>
    </row>
    <row r="80" spans="1:11" s="13" customFormat="1">
      <c r="A80" s="20" t="s">
        <v>282</v>
      </c>
      <c r="B80" s="30" t="s">
        <v>315</v>
      </c>
      <c r="C80" s="10" t="s">
        <v>38</v>
      </c>
      <c r="D80" s="146">
        <f>+'[1]Datos de los PIPS'!T35*'[1]Datos de los PIPS'!N35</f>
        <v>19430.235631483381</v>
      </c>
      <c r="E80" s="8">
        <f t="shared" si="41"/>
        <v>5923.852326671763</v>
      </c>
      <c r="F80" s="11">
        <f t="shared" si="32"/>
        <v>4857.5589078708454</v>
      </c>
      <c r="G80" s="11">
        <f t="shared" si="42"/>
        <v>1066.2934188009174</v>
      </c>
      <c r="H80" s="146">
        <f>+'[1]Datos de los PIPS'!T35*'[1]Datos de los PIPS'!O35</f>
        <v>28043.584368516618</v>
      </c>
      <c r="I80" s="11">
        <f t="shared" si="43"/>
        <v>8549.8732830843346</v>
      </c>
      <c r="J80" s="11">
        <f t="shared" si="35"/>
        <v>7010.8960921291537</v>
      </c>
      <c r="K80" s="11">
        <f t="shared" si="44"/>
        <v>1538.9771909551803</v>
      </c>
    </row>
    <row r="81" spans="1:11" s="13" customFormat="1">
      <c r="A81" s="20" t="s">
        <v>283</v>
      </c>
      <c r="B81" s="30" t="s">
        <v>316</v>
      </c>
      <c r="C81" s="10" t="s">
        <v>38</v>
      </c>
      <c r="D81" s="146">
        <f>+'[1]Datos de los PIPS'!T39*'[1]Datos de los PIPS'!N39</f>
        <v>31787.258166900563</v>
      </c>
      <c r="E81" s="8">
        <f t="shared" si="41"/>
        <v>9691.2372460062707</v>
      </c>
      <c r="F81" s="11">
        <f t="shared" si="32"/>
        <v>7946.8145417251417</v>
      </c>
      <c r="G81" s="11">
        <f t="shared" si="42"/>
        <v>1744.4227042811287</v>
      </c>
      <c r="H81" s="146">
        <f>+'[1]Datos de los PIPS'!T39*'[1]Datos de los PIPS'!O39</f>
        <v>48591.463239774363</v>
      </c>
      <c r="I81" s="11">
        <f t="shared" si="43"/>
        <v>14814.470499931209</v>
      </c>
      <c r="J81" s="11">
        <f t="shared" si="35"/>
        <v>12147.865809943591</v>
      </c>
      <c r="K81" s="11">
        <f t="shared" si="44"/>
        <v>2666.6046899876173</v>
      </c>
    </row>
    <row r="82" spans="1:11" s="13" customFormat="1">
      <c r="A82" s="20" t="s">
        <v>284</v>
      </c>
      <c r="B82" s="30" t="s">
        <v>317</v>
      </c>
      <c r="C82" s="10" t="s">
        <v>38</v>
      </c>
      <c r="D82" s="146">
        <f>+'[1]Datos de los PIPS'!T40*'[1]Datos de los PIPS'!N40</f>
        <v>19726.751657010514</v>
      </c>
      <c r="E82" s="8">
        <f t="shared" si="41"/>
        <v>6014.2535539666205</v>
      </c>
      <c r="F82" s="11">
        <f t="shared" si="32"/>
        <v>4931.6879142526286</v>
      </c>
      <c r="G82" s="11">
        <f t="shared" si="42"/>
        <v>1082.5656397139917</v>
      </c>
      <c r="H82" s="146">
        <f>+'[1]Datos de los PIPS'!T40*'[1]Datos de los PIPS'!O40</f>
        <v>50629.721807647649</v>
      </c>
      <c r="I82" s="11">
        <f t="shared" si="43"/>
        <v>15435.890795014528</v>
      </c>
      <c r="J82" s="11">
        <f t="shared" si="35"/>
        <v>12657.430451911912</v>
      </c>
      <c r="K82" s="11">
        <f t="shared" si="44"/>
        <v>2778.4603431026148</v>
      </c>
    </row>
    <row r="83" spans="1:11" s="13" customFormat="1">
      <c r="A83" s="20" t="s">
        <v>285</v>
      </c>
      <c r="B83" s="30" t="s">
        <v>318</v>
      </c>
      <c r="C83" s="10" t="s">
        <v>38</v>
      </c>
      <c r="D83" s="146">
        <f>+'[1]Datos de los PIPS'!T41*'[1]Datos de los PIPS'!N41</f>
        <v>24667.669591788319</v>
      </c>
      <c r="E83" s="8">
        <f t="shared" si="41"/>
        <v>7520.6309731061956</v>
      </c>
      <c r="F83" s="11">
        <f t="shared" si="32"/>
        <v>6166.9173979470797</v>
      </c>
      <c r="G83" s="11">
        <f t="shared" si="42"/>
        <v>1353.7135751591152</v>
      </c>
      <c r="H83" s="146">
        <f>+'[1]Datos de los PIPS'!T41*'[1]Datos de los PIPS'!O41</f>
        <v>42397.203872869861</v>
      </c>
      <c r="I83" s="11">
        <f t="shared" si="43"/>
        <v>12925.976790509105</v>
      </c>
      <c r="J83" s="11">
        <f t="shared" si="35"/>
        <v>10599.300968217465</v>
      </c>
      <c r="K83" s="11">
        <f t="shared" si="44"/>
        <v>2326.6758222916387</v>
      </c>
    </row>
    <row r="84" spans="1:11" s="13" customFormat="1">
      <c r="A84" s="20" t="s">
        <v>286</v>
      </c>
      <c r="B84" s="30" t="s">
        <v>319</v>
      </c>
      <c r="C84" s="10" t="s">
        <v>38</v>
      </c>
      <c r="D84" s="146">
        <f>+'[1]Datos de los PIPS'!T42*'[1]Datos de los PIPS'!N42</f>
        <v>28453.044776986117</v>
      </c>
      <c r="E84" s="8">
        <f t="shared" si="41"/>
        <v>8674.7087734713768</v>
      </c>
      <c r="F84" s="11">
        <f t="shared" si="32"/>
        <v>7113.2611942465282</v>
      </c>
      <c r="G84" s="11">
        <f t="shared" si="42"/>
        <v>1561.4475792248477</v>
      </c>
      <c r="H84" s="146">
        <f>+'[1]Datos de los PIPS'!T42*'[1]Datos de los PIPS'!O42</f>
        <v>40445.225223013891</v>
      </c>
      <c r="I84" s="11">
        <f t="shared" si="43"/>
        <v>12330.861348479846</v>
      </c>
      <c r="J84" s="11">
        <f t="shared" si="35"/>
        <v>10111.306305753473</v>
      </c>
      <c r="K84" s="11">
        <f t="shared" si="44"/>
        <v>2219.555042726372</v>
      </c>
    </row>
    <row r="85" spans="1:11" s="9" customFormat="1">
      <c r="A85" s="20" t="s">
        <v>288</v>
      </c>
      <c r="B85" s="39" t="s">
        <v>320</v>
      </c>
      <c r="C85" s="10" t="s">
        <v>38</v>
      </c>
      <c r="D85" s="146">
        <f>+'[1]Datos de los PIPS'!T43*'[1]Datos de los PIPS'!N43</f>
        <v>16896.750584849822</v>
      </c>
      <c r="E85" s="8">
        <f t="shared" si="41"/>
        <v>5151.4483490395805</v>
      </c>
      <c r="F85" s="11">
        <f t="shared" si="32"/>
        <v>4224.1876462124555</v>
      </c>
      <c r="G85" s="11">
        <f t="shared" si="42"/>
        <v>927.26070282712442</v>
      </c>
      <c r="H85" s="146">
        <f>+'[1]Datos de los PIPS'!T43*'[1]Datos de los PIPS'!O43</f>
        <v>51982.322879808344</v>
      </c>
      <c r="I85" s="11">
        <f t="shared" si="43"/>
        <v>15848.269170673277</v>
      </c>
      <c r="J85" s="11">
        <f t="shared" si="35"/>
        <v>12995.580719952086</v>
      </c>
      <c r="K85" s="11">
        <f t="shared" si="44"/>
        <v>2852.6884507211898</v>
      </c>
    </row>
    <row r="86" spans="1:11" s="18" customFormat="1">
      <c r="A86" s="20" t="s">
        <v>289</v>
      </c>
      <c r="B86" s="30" t="s">
        <v>321</v>
      </c>
      <c r="C86" s="32" t="s">
        <v>38</v>
      </c>
      <c r="D86" s="146">
        <f>+'[1]Datos de los PIPS'!T76*'[1]Datos de los PIPS'!N76</f>
        <v>23014.007454832834</v>
      </c>
      <c r="E86" s="8">
        <f t="shared" si="41"/>
        <v>7016.4656874490347</v>
      </c>
      <c r="F86" s="11">
        <f t="shared" si="32"/>
        <v>5753.5018637082085</v>
      </c>
      <c r="G86" s="11">
        <f t="shared" si="42"/>
        <v>1262.9638237408262</v>
      </c>
      <c r="H86" s="146">
        <f>+'[1]Datos de los PIPS'!T76*'[1]Datos de los PIPS'!O76</f>
        <v>46981.866009825346</v>
      </c>
      <c r="I86" s="11">
        <f t="shared" si="43"/>
        <v>14323.739637141874</v>
      </c>
      <c r="J86" s="11">
        <f t="shared" si="35"/>
        <v>11745.466502456336</v>
      </c>
      <c r="K86" s="11">
        <f t="shared" si="44"/>
        <v>2578.2731346855371</v>
      </c>
    </row>
    <row r="87" spans="1:11" s="18" customFormat="1">
      <c r="A87" s="20" t="s">
        <v>290</v>
      </c>
      <c r="B87" s="30" t="s">
        <v>322</v>
      </c>
      <c r="C87" s="32" t="s">
        <v>38</v>
      </c>
      <c r="D87" s="146">
        <f>+'[1]Datos de los PIPS'!T77*'[1]Datos de los PIPS'!N77</f>
        <v>20076.228597183606</v>
      </c>
      <c r="E87" s="8">
        <f t="shared" si="41"/>
        <v>6120.8014015803683</v>
      </c>
      <c r="F87" s="11">
        <f t="shared" si="32"/>
        <v>5019.0571492959016</v>
      </c>
      <c r="G87" s="11">
        <f t="shared" si="42"/>
        <v>1101.7442522844663</v>
      </c>
      <c r="H87" s="146">
        <f>+'[1]Datos de los PIPS'!T77*'[1]Datos de los PIPS'!O77</f>
        <v>49962.844867474567</v>
      </c>
      <c r="I87" s="11">
        <f t="shared" si="43"/>
        <v>15232.574654717857</v>
      </c>
      <c r="J87" s="11">
        <f t="shared" si="35"/>
        <v>12490.711216868642</v>
      </c>
      <c r="K87" s="11">
        <f t="shared" si="44"/>
        <v>2741.8634378492143</v>
      </c>
    </row>
    <row r="88" spans="1:11" s="18" customFormat="1">
      <c r="A88" s="20" t="s">
        <v>291</v>
      </c>
      <c r="B88" s="39" t="s">
        <v>323</v>
      </c>
      <c r="C88" s="32" t="s">
        <v>38</v>
      </c>
      <c r="D88" s="146">
        <f>+'[1]Datos de los PIPS'!T100*'[1]Datos de los PIPS'!N100</f>
        <v>36538.598415507906</v>
      </c>
      <c r="E88" s="8">
        <f t="shared" si="41"/>
        <v>11139.816590093875</v>
      </c>
      <c r="F88" s="11">
        <f t="shared" si="32"/>
        <v>9134.6496038769765</v>
      </c>
      <c r="G88" s="11">
        <f t="shared" si="42"/>
        <v>2005.1669862168974</v>
      </c>
      <c r="H88" s="146">
        <f>+'[1]Datos de los PIPS'!T100*'[1]Datos de los PIPS'!O100</f>
        <v>54884.834832627675</v>
      </c>
      <c r="I88" s="11">
        <f t="shared" si="43"/>
        <v>16733.181351410876</v>
      </c>
      <c r="J88" s="11">
        <f t="shared" si="35"/>
        <v>13721.208708156917</v>
      </c>
      <c r="K88" s="11">
        <f t="shared" si="44"/>
        <v>3011.9726432539578</v>
      </c>
    </row>
    <row r="89" spans="1:11" s="13" customFormat="1">
      <c r="A89" s="20" t="s">
        <v>292</v>
      </c>
      <c r="B89" s="30" t="s">
        <v>324</v>
      </c>
      <c r="C89" s="10" t="s">
        <v>38</v>
      </c>
      <c r="D89" s="146">
        <f>+'[1]Datos de los PIPS'!T101*'[1]Datos de los PIPS'!N101</f>
        <v>0</v>
      </c>
      <c r="E89" s="8">
        <f t="shared" si="41"/>
        <v>0</v>
      </c>
      <c r="F89" s="11">
        <f t="shared" si="32"/>
        <v>0</v>
      </c>
      <c r="G89" s="11">
        <f t="shared" si="42"/>
        <v>0</v>
      </c>
      <c r="H89" s="146">
        <f>+'[1]Datos de los PIPS'!T101*'[1]Datos de los PIPS'!O101</f>
        <v>97623.56</v>
      </c>
      <c r="I89" s="11">
        <f t="shared" si="43"/>
        <v>29763.280487804877</v>
      </c>
      <c r="J89" s="11">
        <f t="shared" si="35"/>
        <v>24405.89</v>
      </c>
      <c r="K89" s="11">
        <f t="shared" si="44"/>
        <v>5357.3904878048779</v>
      </c>
    </row>
    <row r="90" spans="1:11" s="7" customFormat="1">
      <c r="A90" s="20" t="s">
        <v>329</v>
      </c>
      <c r="B90" s="44" t="s">
        <v>330</v>
      </c>
      <c r="C90" s="44"/>
      <c r="D90" s="54">
        <f t="shared" ref="D90:E90" si="45">SUM(D91:D105)</f>
        <v>225740.24635472824</v>
      </c>
      <c r="E90" s="54">
        <f t="shared" si="45"/>
        <v>68823.245839856187</v>
      </c>
      <c r="F90" s="54">
        <f t="shared" ref="F90:K90" si="46">SUM(F91:F105)</f>
        <v>56435.06158868206</v>
      </c>
      <c r="G90" s="54">
        <f t="shared" si="46"/>
        <v>12388.184251174112</v>
      </c>
      <c r="H90" s="54">
        <f t="shared" si="46"/>
        <v>451305.94231845654</v>
      </c>
      <c r="I90" s="54">
        <f t="shared" si="46"/>
        <v>137593.27509709043</v>
      </c>
      <c r="J90" s="54">
        <f t="shared" si="46"/>
        <v>112826.48557961413</v>
      </c>
      <c r="K90" s="54">
        <f t="shared" si="46"/>
        <v>24766.789517476274</v>
      </c>
    </row>
    <row r="91" spans="1:11" s="7" customFormat="1">
      <c r="A91" s="20" t="s">
        <v>331</v>
      </c>
      <c r="B91" s="30" t="s">
        <v>310</v>
      </c>
      <c r="C91" s="10" t="s">
        <v>38</v>
      </c>
      <c r="D91" s="146">
        <f>+'[1]Datos de los PIPS'!W4*'[1]Datos de los PIPS'!N4</f>
        <v>9499.9457106696264</v>
      </c>
      <c r="E91" s="8">
        <f t="shared" ref="E91:E105" si="47">+D91/$C$4</f>
        <v>2896.3249117895202</v>
      </c>
      <c r="F91" s="11">
        <f t="shared" si="32"/>
        <v>2374.9864276674066</v>
      </c>
      <c r="G91" s="11">
        <f t="shared" ref="G91" si="48">+E91*0.18</f>
        <v>521.33848412211364</v>
      </c>
      <c r="H91" s="146">
        <f>+'[1]Datos de los PIPS'!W4*'[1]Datos de los PIPS'!O4</f>
        <v>24462.054289330375</v>
      </c>
      <c r="I91" s="11">
        <f t="shared" ref="I91:I105" si="49">+H91/$C$4</f>
        <v>7457.9433808934073</v>
      </c>
      <c r="J91" s="11">
        <f t="shared" si="35"/>
        <v>6115.5135723325939</v>
      </c>
      <c r="K91" s="11">
        <f t="shared" ref="K91" si="50">+I91*0.18</f>
        <v>1342.4298085608132</v>
      </c>
    </row>
    <row r="92" spans="1:11" s="13" customFormat="1">
      <c r="A92" s="20" t="s">
        <v>332</v>
      </c>
      <c r="B92" s="30" t="s">
        <v>311</v>
      </c>
      <c r="C92" s="10" t="s">
        <v>38</v>
      </c>
      <c r="D92" s="146">
        <f>+'[1]Datos de los PIPS'!W5*'[1]Datos de los PIPS'!N5</f>
        <v>10773.954160238978</v>
      </c>
      <c r="E92" s="8">
        <f t="shared" si="47"/>
        <v>3284.742122024079</v>
      </c>
      <c r="F92" s="11">
        <f t="shared" si="32"/>
        <v>2693.4885400597445</v>
      </c>
      <c r="G92" s="11">
        <f t="shared" ref="G92:G105" si="51">+E92*0.18</f>
        <v>591.25358196433422</v>
      </c>
      <c r="H92" s="146">
        <f>+'[1]Datos de los PIPS'!W5*'[1]Datos de los PIPS'!O5</f>
        <v>27300.945839761018</v>
      </c>
      <c r="I92" s="11">
        <f t="shared" si="49"/>
        <v>8323.4590974881157</v>
      </c>
      <c r="J92" s="11">
        <f t="shared" si="35"/>
        <v>6825.2364599402545</v>
      </c>
      <c r="K92" s="11">
        <f t="shared" ref="K92:K105" si="52">+I92*0.18</f>
        <v>1498.2226375478608</v>
      </c>
    </row>
    <row r="93" spans="1:11" s="13" customFormat="1">
      <c r="A93" s="20" t="s">
        <v>333</v>
      </c>
      <c r="B93" s="30" t="s">
        <v>312</v>
      </c>
      <c r="C93" s="10" t="s">
        <v>38</v>
      </c>
      <c r="D93" s="146">
        <f>+'[1]Datos de los PIPS'!W6*'[1]Datos de los PIPS'!N6</f>
        <v>10116.054508140978</v>
      </c>
      <c r="E93" s="8">
        <f t="shared" si="47"/>
        <v>3084.1629597990791</v>
      </c>
      <c r="F93" s="11">
        <f t="shared" si="32"/>
        <v>2529.0136270352446</v>
      </c>
      <c r="G93" s="11">
        <f t="shared" si="51"/>
        <v>555.1493327638342</v>
      </c>
      <c r="H93" s="146">
        <f>+'[1]Datos de los PIPS'!W6*'[1]Datos de los PIPS'!O6</f>
        <v>10106.445491859022</v>
      </c>
      <c r="I93" s="11">
        <f t="shared" si="49"/>
        <v>3081.2333816643363</v>
      </c>
      <c r="J93" s="11">
        <f t="shared" si="35"/>
        <v>2526.6113729647554</v>
      </c>
      <c r="K93" s="11">
        <f t="shared" si="52"/>
        <v>554.62200869958053</v>
      </c>
    </row>
    <row r="94" spans="1:11" s="13" customFormat="1">
      <c r="A94" s="20" t="s">
        <v>334</v>
      </c>
      <c r="B94" s="30" t="s">
        <v>313</v>
      </c>
      <c r="C94" s="10" t="s">
        <v>38</v>
      </c>
      <c r="D94" s="146">
        <f>+'[1]Datos de los PIPS'!W30*'[1]Datos de los PIPS'!N30</f>
        <v>24788.409534440569</v>
      </c>
      <c r="E94" s="8">
        <f t="shared" si="47"/>
        <v>7557.4419312318814</v>
      </c>
      <c r="F94" s="11">
        <f t="shared" si="32"/>
        <v>6197.1023836101422</v>
      </c>
      <c r="G94" s="11">
        <f t="shared" si="51"/>
        <v>1360.3395476217386</v>
      </c>
      <c r="H94" s="146">
        <f>+'[1]Datos de los PIPS'!W30*'[1]Datos de los PIPS'!O30</f>
        <v>34297.810465559436</v>
      </c>
      <c r="I94" s="11">
        <f t="shared" si="49"/>
        <v>10456.649532182755</v>
      </c>
      <c r="J94" s="11">
        <f t="shared" si="35"/>
        <v>8574.452616389859</v>
      </c>
      <c r="K94" s="11">
        <f t="shared" si="52"/>
        <v>1882.1969157928959</v>
      </c>
    </row>
    <row r="95" spans="1:11" s="13" customFormat="1">
      <c r="A95" s="20" t="s">
        <v>335</v>
      </c>
      <c r="B95" s="30" t="s">
        <v>314</v>
      </c>
      <c r="C95" s="10" t="s">
        <v>38</v>
      </c>
      <c r="D95" s="146">
        <f>+'[1]Datos de los PIPS'!W32*'[1]Datos de los PIPS'!N32</f>
        <v>21613.264367251453</v>
      </c>
      <c r="E95" s="8">
        <f t="shared" si="47"/>
        <v>6589.4098680644674</v>
      </c>
      <c r="F95" s="11">
        <f t="shared" si="32"/>
        <v>5403.3160918128633</v>
      </c>
      <c r="G95" s="11">
        <f t="shared" si="51"/>
        <v>1186.0937762516041</v>
      </c>
      <c r="H95" s="146">
        <f>+'[1]Datos de los PIPS'!W32*'[1]Datos de los PIPS'!O32</f>
        <v>34877.055632748554</v>
      </c>
      <c r="I95" s="11">
        <f t="shared" si="49"/>
        <v>10633.248668520901</v>
      </c>
      <c r="J95" s="11">
        <f t="shared" si="35"/>
        <v>8719.2639081871384</v>
      </c>
      <c r="K95" s="11">
        <f t="shared" si="52"/>
        <v>1913.9847603337621</v>
      </c>
    </row>
    <row r="96" spans="1:11" s="13" customFormat="1">
      <c r="A96" s="20" t="s">
        <v>336</v>
      </c>
      <c r="B96" s="30" t="s">
        <v>315</v>
      </c>
      <c r="C96" s="10" t="s">
        <v>38</v>
      </c>
      <c r="D96" s="146">
        <f>+'[1]Datos de los PIPS'!W35*'[1]Datos de los PIPS'!N35</f>
        <v>10643.818168252667</v>
      </c>
      <c r="E96" s="8">
        <f t="shared" si="47"/>
        <v>3245.066514711179</v>
      </c>
      <c r="F96" s="11">
        <f t="shared" si="32"/>
        <v>2660.9545420631666</v>
      </c>
      <c r="G96" s="11">
        <f t="shared" si="51"/>
        <v>584.11197264801217</v>
      </c>
      <c r="H96" s="146">
        <f>+'[1]Datos de los PIPS'!W35*'[1]Datos de los PIPS'!O35</f>
        <v>15362.181831747333</v>
      </c>
      <c r="I96" s="11">
        <f t="shared" si="49"/>
        <v>4683.5920218741876</v>
      </c>
      <c r="J96" s="11">
        <f t="shared" si="35"/>
        <v>3840.5454579368334</v>
      </c>
      <c r="K96" s="11">
        <f t="shared" si="52"/>
        <v>843.04656393735377</v>
      </c>
    </row>
    <row r="97" spans="1:11" s="13" customFormat="1">
      <c r="A97" s="20" t="s">
        <v>337</v>
      </c>
      <c r="B97" s="30" t="s">
        <v>316</v>
      </c>
      <c r="C97" s="10" t="s">
        <v>38</v>
      </c>
      <c r="D97" s="146">
        <f>+'[1]Datos de los PIPS'!W39*'[1]Datos de los PIPS'!N39</f>
        <v>21323.402483046699</v>
      </c>
      <c r="E97" s="8">
        <f t="shared" si="47"/>
        <v>6501.0373423922865</v>
      </c>
      <c r="F97" s="11">
        <f t="shared" si="32"/>
        <v>5330.8506207616747</v>
      </c>
      <c r="G97" s="11">
        <f t="shared" si="51"/>
        <v>1170.1867216306116</v>
      </c>
      <c r="H97" s="146">
        <f>+'[1]Datos de los PIPS'!W39*'[1]Datos de los PIPS'!O39</f>
        <v>32595.932699246896</v>
      </c>
      <c r="I97" s="11">
        <f t="shared" si="49"/>
        <v>9937.7843595264931</v>
      </c>
      <c r="J97" s="11">
        <f t="shared" si="35"/>
        <v>8148.983174811724</v>
      </c>
      <c r="K97" s="11">
        <f t="shared" si="52"/>
        <v>1788.8011847147686</v>
      </c>
    </row>
    <row r="98" spans="1:11" s="13" customFormat="1">
      <c r="A98" s="20" t="s">
        <v>338</v>
      </c>
      <c r="B98" s="30" t="s">
        <v>317</v>
      </c>
      <c r="C98" s="10" t="s">
        <v>38</v>
      </c>
      <c r="D98" s="146">
        <f>+'[1]Datos de los PIPS'!W40*'[1]Datos de los PIPS'!N40</f>
        <v>15531.199947033703</v>
      </c>
      <c r="E98" s="8">
        <f t="shared" si="47"/>
        <v>4735.1219350712508</v>
      </c>
      <c r="F98" s="11">
        <f t="shared" si="32"/>
        <v>3882.7999867584253</v>
      </c>
      <c r="G98" s="11">
        <f t="shared" si="51"/>
        <v>852.32194831282516</v>
      </c>
      <c r="H98" s="146">
        <f>+'[1]Datos de los PIPS'!W40*'[1]Datos de los PIPS'!O40</f>
        <v>39861.622751144532</v>
      </c>
      <c r="I98" s="11">
        <f t="shared" si="49"/>
        <v>12152.933765592847</v>
      </c>
      <c r="J98" s="11">
        <f t="shared" si="35"/>
        <v>9965.4056877861331</v>
      </c>
      <c r="K98" s="11">
        <f t="shared" si="52"/>
        <v>2187.5280778067122</v>
      </c>
    </row>
    <row r="99" spans="1:11" s="13" customFormat="1">
      <c r="A99" s="20" t="s">
        <v>339</v>
      </c>
      <c r="B99" s="30" t="s">
        <v>318</v>
      </c>
      <c r="C99" s="10" t="s">
        <v>38</v>
      </c>
      <c r="D99" s="146">
        <f>+'[1]Datos de los PIPS'!W41*'[1]Datos de los PIPS'!N41</f>
        <v>17357.561841413968</v>
      </c>
      <c r="E99" s="8">
        <f t="shared" si="47"/>
        <v>5291.9395857969421</v>
      </c>
      <c r="F99" s="11">
        <f t="shared" si="32"/>
        <v>4339.390460353492</v>
      </c>
      <c r="G99" s="11">
        <f t="shared" si="51"/>
        <v>952.5491254434495</v>
      </c>
      <c r="H99" s="146">
        <f>+'[1]Datos de los PIPS'!W41*'[1]Datos de los PIPS'!O41</f>
        <v>29833.060856764274</v>
      </c>
      <c r="I99" s="11">
        <f t="shared" si="49"/>
        <v>9095.4453831598403</v>
      </c>
      <c r="J99" s="11">
        <f t="shared" si="35"/>
        <v>7458.2652141910685</v>
      </c>
      <c r="K99" s="11">
        <f t="shared" si="52"/>
        <v>1637.1801689687711</v>
      </c>
    </row>
    <row r="100" spans="1:11" s="13" customFormat="1">
      <c r="A100" s="20" t="s">
        <v>340</v>
      </c>
      <c r="B100" s="30" t="s">
        <v>319</v>
      </c>
      <c r="C100" s="10" t="s">
        <v>38</v>
      </c>
      <c r="D100" s="146">
        <f>+'[1]Datos de los PIPS'!W42*'[1]Datos de los PIPS'!N42</f>
        <v>22265.343279412155</v>
      </c>
      <c r="E100" s="8">
        <f t="shared" si="47"/>
        <v>6788.2144144549256</v>
      </c>
      <c r="F100" s="11">
        <f t="shared" si="32"/>
        <v>5566.3358198530386</v>
      </c>
      <c r="G100" s="11">
        <f t="shared" si="51"/>
        <v>1221.8785946018866</v>
      </c>
      <c r="H100" s="146">
        <f>+'[1]Datos de los PIPS'!W42*'[1]Datos de los PIPS'!O42</f>
        <v>31649.576720587844</v>
      </c>
      <c r="I100" s="11">
        <f t="shared" si="49"/>
        <v>9649.2611953011728</v>
      </c>
      <c r="J100" s="11">
        <f t="shared" si="35"/>
        <v>7912.3941801469609</v>
      </c>
      <c r="K100" s="11">
        <f t="shared" si="52"/>
        <v>1736.867015154211</v>
      </c>
    </row>
    <row r="101" spans="1:11" s="9" customFormat="1">
      <c r="A101" s="20" t="s">
        <v>341</v>
      </c>
      <c r="B101" s="39" t="s">
        <v>320</v>
      </c>
      <c r="C101" s="10" t="s">
        <v>38</v>
      </c>
      <c r="D101" s="146">
        <f>+'[1]Datos de los PIPS'!W43*'[1]Datos de los PIPS'!N43</f>
        <v>13221.866223131899</v>
      </c>
      <c r="E101" s="8">
        <f t="shared" si="47"/>
        <v>4031.0567753450914</v>
      </c>
      <c r="F101" s="11">
        <f t="shared" si="32"/>
        <v>3305.4665557829749</v>
      </c>
      <c r="G101" s="11">
        <f t="shared" si="51"/>
        <v>725.59021956211643</v>
      </c>
      <c r="H101" s="146">
        <f>+'[1]Datos de los PIPS'!W43*'[1]Datos de los PIPS'!O43</f>
        <v>40676.656475046337</v>
      </c>
      <c r="I101" s="11">
        <f t="shared" si="49"/>
        <v>12401.419657026323</v>
      </c>
      <c r="J101" s="11">
        <f t="shared" si="35"/>
        <v>10169.164118761584</v>
      </c>
      <c r="K101" s="11">
        <f t="shared" si="52"/>
        <v>2232.2555382647379</v>
      </c>
    </row>
    <row r="102" spans="1:11" s="18" customFormat="1">
      <c r="A102" s="20" t="s">
        <v>342</v>
      </c>
      <c r="B102" s="30" t="s">
        <v>321</v>
      </c>
      <c r="C102" s="32" t="s">
        <v>38</v>
      </c>
      <c r="D102" s="146">
        <f>+'[1]Datos de los PIPS'!W76*'[1]Datos de los PIPS'!N76</f>
        <v>20763.186779621959</v>
      </c>
      <c r="E102" s="8">
        <f t="shared" si="47"/>
        <v>6330.2398718359636</v>
      </c>
      <c r="F102" s="11">
        <f t="shared" si="32"/>
        <v>5190.7966949054899</v>
      </c>
      <c r="G102" s="11">
        <f t="shared" si="51"/>
        <v>1139.4431769304733</v>
      </c>
      <c r="H102" s="146">
        <f>+'[1]Datos de los PIPS'!W76*'[1]Datos de los PIPS'!O76</f>
        <v>42386.935918556286</v>
      </c>
      <c r="I102" s="11">
        <f t="shared" si="49"/>
        <v>12922.846316633015</v>
      </c>
      <c r="J102" s="11">
        <f t="shared" si="35"/>
        <v>10596.733979639072</v>
      </c>
      <c r="K102" s="11">
        <f t="shared" si="52"/>
        <v>2326.1123369939428</v>
      </c>
    </row>
    <row r="103" spans="1:11" s="18" customFormat="1">
      <c r="A103" s="20" t="s">
        <v>343</v>
      </c>
      <c r="B103" s="30" t="s">
        <v>322</v>
      </c>
      <c r="C103" s="32" t="s">
        <v>38</v>
      </c>
      <c r="D103" s="146">
        <f>+'[1]Datos de los PIPS'!W77*'[1]Datos de los PIPS'!N77</f>
        <v>18857.406888501864</v>
      </c>
      <c r="E103" s="8">
        <f t="shared" si="47"/>
        <v>5749.2094172261786</v>
      </c>
      <c r="F103" s="11">
        <f t="shared" si="32"/>
        <v>4714.351722125466</v>
      </c>
      <c r="G103" s="11">
        <f t="shared" si="51"/>
        <v>1034.8576951007121</v>
      </c>
      <c r="H103" s="146">
        <f>+'[1]Datos de los PIPS'!W77*'[1]Datos de los PIPS'!O77</f>
        <v>46929.615809676383</v>
      </c>
      <c r="I103" s="11">
        <f t="shared" si="49"/>
        <v>14307.809698072069</v>
      </c>
      <c r="J103" s="11">
        <f t="shared" si="35"/>
        <v>11732.403952419096</v>
      </c>
      <c r="K103" s="11">
        <f t="shared" si="52"/>
        <v>2575.4057456529722</v>
      </c>
    </row>
    <row r="104" spans="1:11" s="18" customFormat="1">
      <c r="A104" s="20" t="s">
        <v>344</v>
      </c>
      <c r="B104" s="39" t="s">
        <v>323</v>
      </c>
      <c r="C104" s="32" t="s">
        <v>38</v>
      </c>
      <c r="D104" s="146">
        <f>+'[1]Datos de los PIPS'!W100*'[1]Datos de los PIPS'!N100</f>
        <v>8984.8324635717472</v>
      </c>
      <c r="E104" s="8">
        <f t="shared" si="47"/>
        <v>2739.2781901133376</v>
      </c>
      <c r="F104" s="11">
        <f t="shared" si="32"/>
        <v>2246.2081158929368</v>
      </c>
      <c r="G104" s="11">
        <f t="shared" si="51"/>
        <v>493.07007422040073</v>
      </c>
      <c r="H104" s="146">
        <f>+'[1]Datos de los PIPS'!W100*'[1]Datos de los PIPS'!O100</f>
        <v>13496.167536428251</v>
      </c>
      <c r="I104" s="11">
        <f t="shared" si="49"/>
        <v>4114.6852245208083</v>
      </c>
      <c r="J104" s="11">
        <f t="shared" si="35"/>
        <v>3374.0418841070627</v>
      </c>
      <c r="K104" s="11">
        <f t="shared" si="52"/>
        <v>740.64334041374548</v>
      </c>
    </row>
    <row r="105" spans="1:11" s="13" customFormat="1">
      <c r="A105" s="20" t="s">
        <v>345</v>
      </c>
      <c r="B105" s="30" t="s">
        <v>324</v>
      </c>
      <c r="C105" s="10" t="s">
        <v>38</v>
      </c>
      <c r="D105" s="146">
        <f>+'[1]Datos de los PIPS'!W101*'[1]Datos de los PIPS'!N101</f>
        <v>0</v>
      </c>
      <c r="E105" s="8">
        <f t="shared" si="47"/>
        <v>0</v>
      </c>
      <c r="F105" s="11">
        <f t="shared" si="32"/>
        <v>0</v>
      </c>
      <c r="G105" s="11">
        <f t="shared" si="51"/>
        <v>0</v>
      </c>
      <c r="H105" s="146">
        <f>+'[1]Datos de los PIPS'!W101*'[1]Datos de los PIPS'!O101</f>
        <v>27469.88</v>
      </c>
      <c r="I105" s="11">
        <f t="shared" si="49"/>
        <v>8374.9634146341468</v>
      </c>
      <c r="J105" s="11">
        <f t="shared" si="35"/>
        <v>6867.47</v>
      </c>
      <c r="K105" s="11">
        <f t="shared" si="52"/>
        <v>1507.4934146341463</v>
      </c>
    </row>
    <row r="106" spans="1:11" s="7" customFormat="1">
      <c r="A106" s="20" t="s">
        <v>329</v>
      </c>
      <c r="B106" s="44" t="s">
        <v>346</v>
      </c>
      <c r="C106" s="44"/>
      <c r="D106" s="54">
        <f t="shared" ref="D106:E106" si="53">SUM(D107:D121)</f>
        <v>309157.44616157783</v>
      </c>
      <c r="E106" s="54">
        <f t="shared" si="53"/>
        <v>93276.023868197401</v>
      </c>
      <c r="F106" s="54">
        <f t="shared" ref="F106:K106" si="54">SUM(F107:F121)</f>
        <v>76486.339571921882</v>
      </c>
      <c r="G106" s="54">
        <f t="shared" si="54"/>
        <v>16789.684296275533</v>
      </c>
      <c r="H106" s="54">
        <f t="shared" si="54"/>
        <v>626067.55383842229</v>
      </c>
      <c r="I106" s="54">
        <f t="shared" si="54"/>
        <v>190874.25421903117</v>
      </c>
      <c r="J106" s="54">
        <f t="shared" si="54"/>
        <v>156516.88845960557</v>
      </c>
      <c r="K106" s="54">
        <f t="shared" si="54"/>
        <v>34357.365759425607</v>
      </c>
    </row>
    <row r="107" spans="1:11" s="7" customFormat="1">
      <c r="A107" s="20" t="s">
        <v>331</v>
      </c>
      <c r="B107" s="30" t="s">
        <v>310</v>
      </c>
      <c r="C107" s="10" t="s">
        <v>38</v>
      </c>
      <c r="D107" s="146">
        <f>+'[1]Datos de los PIPS'!U4*'[1]Datos de los PIPS'!N4</f>
        <v>17272.882858307799</v>
      </c>
      <c r="E107" s="8">
        <f t="shared" ref="E107:E121" si="55">+D107/$C$4</f>
        <v>5266.1228226548174</v>
      </c>
      <c r="F107" s="11">
        <f>+E107*0.82</f>
        <v>4318.2207145769498</v>
      </c>
      <c r="G107" s="11">
        <f>+E107*0.18</f>
        <v>947.90210807786707</v>
      </c>
      <c r="H107" s="146">
        <f>+'[1]Datos de los PIPS'!U4*'[1]Datos de los PIPS'!O4</f>
        <v>44477.117141692208</v>
      </c>
      <c r="I107" s="11">
        <f t="shared" ref="I107:I121" si="56">+H107/$C$4</f>
        <v>13560.096689540309</v>
      </c>
      <c r="J107" s="11">
        <f>+I107*0.82</f>
        <v>11119.279285423052</v>
      </c>
      <c r="K107" s="11">
        <f>+I107*0.18</f>
        <v>2440.8174041172556</v>
      </c>
    </row>
    <row r="108" spans="1:11" s="13" customFormat="1">
      <c r="A108" s="20" t="s">
        <v>332</v>
      </c>
      <c r="B108" s="30" t="s">
        <v>311</v>
      </c>
      <c r="C108" s="10" t="s">
        <v>38</v>
      </c>
      <c r="D108" s="146">
        <f>+'[1]Datos de los PIPS'!U5*'[1]Datos de los PIPS'!N5</f>
        <v>16235.2526190144</v>
      </c>
      <c r="E108" s="8">
        <f t="shared" si="55"/>
        <v>4949.7721399434149</v>
      </c>
      <c r="F108" s="11">
        <f t="shared" ref="F108:F121" si="57">+E108*0.82</f>
        <v>4058.8131547536</v>
      </c>
      <c r="G108" s="11">
        <f t="shared" ref="G108:G121" si="58">+E108*0.18</f>
        <v>890.9589851898146</v>
      </c>
      <c r="H108" s="146">
        <f>+'[1]Datos de los PIPS'!U5*'[1]Datos de los PIPS'!O5</f>
        <v>41139.747380985595</v>
      </c>
      <c r="I108" s="11">
        <f t="shared" si="56"/>
        <v>12542.605908837073</v>
      </c>
      <c r="J108" s="11">
        <f t="shared" ref="J108:J121" si="59">+I108*0.82</f>
        <v>10284.936845246399</v>
      </c>
      <c r="K108" s="11">
        <f t="shared" ref="K108:K121" si="60">+I108*0.18</f>
        <v>2257.669063590673</v>
      </c>
    </row>
    <row r="109" spans="1:11" s="13" customFormat="1">
      <c r="A109" s="20" t="s">
        <v>333</v>
      </c>
      <c r="B109" s="30" t="s">
        <v>312</v>
      </c>
      <c r="C109" s="10" t="s">
        <v>38</v>
      </c>
      <c r="D109" s="146">
        <f>+'[1]Datos de los PIPS'!U6*'[1]Datos de los PIPS'!N6</f>
        <v>19259.146918700833</v>
      </c>
      <c r="E109" s="8">
        <f t="shared" si="55"/>
        <v>5871.6911337502543</v>
      </c>
      <c r="F109" s="11">
        <f t="shared" si="57"/>
        <v>4814.7867296752083</v>
      </c>
      <c r="G109" s="11">
        <f t="shared" si="58"/>
        <v>1056.9044040750457</v>
      </c>
      <c r="H109" s="146">
        <f>+'[1]Datos de los PIPS'!U6*'[1]Datos de los PIPS'!O6</f>
        <v>19240.853081299163</v>
      </c>
      <c r="I109" s="11">
        <f t="shared" si="56"/>
        <v>5866.1137442985255</v>
      </c>
      <c r="J109" s="11">
        <f t="shared" si="59"/>
        <v>4810.2132703247908</v>
      </c>
      <c r="K109" s="11">
        <f t="shared" si="60"/>
        <v>1055.9004739737345</v>
      </c>
    </row>
    <row r="110" spans="1:11" s="13" customFormat="1">
      <c r="A110" s="20" t="s">
        <v>334</v>
      </c>
      <c r="B110" s="30" t="s">
        <v>313</v>
      </c>
      <c r="C110" s="10" t="s">
        <v>38</v>
      </c>
      <c r="D110" s="146">
        <f>+'[1]Datos de los PIPS'!U30*'[1]Datos de los PIPS'!N30</f>
        <v>26430.355515545853</v>
      </c>
      <c r="E110" s="8">
        <f t="shared" si="55"/>
        <v>8058.0352181542239</v>
      </c>
      <c r="F110" s="11">
        <f t="shared" si="57"/>
        <v>6607.5888788864631</v>
      </c>
      <c r="G110" s="11">
        <f t="shared" si="58"/>
        <v>1450.4463392677603</v>
      </c>
      <c r="H110" s="146">
        <f>+'[1]Datos de los PIPS'!U30*'[1]Datos de los PIPS'!O30</f>
        <v>36569.644484454147</v>
      </c>
      <c r="I110" s="11">
        <f t="shared" si="56"/>
        <v>11149.281855016508</v>
      </c>
      <c r="J110" s="11">
        <f t="shared" si="59"/>
        <v>9142.4111211135369</v>
      </c>
      <c r="K110" s="11">
        <f t="shared" si="60"/>
        <v>2006.8707339029716</v>
      </c>
    </row>
    <row r="111" spans="1:11" s="13" customFormat="1">
      <c r="A111" s="20" t="s">
        <v>335</v>
      </c>
      <c r="B111" s="30" t="s">
        <v>314</v>
      </c>
      <c r="C111" s="10" t="s">
        <v>38</v>
      </c>
      <c r="D111" s="146">
        <f>+'[1]Datos de los PIPS'!U32*'[1]Datos de los PIPS'!N32</f>
        <v>24103.875763791773</v>
      </c>
      <c r="E111" s="8">
        <f t="shared" si="55"/>
        <v>7348.7426109121261</v>
      </c>
      <c r="F111" s="11">
        <f t="shared" si="57"/>
        <v>6025.9689409479433</v>
      </c>
      <c r="G111" s="11">
        <f t="shared" si="58"/>
        <v>1322.7736699641825</v>
      </c>
      <c r="H111" s="146">
        <f>+'[1]Datos de los PIPS'!U32*'[1]Datos de los PIPS'!O32</f>
        <v>38896.124236208234</v>
      </c>
      <c r="I111" s="11">
        <f t="shared" si="56"/>
        <v>11858.574462258608</v>
      </c>
      <c r="J111" s="11">
        <f t="shared" si="59"/>
        <v>9724.0310590520585</v>
      </c>
      <c r="K111" s="11">
        <f t="shared" si="60"/>
        <v>2134.5434032065496</v>
      </c>
    </row>
    <row r="112" spans="1:11" s="13" customFormat="1">
      <c r="A112" s="20" t="s">
        <v>336</v>
      </c>
      <c r="B112" s="30" t="s">
        <v>315</v>
      </c>
      <c r="C112" s="10" t="s">
        <v>38</v>
      </c>
      <c r="D112" s="146">
        <f>+'[1]Datos de los PIPS'!U35*'[1]Datos de los PIPS'!N35</f>
        <v>15757.402117885398</v>
      </c>
      <c r="E112" s="8">
        <f t="shared" si="55"/>
        <v>4804.0860115504265</v>
      </c>
      <c r="F112" s="11">
        <f t="shared" si="57"/>
        <v>3939.3505294713495</v>
      </c>
      <c r="G112" s="11">
        <f t="shared" si="58"/>
        <v>864.73548207907675</v>
      </c>
      <c r="H112" s="146">
        <f>+'[1]Datos de los PIPS'!U35*'[1]Datos de los PIPS'!O35</f>
        <v>22742.597882114602</v>
      </c>
      <c r="I112" s="11">
        <f t="shared" si="56"/>
        <v>6933.7188664983551</v>
      </c>
      <c r="J112" s="11">
        <f t="shared" si="59"/>
        <v>5685.6494705286505</v>
      </c>
      <c r="K112" s="11">
        <f t="shared" si="60"/>
        <v>1248.0693959697039</v>
      </c>
    </row>
    <row r="113" spans="1:11" s="13" customFormat="1">
      <c r="A113" s="20" t="s">
        <v>337</v>
      </c>
      <c r="B113" s="30" t="s">
        <v>316</v>
      </c>
      <c r="C113" s="10" t="s">
        <v>38</v>
      </c>
      <c r="D113" s="146">
        <f>+'[1]Datos de los PIPS'!U39*'[1]Datos de los PIPS'!N39</f>
        <v>24360.864029848421</v>
      </c>
      <c r="E113" s="8">
        <f t="shared" si="55"/>
        <v>7427.0926920269576</v>
      </c>
      <c r="F113" s="11">
        <f t="shared" si="57"/>
        <v>6090.2160074621052</v>
      </c>
      <c r="G113" s="11">
        <f t="shared" si="58"/>
        <v>1336.8766845648522</v>
      </c>
      <c r="H113" s="146">
        <f>+'[1]Datos de los PIPS'!U39*'[1]Datos de los PIPS'!O39</f>
        <v>37239.135970151576</v>
      </c>
      <c r="I113" s="11">
        <f t="shared" si="56"/>
        <v>11353.395112851091</v>
      </c>
      <c r="J113" s="11">
        <f t="shared" si="59"/>
        <v>9309.7839925378939</v>
      </c>
      <c r="K113" s="11">
        <f t="shared" si="60"/>
        <v>2043.6111203131964</v>
      </c>
    </row>
    <row r="114" spans="1:11" s="13" customFormat="1">
      <c r="A114" s="20" t="s">
        <v>338</v>
      </c>
      <c r="B114" s="30" t="s">
        <v>317</v>
      </c>
      <c r="C114" s="10" t="s">
        <v>38</v>
      </c>
      <c r="D114" s="146">
        <f>+'[1]Datos de los PIPS'!U40*'[1]Datos de los PIPS'!N40</f>
        <v>17271.586283844332</v>
      </c>
      <c r="E114" s="8">
        <f t="shared" si="55"/>
        <v>5265.7275255622963</v>
      </c>
      <c r="F114" s="11">
        <f t="shared" si="57"/>
        <v>4317.8965709610829</v>
      </c>
      <c r="G114" s="11">
        <f t="shared" si="58"/>
        <v>947.83095460121331</v>
      </c>
      <c r="H114" s="146">
        <f>+'[1]Datos de los PIPS'!U40*'[1]Datos de los PIPS'!O40</f>
        <v>44328.413716155672</v>
      </c>
      <c r="I114" s="11">
        <f t="shared" si="56"/>
        <v>13514.760279315755</v>
      </c>
      <c r="J114" s="11">
        <f t="shared" si="59"/>
        <v>11082.103429038918</v>
      </c>
      <c r="K114" s="11">
        <f t="shared" si="60"/>
        <v>2432.6568502768359</v>
      </c>
    </row>
    <row r="115" spans="1:11" s="13" customFormat="1">
      <c r="A115" s="20" t="s">
        <v>339</v>
      </c>
      <c r="B115" s="30" t="s">
        <v>318</v>
      </c>
      <c r="C115" s="10" t="s">
        <v>38</v>
      </c>
      <c r="D115" s="146">
        <f>+'[1]Datos de los PIPS'!U41*'[1]Datos de los PIPS'!N41</f>
        <v>21057.58217636979</v>
      </c>
      <c r="E115" s="8">
        <f>+D114/$C$4</f>
        <v>5265.7275255622963</v>
      </c>
      <c r="F115" s="11">
        <f t="shared" si="57"/>
        <v>4317.8965709610829</v>
      </c>
      <c r="G115" s="11">
        <f t="shared" si="58"/>
        <v>947.83095460121331</v>
      </c>
      <c r="H115" s="146">
        <f>+'[1]Datos de los PIPS'!U41*'[1]Datos de los PIPS'!O41</f>
        <v>36192.417823630218</v>
      </c>
      <c r="I115" s="11">
        <f t="shared" si="56"/>
        <v>11034.27372671653</v>
      </c>
      <c r="J115" s="11">
        <f t="shared" si="59"/>
        <v>9048.1044559075544</v>
      </c>
      <c r="K115" s="11">
        <f t="shared" si="60"/>
        <v>1986.1692708089754</v>
      </c>
    </row>
    <row r="116" spans="1:11" s="13" customFormat="1">
      <c r="A116" s="20" t="s">
        <v>340</v>
      </c>
      <c r="B116" s="30" t="s">
        <v>319</v>
      </c>
      <c r="C116" s="10" t="s">
        <v>38</v>
      </c>
      <c r="D116" s="146">
        <f>+'[1]Datos de los PIPS'!U42*'[1]Datos de los PIPS'!N42</f>
        <v>24860.904280681709</v>
      </c>
      <c r="E116" s="8">
        <f>+D115/$C$4</f>
        <v>6419.9945659663999</v>
      </c>
      <c r="F116" s="11">
        <f t="shared" si="57"/>
        <v>5264.3955440924474</v>
      </c>
      <c r="G116" s="11">
        <f t="shared" si="58"/>
        <v>1155.5990218739519</v>
      </c>
      <c r="H116" s="146">
        <f>+'[1]Datos de los PIPS'!U42*'[1]Datos de los PIPS'!O42</f>
        <v>35339.095719318291</v>
      </c>
      <c r="I116" s="11">
        <f t="shared" si="56"/>
        <v>10774.11454857265</v>
      </c>
      <c r="J116" s="11">
        <f t="shared" si="59"/>
        <v>8834.7739298295728</v>
      </c>
      <c r="K116" s="11">
        <f t="shared" si="60"/>
        <v>1939.3406187430769</v>
      </c>
    </row>
    <row r="117" spans="1:11" s="9" customFormat="1">
      <c r="A117" s="20" t="s">
        <v>341</v>
      </c>
      <c r="B117" s="39" t="s">
        <v>320</v>
      </c>
      <c r="C117" s="10" t="s">
        <v>38</v>
      </c>
      <c r="D117" s="146">
        <f>+'[1]Datos de los PIPS'!U43*'[1]Datos de los PIPS'!N43</f>
        <v>14767.683913894054</v>
      </c>
      <c r="E117" s="8">
        <f>+D116/$C$4</f>
        <v>7579.5439880127169</v>
      </c>
      <c r="F117" s="11">
        <f t="shared" si="57"/>
        <v>6215.2260701704272</v>
      </c>
      <c r="G117" s="11">
        <f t="shared" si="58"/>
        <v>1364.317917842289</v>
      </c>
      <c r="H117" s="146">
        <f>+'[1]Datos de los PIPS'!U43*'[1]Datos de los PIPS'!O43</f>
        <v>45432.316086105944</v>
      </c>
      <c r="I117" s="11">
        <f t="shared" si="56"/>
        <v>13851.315879910349</v>
      </c>
      <c r="J117" s="11">
        <f t="shared" si="59"/>
        <v>11358.079021526486</v>
      </c>
      <c r="K117" s="11">
        <f t="shared" si="60"/>
        <v>2493.2368583838629</v>
      </c>
    </row>
    <row r="118" spans="1:11" s="18" customFormat="1">
      <c r="A118" s="20" t="s">
        <v>342</v>
      </c>
      <c r="B118" s="30" t="s">
        <v>321</v>
      </c>
      <c r="C118" s="32" t="s">
        <v>38</v>
      </c>
      <c r="D118" s="146">
        <f>+'[1]Datos de los PIPS'!U76*'[1]Datos de los PIPS'!N76</f>
        <v>20483.674157734684</v>
      </c>
      <c r="E118" s="8">
        <f>+D117/$C$4</f>
        <v>4502.3426566750168</v>
      </c>
      <c r="F118" s="11">
        <f t="shared" si="57"/>
        <v>3691.9209784735135</v>
      </c>
      <c r="G118" s="11">
        <f t="shared" si="58"/>
        <v>810.42167820150303</v>
      </c>
      <c r="H118" s="146">
        <f>+'[1]Datos de los PIPS'!U76*'[1]Datos de los PIPS'!O76</f>
        <v>41816.325842265323</v>
      </c>
      <c r="I118" s="11">
        <f t="shared" si="56"/>
        <v>12748.879829958942</v>
      </c>
      <c r="J118" s="11">
        <f t="shared" si="59"/>
        <v>10454.081460566331</v>
      </c>
      <c r="K118" s="11">
        <f t="shared" si="60"/>
        <v>2294.7983693926094</v>
      </c>
    </row>
    <row r="119" spans="1:11" s="18" customFormat="1">
      <c r="A119" s="20" t="s">
        <v>343</v>
      </c>
      <c r="B119" s="30" t="s">
        <v>322</v>
      </c>
      <c r="C119" s="32" t="s">
        <v>38</v>
      </c>
      <c r="D119" s="146">
        <f>+'[1]Datos de los PIPS'!U77*'[1]Datos de los PIPS'!N77</f>
        <v>17857.875322061031</v>
      </c>
      <c r="E119" s="8">
        <f t="shared" si="55"/>
        <v>5444.4741835551922</v>
      </c>
      <c r="F119" s="11">
        <f t="shared" si="57"/>
        <v>4464.4688305152577</v>
      </c>
      <c r="G119" s="11">
        <f t="shared" si="58"/>
        <v>980.00535303993456</v>
      </c>
      <c r="H119" s="146">
        <f>+'[1]Datos de los PIPS'!U77*'[1]Datos de los PIPS'!O77</f>
        <v>44442.124677938977</v>
      </c>
      <c r="I119" s="11">
        <f t="shared" si="56"/>
        <v>13549.428255469202</v>
      </c>
      <c r="J119" s="11">
        <f t="shared" si="59"/>
        <v>11110.531169484744</v>
      </c>
      <c r="K119" s="11">
        <f t="shared" si="60"/>
        <v>2438.8970859844562</v>
      </c>
    </row>
    <row r="120" spans="1:11" s="18" customFormat="1">
      <c r="A120" s="20" t="s">
        <v>344</v>
      </c>
      <c r="B120" s="39" t="s">
        <v>323</v>
      </c>
      <c r="C120" s="32" t="s">
        <v>38</v>
      </c>
      <c r="D120" s="146">
        <f>+'[1]Datos de los PIPS'!U100*'[1]Datos de los PIPS'!N100</f>
        <v>49438.360203897741</v>
      </c>
      <c r="E120" s="8">
        <f t="shared" si="55"/>
        <v>15072.670793871263</v>
      </c>
      <c r="F120" s="11">
        <f t="shared" si="57"/>
        <v>12359.590050974435</v>
      </c>
      <c r="G120" s="11">
        <f t="shared" si="58"/>
        <v>2713.0807428968274</v>
      </c>
      <c r="H120" s="146">
        <f>+'[1]Datos de los PIPS'!U100*'[1]Datos de los PIPS'!O100</f>
        <v>74261.639796102245</v>
      </c>
      <c r="I120" s="11">
        <f t="shared" si="56"/>
        <v>22640.743840275078</v>
      </c>
      <c r="J120" s="11">
        <f t="shared" si="59"/>
        <v>18565.409949025561</v>
      </c>
      <c r="K120" s="11">
        <f t="shared" si="60"/>
        <v>4075.3338912495137</v>
      </c>
    </row>
    <row r="121" spans="1:11" s="13" customFormat="1">
      <c r="A121" s="20" t="s">
        <v>345</v>
      </c>
      <c r="B121" s="30" t="s">
        <v>324</v>
      </c>
      <c r="C121" s="10" t="s">
        <v>38</v>
      </c>
      <c r="D121" s="146">
        <f>+'[1]Datos de los PIPS'!U101*'[1]Datos de los PIPS'!N101</f>
        <v>0</v>
      </c>
      <c r="E121" s="8">
        <f t="shared" si="55"/>
        <v>0</v>
      </c>
      <c r="F121" s="11">
        <f t="shared" si="57"/>
        <v>0</v>
      </c>
      <c r="G121" s="11">
        <f t="shared" si="58"/>
        <v>0</v>
      </c>
      <c r="H121" s="146">
        <f>+'[1]Datos de los PIPS'!U101*'[1]Datos de los PIPS'!O101</f>
        <v>63950</v>
      </c>
      <c r="I121" s="11">
        <f t="shared" si="56"/>
        <v>19496.951219512197</v>
      </c>
      <c r="J121" s="11">
        <f t="shared" si="59"/>
        <v>15987.5</v>
      </c>
      <c r="K121" s="11">
        <f t="shared" si="60"/>
        <v>3509.4512195121952</v>
      </c>
    </row>
  </sheetData>
  <mergeCells count="8">
    <mergeCell ref="B2:G2"/>
    <mergeCell ref="D6:E6"/>
    <mergeCell ref="F6:G6"/>
    <mergeCell ref="J6:K6"/>
    <mergeCell ref="B8:C8"/>
    <mergeCell ref="B6:B7"/>
    <mergeCell ref="C6:C7"/>
    <mergeCell ref="H6:I6"/>
  </mergeCells>
  <pageMargins left="0.70866141732283472" right="0.70866141732283472" top="0.74803149606299213" bottom="0.74803149606299213" header="0.31496062992125984" footer="0.31496062992125984"/>
  <pageSetup paperSize="9" scale="89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>
    <pageSetUpPr fitToPage="1"/>
  </sheetPr>
  <dimension ref="A1:I31"/>
  <sheetViews>
    <sheetView tabSelected="1" topLeftCell="A11" zoomScaleNormal="100" workbookViewId="0" xr3:uid="{78B4E459-6924-5F8B-B7BA-2DD04133E49E}">
      <selection activeCell="I28" sqref="I28"/>
    </sheetView>
  </sheetViews>
  <sheetFormatPr defaultColWidth="11.42578125" defaultRowHeight="11.25"/>
  <cols>
    <col min="1" max="1" width="33.85546875" style="5" customWidth="1"/>
    <col min="2" max="2" width="10" style="5" customWidth="1"/>
    <col min="3" max="3" width="11.28515625" style="5" customWidth="1"/>
    <col min="4" max="4" width="7.5703125" style="5" customWidth="1"/>
    <col min="5" max="6" width="11.42578125" style="5" customWidth="1"/>
    <col min="7" max="7" width="12.28515625" style="5" customWidth="1"/>
    <col min="8" max="16384" width="11.42578125" style="5"/>
  </cols>
  <sheetData>
    <row r="1" spans="1:7" s="1" customFormat="1" ht="12.75">
      <c r="A1" s="27"/>
      <c r="B1" s="2"/>
      <c r="C1" s="3"/>
      <c r="D1" s="3"/>
      <c r="E1" s="3"/>
      <c r="F1" s="3"/>
      <c r="G1" s="3"/>
    </row>
    <row r="2" spans="1:7" s="1" customFormat="1" ht="12.75">
      <c r="A2" s="269" t="s">
        <v>347</v>
      </c>
      <c r="B2" s="269"/>
      <c r="C2" s="269"/>
      <c r="D2" s="269"/>
      <c r="E2" s="269"/>
      <c r="F2" s="269"/>
      <c r="G2" s="269"/>
    </row>
    <row r="3" spans="1:7" s="1" customFormat="1" ht="12.75">
      <c r="A3" s="27"/>
      <c r="B3" s="2"/>
      <c r="C3" s="3"/>
      <c r="D3" s="3"/>
      <c r="E3" s="3"/>
      <c r="F3" s="3"/>
      <c r="G3" s="3"/>
    </row>
    <row r="4" spans="1:7" s="1" customFormat="1" ht="12.75">
      <c r="A4" s="2" t="s">
        <v>29</v>
      </c>
      <c r="B4" s="4">
        <v>3.28</v>
      </c>
      <c r="C4" s="27"/>
      <c r="D4" s="3"/>
      <c r="E4" s="3"/>
      <c r="F4" s="3"/>
      <c r="G4" s="3"/>
    </row>
    <row r="5" spans="1:7" s="1" customFormat="1" ht="12.75">
      <c r="A5" s="27"/>
      <c r="B5" s="2"/>
      <c r="C5" s="3"/>
      <c r="D5" s="3"/>
      <c r="E5" s="3"/>
      <c r="F5" s="3"/>
      <c r="G5" s="3"/>
    </row>
    <row r="6" spans="1:7" ht="15" customHeight="1">
      <c r="A6" s="270" t="s">
        <v>348</v>
      </c>
      <c r="B6" s="270" t="s">
        <v>30</v>
      </c>
      <c r="C6" s="270" t="s">
        <v>349</v>
      </c>
      <c r="D6" s="270" t="s">
        <v>350</v>
      </c>
      <c r="E6" s="277" t="s">
        <v>31</v>
      </c>
      <c r="F6" s="270" t="s">
        <v>32</v>
      </c>
      <c r="G6" s="270"/>
    </row>
    <row r="7" spans="1:7">
      <c r="A7" s="270"/>
      <c r="B7" s="270"/>
      <c r="C7" s="270"/>
      <c r="D7" s="270"/>
      <c r="E7" s="278"/>
      <c r="F7" s="263" t="s">
        <v>4</v>
      </c>
      <c r="G7" s="263" t="s">
        <v>5</v>
      </c>
    </row>
    <row r="8" spans="1:7" s="7" customFormat="1">
      <c r="A8" s="268" t="s">
        <v>351</v>
      </c>
      <c r="B8" s="268"/>
      <c r="C8" s="268"/>
      <c r="D8" s="268"/>
      <c r="E8" s="6">
        <f t="shared" ref="E8:G8" si="0">+E9</f>
        <v>3229319.2073170729</v>
      </c>
      <c r="F8" s="6">
        <f t="shared" si="0"/>
        <v>109024.39024390244</v>
      </c>
      <c r="G8" s="6">
        <f t="shared" si="0"/>
        <v>3120294.817073171</v>
      </c>
    </row>
    <row r="9" spans="1:7" s="9" customFormat="1">
      <c r="A9" s="281" t="s">
        <v>352</v>
      </c>
      <c r="B9" s="281"/>
      <c r="C9" s="281"/>
      <c r="D9" s="281"/>
      <c r="E9" s="8">
        <f>+'Costos RRHH'!N10</f>
        <v>3229319.2073170729</v>
      </c>
      <c r="F9" s="11">
        <f>+'Costos RRHH'!O10</f>
        <v>109024.39024390244</v>
      </c>
      <c r="G9" s="11">
        <f>+'Costos RRHH'!P10</f>
        <v>3120294.817073171</v>
      </c>
    </row>
    <row r="10" spans="1:7" s="7" customFormat="1">
      <c r="A10" s="268" t="s">
        <v>353</v>
      </c>
      <c r="B10" s="268"/>
      <c r="C10" s="268"/>
      <c r="D10" s="268"/>
      <c r="E10" s="6">
        <f t="shared" ref="E10:G10" si="1">+E11+E12</f>
        <v>74908.536585365859</v>
      </c>
      <c r="F10" s="6">
        <f t="shared" si="1"/>
        <v>0</v>
      </c>
      <c r="G10" s="6">
        <f t="shared" si="1"/>
        <v>74908.536585365859</v>
      </c>
    </row>
    <row r="11" spans="1:7">
      <c r="A11" s="17" t="s">
        <v>354</v>
      </c>
      <c r="B11" s="10" t="s">
        <v>38</v>
      </c>
      <c r="C11" s="47">
        <f>3500/$B$4</f>
        <v>1067.0731707317075</v>
      </c>
      <c r="D11" s="47">
        <v>27</v>
      </c>
      <c r="E11" s="29">
        <f>+D11*C11</f>
        <v>28810.9756097561</v>
      </c>
      <c r="F11" s="11">
        <v>0</v>
      </c>
      <c r="G11" s="11">
        <f>+E11-F11</f>
        <v>28810.9756097561</v>
      </c>
    </row>
    <row r="12" spans="1:7" s="13" customFormat="1">
      <c r="A12" s="17" t="s">
        <v>355</v>
      </c>
      <c r="B12" s="10" t="s">
        <v>38</v>
      </c>
      <c r="C12" s="47">
        <f>5600/$B$4</f>
        <v>1707.3170731707319</v>
      </c>
      <c r="D12" s="47">
        <v>27</v>
      </c>
      <c r="E12" s="29">
        <f>+D12*C12</f>
        <v>46097.560975609762</v>
      </c>
      <c r="F12" s="11">
        <v>0</v>
      </c>
      <c r="G12" s="11">
        <f>+E12-F12</f>
        <v>46097.560975609762</v>
      </c>
    </row>
    <row r="13" spans="1:7" s="13" customFormat="1">
      <c r="A13" s="268" t="s">
        <v>356</v>
      </c>
      <c r="B13" s="268"/>
      <c r="C13" s="268"/>
      <c r="D13" s="268"/>
      <c r="E13" s="45">
        <f t="shared" ref="E13:G13" si="2">+E15+E17+E16+E14</f>
        <v>1317651.073170732</v>
      </c>
      <c r="F13" s="45">
        <f t="shared" si="2"/>
        <v>0</v>
      </c>
      <c r="G13" s="45">
        <f t="shared" si="2"/>
        <v>1317651.073170732</v>
      </c>
    </row>
    <row r="14" spans="1:7" s="13" customFormat="1">
      <c r="A14" s="31" t="s">
        <v>357</v>
      </c>
      <c r="B14" s="10" t="s">
        <v>358</v>
      </c>
      <c r="C14" s="48">
        <f>4000/B4</f>
        <v>1219.5121951219512</v>
      </c>
      <c r="D14" s="46">
        <v>48</v>
      </c>
      <c r="E14" s="29">
        <f>+D14*C14</f>
        <v>58536.585365853658</v>
      </c>
      <c r="F14" s="11">
        <v>0</v>
      </c>
      <c r="G14" s="11">
        <f>+E14-F14</f>
        <v>58536.585365853658</v>
      </c>
    </row>
    <row r="15" spans="1:7" s="13" customFormat="1">
      <c r="A15" s="31" t="s">
        <v>359</v>
      </c>
      <c r="B15" s="10" t="s">
        <v>358</v>
      </c>
      <c r="C15" s="48">
        <f>2000/B4</f>
        <v>609.7560975609756</v>
      </c>
      <c r="D15" s="46">
        <v>48</v>
      </c>
      <c r="E15" s="29">
        <f>+D15*C15</f>
        <v>29268.292682926829</v>
      </c>
      <c r="F15" s="11">
        <v>0</v>
      </c>
      <c r="G15" s="11">
        <f>+E15-F15</f>
        <v>29268.292682926829</v>
      </c>
    </row>
    <row r="16" spans="1:7" s="13" customFormat="1">
      <c r="A16" s="31" t="s">
        <v>360</v>
      </c>
      <c r="B16" s="10" t="s">
        <v>358</v>
      </c>
      <c r="C16" s="48">
        <v>9648.6041669999995</v>
      </c>
      <c r="D16" s="46">
        <v>48</v>
      </c>
      <c r="E16" s="29">
        <v>463134</v>
      </c>
      <c r="F16" s="11">
        <v>0</v>
      </c>
      <c r="G16" s="11">
        <f>+E16-F16</f>
        <v>463134</v>
      </c>
    </row>
    <row r="17" spans="1:9" s="13" customFormat="1">
      <c r="A17" s="22" t="s">
        <v>361</v>
      </c>
      <c r="B17" s="10"/>
      <c r="C17" s="48"/>
      <c r="D17" s="46"/>
      <c r="E17" s="29">
        <f>SUM(E18:E20)</f>
        <v>766712.1951219514</v>
      </c>
      <c r="F17" s="29">
        <v>0</v>
      </c>
      <c r="G17" s="29">
        <f>SUM(G18:G20)</f>
        <v>766712.1951219514</v>
      </c>
    </row>
    <row r="18" spans="1:9" s="245" customFormat="1">
      <c r="A18" s="49" t="s">
        <v>362</v>
      </c>
      <c r="B18" s="242" t="s">
        <v>358</v>
      </c>
      <c r="C18" s="50">
        <f>20000/B4</f>
        <v>6097.5609756097565</v>
      </c>
      <c r="D18" s="51">
        <v>48</v>
      </c>
      <c r="E18" s="243">
        <f>+D18*C18</f>
        <v>292682.92682926834</v>
      </c>
      <c r="F18" s="244">
        <v>0</v>
      </c>
      <c r="G18" s="244">
        <f>+E18-F18</f>
        <v>292682.92682926834</v>
      </c>
    </row>
    <row r="19" spans="1:9" s="246" customFormat="1">
      <c r="A19" s="49" t="s">
        <v>363</v>
      </c>
      <c r="B19" s="242" t="s">
        <v>358</v>
      </c>
      <c r="C19" s="50">
        <f>12392/B4</f>
        <v>3778.0487804878053</v>
      </c>
      <c r="D19" s="51">
        <v>48</v>
      </c>
      <c r="E19" s="243">
        <f>+D19*C19</f>
        <v>181346.34146341466</v>
      </c>
      <c r="F19" s="244">
        <v>0</v>
      </c>
      <c r="G19" s="244">
        <f>+E19-F19</f>
        <v>181346.34146341466</v>
      </c>
    </row>
    <row r="20" spans="1:9" s="247" customFormat="1">
      <c r="A20" s="49" t="s">
        <v>364</v>
      </c>
      <c r="B20" s="242" t="s">
        <v>358</v>
      </c>
      <c r="C20" s="50">
        <f>20000/B4</f>
        <v>6097.5609756097565</v>
      </c>
      <c r="D20" s="51">
        <v>48</v>
      </c>
      <c r="E20" s="243">
        <f>+D20*C20</f>
        <v>292682.92682926834</v>
      </c>
      <c r="F20" s="244">
        <v>0</v>
      </c>
      <c r="G20" s="244">
        <f>+E20-F20</f>
        <v>292682.92682926834</v>
      </c>
    </row>
    <row r="21" spans="1:9" s="7" customFormat="1">
      <c r="A21" s="276" t="s">
        <v>365</v>
      </c>
      <c r="B21" s="276"/>
      <c r="C21" s="276"/>
      <c r="D21" s="276"/>
      <c r="E21" s="53">
        <f t="shared" ref="E21:G21" si="3">+E13+E10+E8</f>
        <v>4621878.817073171</v>
      </c>
      <c r="F21" s="53">
        <f t="shared" si="3"/>
        <v>109024.39024390244</v>
      </c>
      <c r="G21" s="53">
        <f t="shared" si="3"/>
        <v>4512854.4268292692</v>
      </c>
    </row>
    <row r="22" spans="1:9" ht="9" customHeight="1">
      <c r="A22" s="279"/>
      <c r="B22" s="280"/>
      <c r="C22" s="280"/>
      <c r="D22" s="280"/>
      <c r="E22" s="280"/>
      <c r="F22" s="280"/>
      <c r="G22" s="36"/>
    </row>
    <row r="23" spans="1:9" ht="11.25" customHeight="1">
      <c r="A23" s="270" t="s">
        <v>366</v>
      </c>
      <c r="B23" s="270" t="s">
        <v>30</v>
      </c>
      <c r="C23" s="270" t="s">
        <v>367</v>
      </c>
      <c r="D23" s="270" t="s">
        <v>350</v>
      </c>
      <c r="E23" s="277" t="s">
        <v>31</v>
      </c>
      <c r="F23" s="270" t="s">
        <v>368</v>
      </c>
      <c r="G23" s="270"/>
    </row>
    <row r="24" spans="1:9">
      <c r="A24" s="270"/>
      <c r="B24" s="270"/>
      <c r="C24" s="270"/>
      <c r="D24" s="270"/>
      <c r="E24" s="278"/>
      <c r="F24" s="263" t="s">
        <v>4</v>
      </c>
      <c r="G24" s="263" t="s">
        <v>5</v>
      </c>
    </row>
    <row r="25" spans="1:9" s="13" customFormat="1">
      <c r="A25" s="21" t="s">
        <v>369</v>
      </c>
      <c r="B25" s="15" t="s">
        <v>370</v>
      </c>
      <c r="C25" s="34">
        <v>80000</v>
      </c>
      <c r="D25" s="34">
        <v>4</v>
      </c>
      <c r="E25" s="12">
        <f>+C25*D25</f>
        <v>320000</v>
      </c>
      <c r="F25" s="11">
        <f>+E25*0.82</f>
        <v>262400</v>
      </c>
      <c r="G25" s="11">
        <f>+E25*0.18</f>
        <v>57600</v>
      </c>
    </row>
    <row r="26" spans="1:9">
      <c r="A26" s="22" t="s">
        <v>371</v>
      </c>
      <c r="B26" s="15" t="s">
        <v>38</v>
      </c>
      <c r="C26" s="16">
        <v>70000</v>
      </c>
      <c r="D26" s="16">
        <v>1</v>
      </c>
      <c r="E26" s="38">
        <v>70000</v>
      </c>
      <c r="F26" s="11">
        <f>+E26-G26</f>
        <v>57400</v>
      </c>
      <c r="G26" s="11">
        <f>+E26*0.18</f>
        <v>12600</v>
      </c>
    </row>
    <row r="27" spans="1:9" ht="11.25" customHeight="1">
      <c r="A27" s="22" t="s">
        <v>372</v>
      </c>
      <c r="B27" s="15" t="s">
        <v>38</v>
      </c>
      <c r="C27" s="16"/>
      <c r="D27" s="16">
        <v>1</v>
      </c>
      <c r="E27" s="12">
        <v>230000</v>
      </c>
      <c r="F27" s="11">
        <f>+E27-G27</f>
        <v>188600</v>
      </c>
      <c r="G27" s="11">
        <f>+E27*0.18</f>
        <v>41400</v>
      </c>
      <c r="I27" s="231">
        <f>E26+E27</f>
        <v>300000</v>
      </c>
    </row>
    <row r="28" spans="1:9" s="7" customFormat="1">
      <c r="A28" s="276" t="s">
        <v>373</v>
      </c>
      <c r="B28" s="276"/>
      <c r="C28" s="276"/>
      <c r="D28" s="276"/>
      <c r="E28" s="33">
        <f t="shared" ref="E28:G28" si="4">SUM(E25:E27)</f>
        <v>620000</v>
      </c>
      <c r="F28" s="33">
        <f t="shared" si="4"/>
        <v>508400</v>
      </c>
      <c r="G28" s="33">
        <f t="shared" si="4"/>
        <v>111600</v>
      </c>
    </row>
    <row r="30" spans="1:9">
      <c r="C30" s="14"/>
      <c r="E30" s="35"/>
      <c r="F30" s="14"/>
      <c r="G30" s="14"/>
    </row>
    <row r="31" spans="1:9">
      <c r="E31" s="14"/>
    </row>
  </sheetData>
  <mergeCells count="20">
    <mergeCell ref="A13:D13"/>
    <mergeCell ref="E23:E24"/>
    <mergeCell ref="A2:G2"/>
    <mergeCell ref="F6:G6"/>
    <mergeCell ref="F23:G23"/>
    <mergeCell ref="A21:D21"/>
    <mergeCell ref="A22:F22"/>
    <mergeCell ref="A9:D9"/>
    <mergeCell ref="A10:D10"/>
    <mergeCell ref="A8:D8"/>
    <mergeCell ref="A6:A7"/>
    <mergeCell ref="B6:B7"/>
    <mergeCell ref="C6:C7"/>
    <mergeCell ref="D6:D7"/>
    <mergeCell ref="E6:E7"/>
    <mergeCell ref="A28:D28"/>
    <mergeCell ref="A23:A24"/>
    <mergeCell ref="B23:B24"/>
    <mergeCell ref="C23:C24"/>
    <mergeCell ref="D23:D24"/>
  </mergeCells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>
    <pageSetUpPr fitToPage="1"/>
  </sheetPr>
  <dimension ref="A1:DX30"/>
  <sheetViews>
    <sheetView topLeftCell="A3" zoomScaleNormal="100" workbookViewId="0" xr3:uid="{9B253EF2-77E0-53E3-AE26-4D66ECD923F3}">
      <selection activeCell="I3" sqref="I3"/>
    </sheetView>
  </sheetViews>
  <sheetFormatPr defaultColWidth="11.42578125" defaultRowHeight="11.25"/>
  <cols>
    <col min="1" max="1" width="28.42578125" style="258" bestFit="1" customWidth="1"/>
    <col min="2" max="2" width="9.5703125" style="258" customWidth="1"/>
    <col min="3" max="3" width="10" style="258" hidden="1" customWidth="1"/>
    <col min="4" max="4" width="8.7109375" style="258" hidden="1" customWidth="1"/>
    <col min="5" max="5" width="9.42578125" style="258" hidden="1" customWidth="1"/>
    <col min="6" max="7" width="8.85546875" style="258" hidden="1" customWidth="1"/>
    <col min="8" max="8" width="10.140625" style="258" customWidth="1"/>
    <col min="9" max="9" width="9.5703125" style="258" customWidth="1"/>
    <col min="10" max="10" width="7.5703125" style="258" customWidth="1"/>
    <col min="11" max="11" width="5.28515625" style="258" bestFit="1" customWidth="1"/>
    <col min="12" max="12" width="4.28515625" style="258" bestFit="1" customWidth="1"/>
    <col min="13" max="13" width="12.140625" style="258" bestFit="1" customWidth="1"/>
    <col min="14" max="14" width="11.42578125" style="258" bestFit="1" customWidth="1"/>
    <col min="15" max="15" width="9.7109375" style="258" bestFit="1" customWidth="1"/>
    <col min="16" max="16" width="11.140625" style="258" bestFit="1" customWidth="1"/>
    <col min="17" max="16384" width="11.42578125" style="258"/>
  </cols>
  <sheetData>
    <row r="1" spans="1:128" s="257" customFormat="1" ht="12.75">
      <c r="A1" s="27"/>
      <c r="B1" s="2"/>
      <c r="C1" s="2"/>
      <c r="D1" s="2"/>
      <c r="E1" s="2"/>
      <c r="F1" s="2"/>
      <c r="G1" s="2"/>
      <c r="H1" s="305"/>
      <c r="I1" s="305"/>
      <c r="J1" s="305"/>
      <c r="K1" s="305"/>
      <c r="L1" s="305"/>
      <c r="M1" s="305"/>
      <c r="N1" s="305"/>
      <c r="O1" s="305"/>
      <c r="P1" s="305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</row>
    <row r="2" spans="1:128" s="257" customFormat="1" ht="12.75">
      <c r="A2" s="269" t="s">
        <v>347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</row>
    <row r="3" spans="1:128" s="257" customFormat="1" ht="12.75">
      <c r="A3" s="27"/>
      <c r="B3" s="2"/>
      <c r="C3" s="2"/>
      <c r="D3" s="2"/>
      <c r="E3" s="2"/>
      <c r="F3" s="2"/>
      <c r="G3" s="2"/>
      <c r="H3" s="305"/>
      <c r="I3" s="305"/>
      <c r="J3" s="305"/>
      <c r="K3" s="305"/>
      <c r="L3" s="305"/>
      <c r="M3" s="305"/>
      <c r="N3" s="305"/>
      <c r="O3" s="305"/>
      <c r="P3" s="305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</row>
    <row r="4" spans="1:128" s="257" customFormat="1" ht="12.75">
      <c r="A4" s="2" t="s">
        <v>29</v>
      </c>
      <c r="B4" s="306">
        <v>3.28</v>
      </c>
      <c r="C4" s="307"/>
      <c r="D4" s="307"/>
      <c r="E4" s="307"/>
      <c r="F4" s="307"/>
      <c r="G4" s="307"/>
      <c r="H4" s="27"/>
      <c r="I4" s="27"/>
      <c r="J4" s="305"/>
      <c r="K4" s="305"/>
      <c r="L4" s="305"/>
      <c r="M4" s="305"/>
      <c r="N4" s="305"/>
      <c r="O4" s="305"/>
      <c r="P4" s="305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</row>
    <row r="5" spans="1:128" s="257" customFormat="1" ht="12.75">
      <c r="A5" s="2"/>
      <c r="B5" s="2"/>
      <c r="C5" s="2"/>
      <c r="D5" s="2"/>
      <c r="E5" s="2"/>
      <c r="F5" s="2"/>
      <c r="G5" s="2"/>
      <c r="H5" s="2"/>
      <c r="I5" s="2"/>
      <c r="J5" s="305"/>
      <c r="K5" s="305"/>
      <c r="L5" s="305"/>
      <c r="M5" s="305"/>
      <c r="N5" s="305"/>
      <c r="O5" s="305"/>
      <c r="P5" s="305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</row>
    <row r="6" spans="1:128" s="257" customFormat="1" ht="13.5" thickBot="1">
      <c r="A6" s="2"/>
      <c r="B6" s="2"/>
      <c r="C6" s="2"/>
      <c r="D6" s="2"/>
      <c r="E6" s="2"/>
      <c r="F6" s="2"/>
      <c r="G6" s="2"/>
      <c r="H6" s="2"/>
      <c r="I6" s="2"/>
      <c r="J6" s="305"/>
      <c r="K6" s="305"/>
      <c r="L6" s="305"/>
      <c r="M6" s="305"/>
      <c r="N6" s="305"/>
      <c r="O6" s="305"/>
      <c r="P6" s="305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</row>
    <row r="7" spans="1:128" s="257" customFormat="1" ht="13.5" thickBot="1">
      <c r="A7" s="27"/>
      <c r="B7" s="2"/>
      <c r="C7" s="308" t="s">
        <v>374</v>
      </c>
      <c r="D7" s="309"/>
      <c r="E7" s="309"/>
      <c r="F7" s="309"/>
      <c r="G7" s="310"/>
      <c r="H7" s="311" t="s">
        <v>375</v>
      </c>
      <c r="I7" s="312"/>
      <c r="J7" s="312"/>
      <c r="K7" s="312"/>
      <c r="L7" s="312"/>
      <c r="M7" s="312"/>
      <c r="N7" s="312"/>
      <c r="O7" s="312"/>
      <c r="P7" s="313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</row>
    <row r="8" spans="1:128" ht="15" customHeight="1">
      <c r="A8" s="314" t="s">
        <v>348</v>
      </c>
      <c r="B8" s="315" t="s">
        <v>350</v>
      </c>
      <c r="C8" s="314" t="s">
        <v>376</v>
      </c>
      <c r="D8" s="316" t="s">
        <v>350</v>
      </c>
      <c r="E8" s="315" t="s">
        <v>377</v>
      </c>
      <c r="F8" s="317"/>
      <c r="G8" s="318" t="s">
        <v>378</v>
      </c>
      <c r="H8" s="314" t="s">
        <v>376</v>
      </c>
      <c r="I8" s="316" t="s">
        <v>379</v>
      </c>
      <c r="J8" s="316" t="s">
        <v>350</v>
      </c>
      <c r="K8" s="315" t="s">
        <v>380</v>
      </c>
      <c r="L8" s="317"/>
      <c r="M8" s="316" t="s">
        <v>381</v>
      </c>
      <c r="N8" s="316" t="s">
        <v>31</v>
      </c>
      <c r="O8" s="316" t="s">
        <v>32</v>
      </c>
      <c r="P8" s="319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</row>
    <row r="9" spans="1:128" ht="23.25" thickBot="1">
      <c r="A9" s="320"/>
      <c r="B9" s="321"/>
      <c r="C9" s="320"/>
      <c r="D9" s="322"/>
      <c r="E9" s="323" t="s">
        <v>382</v>
      </c>
      <c r="F9" s="323" t="s">
        <v>383</v>
      </c>
      <c r="G9" s="324"/>
      <c r="H9" s="320"/>
      <c r="I9" s="322"/>
      <c r="J9" s="322"/>
      <c r="K9" s="323" t="s">
        <v>384</v>
      </c>
      <c r="L9" s="323" t="s">
        <v>385</v>
      </c>
      <c r="M9" s="322"/>
      <c r="N9" s="322"/>
      <c r="O9" s="323" t="s">
        <v>4</v>
      </c>
      <c r="P9" s="325" t="s">
        <v>386</v>
      </c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</row>
    <row r="10" spans="1:128" s="259" customFormat="1" ht="12.75">
      <c r="A10" s="326" t="s">
        <v>351</v>
      </c>
      <c r="B10" s="327"/>
      <c r="C10" s="326"/>
      <c r="D10" s="327"/>
      <c r="E10" s="327"/>
      <c r="F10" s="327"/>
      <c r="G10" s="328"/>
      <c r="H10" s="326"/>
      <c r="I10" s="327"/>
      <c r="J10" s="329"/>
      <c r="K10" s="330"/>
      <c r="L10" s="331"/>
      <c r="M10" s="332">
        <f>SUM(M11:M28)</f>
        <v>10592167</v>
      </c>
      <c r="N10" s="332">
        <f>SUM(N11:N28)</f>
        <v>3229319.2073170729</v>
      </c>
      <c r="O10" s="332">
        <f>SUM(O11:O28)</f>
        <v>109024.39024390244</v>
      </c>
      <c r="P10" s="333">
        <f>SUM(P11:P28)</f>
        <v>3120294.817073171</v>
      </c>
      <c r="Q10" s="5"/>
      <c r="R10" s="5"/>
      <c r="S10" s="5"/>
      <c r="T10" s="5"/>
      <c r="U10" s="5"/>
      <c r="V10" s="5"/>
      <c r="W10" s="5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</row>
    <row r="11" spans="1:128" s="260" customFormat="1">
      <c r="A11" s="334" t="s">
        <v>387</v>
      </c>
      <c r="B11" s="335" t="s">
        <v>388</v>
      </c>
      <c r="C11" s="336">
        <v>14000</v>
      </c>
      <c r="D11" s="337">
        <v>1</v>
      </c>
      <c r="E11" s="337">
        <v>600</v>
      </c>
      <c r="F11" s="338">
        <v>109.35</v>
      </c>
      <c r="G11" s="339">
        <f>(C11*D11)+(E11+F11)</f>
        <v>14709.35</v>
      </c>
      <c r="H11" s="336">
        <v>15000</v>
      </c>
      <c r="I11" s="337">
        <f>+H11-G11</f>
        <v>290.64999999999964</v>
      </c>
      <c r="J11" s="337">
        <v>1</v>
      </c>
      <c r="K11" s="340">
        <v>12</v>
      </c>
      <c r="L11" s="340">
        <v>4</v>
      </c>
      <c r="M11" s="340">
        <f>+L11*K11*J11*H11</f>
        <v>720000</v>
      </c>
      <c r="N11" s="340">
        <f>+M11/$B$4</f>
        <v>219512.19512195123</v>
      </c>
      <c r="O11" s="341">
        <f>+N11*0.1</f>
        <v>21951.219512195123</v>
      </c>
      <c r="P11" s="342">
        <f>+N11*0.9</f>
        <v>197560.9756097561</v>
      </c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</row>
    <row r="12" spans="1:128" s="260" customFormat="1">
      <c r="A12" s="343" t="s">
        <v>389</v>
      </c>
      <c r="B12" s="344" t="s">
        <v>388</v>
      </c>
      <c r="C12" s="345">
        <v>12000</v>
      </c>
      <c r="D12" s="340">
        <v>1</v>
      </c>
      <c r="E12" s="340">
        <v>600</v>
      </c>
      <c r="F12" s="346">
        <v>109.35</v>
      </c>
      <c r="G12" s="347">
        <f t="shared" ref="G12:G28" si="0">(C12*D12)+(E12+F12)</f>
        <v>12709.35</v>
      </c>
      <c r="H12" s="345">
        <v>13000</v>
      </c>
      <c r="I12" s="340">
        <f t="shared" ref="I12:I15" si="1">+H12-G12</f>
        <v>290.64999999999964</v>
      </c>
      <c r="J12" s="340">
        <v>1</v>
      </c>
      <c r="K12" s="340">
        <v>12</v>
      </c>
      <c r="L12" s="340">
        <v>4</v>
      </c>
      <c r="M12" s="340">
        <f t="shared" ref="M12:M28" si="2">+L12*K12*J12*H12</f>
        <v>624000</v>
      </c>
      <c r="N12" s="340">
        <f t="shared" ref="N12:N28" si="3">+M12/$B$4</f>
        <v>190243.90243902442</v>
      </c>
      <c r="O12" s="341">
        <f>+N12*0.1</f>
        <v>19024.390243902442</v>
      </c>
      <c r="P12" s="342">
        <f>+N12*0.9</f>
        <v>171219.51219512199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</row>
    <row r="13" spans="1:128" s="261" customFormat="1" ht="12.75">
      <c r="A13" s="348" t="s">
        <v>390</v>
      </c>
      <c r="B13" s="349" t="s">
        <v>388</v>
      </c>
      <c r="C13" s="350">
        <v>12000</v>
      </c>
      <c r="D13" s="351">
        <v>1</v>
      </c>
      <c r="E13" s="351">
        <v>600</v>
      </c>
      <c r="F13" s="352">
        <v>109.35</v>
      </c>
      <c r="G13" s="353">
        <f>(C13*D13)+(E13+F13)</f>
        <v>12709.35</v>
      </c>
      <c r="H13" s="350">
        <v>13000</v>
      </c>
      <c r="I13" s="351">
        <f t="shared" si="1"/>
        <v>290.64999999999964</v>
      </c>
      <c r="J13" s="351">
        <v>1</v>
      </c>
      <c r="K13" s="351">
        <v>12</v>
      </c>
      <c r="L13" s="351">
        <v>4</v>
      </c>
      <c r="M13" s="351">
        <f t="shared" si="2"/>
        <v>624000</v>
      </c>
      <c r="N13" s="351">
        <f t="shared" si="3"/>
        <v>190243.90243902442</v>
      </c>
      <c r="O13" s="46">
        <v>0</v>
      </c>
      <c r="P13" s="354">
        <f>+N13</f>
        <v>190243.90243902442</v>
      </c>
      <c r="Q13" s="5"/>
      <c r="R13" s="5"/>
      <c r="S13" s="5"/>
      <c r="T13" s="5"/>
      <c r="U13" s="5"/>
      <c r="V13" s="5"/>
      <c r="W13" s="5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</row>
    <row r="14" spans="1:128" s="261" customFormat="1">
      <c r="A14" s="348" t="s">
        <v>391</v>
      </c>
      <c r="B14" s="349" t="s">
        <v>388</v>
      </c>
      <c r="C14" s="350">
        <v>9500</v>
      </c>
      <c r="D14" s="351">
        <v>1</v>
      </c>
      <c r="E14" s="351">
        <v>600</v>
      </c>
      <c r="F14" s="352">
        <v>109.35</v>
      </c>
      <c r="G14" s="353">
        <f t="shared" si="0"/>
        <v>10209.35</v>
      </c>
      <c r="H14" s="350">
        <v>11000</v>
      </c>
      <c r="I14" s="351">
        <f t="shared" si="1"/>
        <v>790.64999999999964</v>
      </c>
      <c r="J14" s="351">
        <v>1</v>
      </c>
      <c r="K14" s="351">
        <v>12</v>
      </c>
      <c r="L14" s="351">
        <v>4</v>
      </c>
      <c r="M14" s="351">
        <f t="shared" si="2"/>
        <v>528000</v>
      </c>
      <c r="N14" s="351">
        <f t="shared" si="3"/>
        <v>160975.60975609758</v>
      </c>
      <c r="O14" s="46">
        <v>0</v>
      </c>
      <c r="P14" s="354">
        <f>+N14</f>
        <v>160975.60975609758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</row>
    <row r="15" spans="1:128" s="261" customFormat="1">
      <c r="A15" s="355" t="s">
        <v>392</v>
      </c>
      <c r="B15" s="349" t="s">
        <v>388</v>
      </c>
      <c r="C15" s="350">
        <v>9500</v>
      </c>
      <c r="D15" s="351">
        <v>1</v>
      </c>
      <c r="E15" s="351">
        <v>600</v>
      </c>
      <c r="F15" s="352">
        <v>109.35</v>
      </c>
      <c r="G15" s="353">
        <f t="shared" si="0"/>
        <v>10209.35</v>
      </c>
      <c r="H15" s="350">
        <v>11000</v>
      </c>
      <c r="I15" s="351">
        <f t="shared" si="1"/>
        <v>790.64999999999964</v>
      </c>
      <c r="J15" s="351">
        <v>1</v>
      </c>
      <c r="K15" s="351">
        <v>12</v>
      </c>
      <c r="L15" s="351">
        <v>3</v>
      </c>
      <c r="M15" s="351">
        <f t="shared" si="2"/>
        <v>396000</v>
      </c>
      <c r="N15" s="351">
        <f t="shared" si="3"/>
        <v>120731.70731707317</v>
      </c>
      <c r="O15" s="46">
        <v>0</v>
      </c>
      <c r="P15" s="354">
        <f>+N15</f>
        <v>120731.70731707317</v>
      </c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</row>
    <row r="16" spans="1:128" s="260" customFormat="1" ht="12.75">
      <c r="A16" s="356" t="s">
        <v>393</v>
      </c>
      <c r="B16" s="344" t="s">
        <v>388</v>
      </c>
      <c r="C16" s="345">
        <v>8500</v>
      </c>
      <c r="D16" s="340">
        <v>1</v>
      </c>
      <c r="E16" s="340">
        <v>600</v>
      </c>
      <c r="F16" s="346">
        <v>109.35</v>
      </c>
      <c r="G16" s="357">
        <f t="shared" si="0"/>
        <v>9209.35</v>
      </c>
      <c r="H16" s="345">
        <v>11000</v>
      </c>
      <c r="I16" s="340">
        <f>+H16-G16</f>
        <v>1790.6499999999996</v>
      </c>
      <c r="J16" s="340">
        <v>1</v>
      </c>
      <c r="K16" s="340">
        <v>12</v>
      </c>
      <c r="L16" s="340">
        <v>3</v>
      </c>
      <c r="M16" s="340">
        <f t="shared" si="2"/>
        <v>396000</v>
      </c>
      <c r="N16" s="340">
        <f t="shared" si="3"/>
        <v>120731.70731707317</v>
      </c>
      <c r="O16" s="341">
        <f>+N16*0.1</f>
        <v>12073.170731707318</v>
      </c>
      <c r="P16" s="342">
        <f>+N16*0.9</f>
        <v>108658.53658536586</v>
      </c>
      <c r="Q16" s="7"/>
      <c r="R16" s="7"/>
      <c r="S16" s="7"/>
      <c r="T16" s="7"/>
      <c r="U16" s="7"/>
      <c r="V16" s="7"/>
      <c r="W16" s="7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  <c r="AK16" s="358"/>
      <c r="AL16" s="358"/>
      <c r="AM16" s="358"/>
      <c r="AN16" s="358"/>
      <c r="AO16" s="358"/>
      <c r="AP16" s="358"/>
      <c r="AQ16" s="358"/>
      <c r="AR16" s="358"/>
      <c r="AS16" s="358"/>
      <c r="AT16" s="358"/>
      <c r="AU16" s="358"/>
      <c r="AV16" s="358"/>
      <c r="AW16" s="358"/>
      <c r="AX16" s="358"/>
      <c r="AY16" s="358"/>
      <c r="AZ16" s="358"/>
      <c r="BA16" s="358"/>
      <c r="BB16" s="358"/>
      <c r="BC16" s="358"/>
      <c r="BD16" s="358"/>
      <c r="BE16" s="358"/>
      <c r="BF16" s="358"/>
      <c r="BG16" s="358"/>
      <c r="BH16" s="358"/>
      <c r="BI16" s="358"/>
      <c r="BJ16" s="358"/>
      <c r="BK16" s="358"/>
      <c r="BL16" s="358"/>
      <c r="BM16" s="358"/>
      <c r="BN16" s="358"/>
      <c r="BO16" s="358"/>
      <c r="BP16" s="358"/>
      <c r="BQ16" s="358"/>
      <c r="BR16" s="358"/>
      <c r="BS16" s="358"/>
      <c r="BT16" s="358"/>
      <c r="BU16" s="358"/>
      <c r="BV16" s="358"/>
      <c r="BW16" s="358"/>
      <c r="BX16" s="358"/>
      <c r="BY16" s="358"/>
      <c r="BZ16" s="358"/>
      <c r="CA16" s="358"/>
      <c r="CB16" s="358"/>
      <c r="CC16" s="358"/>
      <c r="CD16" s="358"/>
      <c r="CE16" s="358"/>
      <c r="CF16" s="358"/>
      <c r="CG16" s="358"/>
      <c r="CH16" s="358"/>
      <c r="CI16" s="358"/>
      <c r="CJ16" s="358"/>
      <c r="CK16" s="358"/>
      <c r="CL16" s="358"/>
      <c r="CM16" s="358"/>
      <c r="CN16" s="358"/>
      <c r="CO16" s="358"/>
      <c r="CP16" s="358"/>
      <c r="CQ16" s="358"/>
      <c r="CR16" s="358"/>
      <c r="CS16" s="358"/>
      <c r="CT16" s="358"/>
      <c r="CU16" s="358"/>
      <c r="CV16" s="358"/>
      <c r="CW16" s="358"/>
      <c r="CX16" s="358"/>
      <c r="CY16" s="358"/>
      <c r="CZ16" s="358"/>
      <c r="DA16" s="358"/>
      <c r="DB16" s="358"/>
      <c r="DC16" s="358"/>
      <c r="DD16" s="358"/>
      <c r="DE16" s="358"/>
      <c r="DF16" s="358"/>
      <c r="DG16" s="358"/>
      <c r="DH16" s="358"/>
      <c r="DI16" s="358"/>
      <c r="DJ16" s="358"/>
      <c r="DK16" s="358"/>
      <c r="DL16" s="358"/>
      <c r="DM16" s="358"/>
      <c r="DN16" s="358"/>
      <c r="DO16" s="358"/>
      <c r="DP16" s="358"/>
      <c r="DQ16" s="358"/>
      <c r="DR16" s="358"/>
      <c r="DS16" s="358"/>
      <c r="DT16" s="358"/>
      <c r="DU16" s="358"/>
      <c r="DV16" s="358"/>
      <c r="DW16" s="358"/>
      <c r="DX16" s="358"/>
    </row>
    <row r="17" spans="1:128" s="261" customFormat="1">
      <c r="A17" s="355" t="s">
        <v>394</v>
      </c>
      <c r="B17" s="349" t="s">
        <v>388</v>
      </c>
      <c r="C17" s="350">
        <v>8500</v>
      </c>
      <c r="D17" s="351">
        <v>1</v>
      </c>
      <c r="E17" s="351">
        <v>600</v>
      </c>
      <c r="F17" s="352">
        <v>109.35</v>
      </c>
      <c r="G17" s="359">
        <f t="shared" si="0"/>
        <v>9209.35</v>
      </c>
      <c r="H17" s="350">
        <v>11000</v>
      </c>
      <c r="I17" s="351">
        <f t="shared" ref="I17:I27" si="4">+H17-G17</f>
        <v>1790.6499999999996</v>
      </c>
      <c r="J17" s="351">
        <v>1</v>
      </c>
      <c r="K17" s="351">
        <v>12</v>
      </c>
      <c r="L17" s="351">
        <v>4</v>
      </c>
      <c r="M17" s="351">
        <f t="shared" si="2"/>
        <v>528000</v>
      </c>
      <c r="N17" s="351">
        <f t="shared" si="3"/>
        <v>160975.60975609758</v>
      </c>
      <c r="O17" s="46">
        <v>0</v>
      </c>
      <c r="P17" s="354">
        <f>+N17</f>
        <v>160975.60975609758</v>
      </c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</row>
    <row r="18" spans="1:128" s="260" customFormat="1">
      <c r="A18" s="356" t="s">
        <v>395</v>
      </c>
      <c r="B18" s="344" t="s">
        <v>388</v>
      </c>
      <c r="C18" s="345">
        <v>8500</v>
      </c>
      <c r="D18" s="340">
        <v>1</v>
      </c>
      <c r="E18" s="340">
        <v>600</v>
      </c>
      <c r="F18" s="346">
        <v>109.35</v>
      </c>
      <c r="G18" s="357">
        <f t="shared" si="0"/>
        <v>9209.35</v>
      </c>
      <c r="H18" s="345">
        <v>11000</v>
      </c>
      <c r="I18" s="340">
        <f t="shared" si="4"/>
        <v>1790.6499999999996</v>
      </c>
      <c r="J18" s="340">
        <v>1</v>
      </c>
      <c r="K18" s="340">
        <v>12</v>
      </c>
      <c r="L18" s="340">
        <v>3</v>
      </c>
      <c r="M18" s="340">
        <f t="shared" si="2"/>
        <v>396000</v>
      </c>
      <c r="N18" s="340">
        <f t="shared" si="3"/>
        <v>120731.70731707317</v>
      </c>
      <c r="O18" s="341">
        <f>+N18*0.1</f>
        <v>12073.170731707318</v>
      </c>
      <c r="P18" s="342">
        <f>+N18*0.9</f>
        <v>108658.53658536586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</row>
    <row r="19" spans="1:128" s="260" customFormat="1" ht="12.75">
      <c r="A19" s="356" t="s">
        <v>396</v>
      </c>
      <c r="B19" s="344" t="s">
        <v>388</v>
      </c>
      <c r="C19" s="345">
        <v>8500</v>
      </c>
      <c r="D19" s="340">
        <v>1</v>
      </c>
      <c r="E19" s="340">
        <v>600</v>
      </c>
      <c r="F19" s="346">
        <v>109.35</v>
      </c>
      <c r="G19" s="357">
        <f t="shared" si="0"/>
        <v>9209.35</v>
      </c>
      <c r="H19" s="345">
        <v>12000</v>
      </c>
      <c r="I19" s="340">
        <f t="shared" si="4"/>
        <v>2790.6499999999996</v>
      </c>
      <c r="J19" s="340">
        <v>1</v>
      </c>
      <c r="K19" s="340">
        <v>12</v>
      </c>
      <c r="L19" s="340">
        <v>4</v>
      </c>
      <c r="M19" s="340">
        <f t="shared" si="2"/>
        <v>576000</v>
      </c>
      <c r="N19" s="340">
        <f t="shared" si="3"/>
        <v>175609.75609756098</v>
      </c>
      <c r="O19" s="341">
        <f>+N19*0.1</f>
        <v>17560.9756097561</v>
      </c>
      <c r="P19" s="342">
        <f>+N19*0.9</f>
        <v>158048.78048780488</v>
      </c>
      <c r="Q19" s="7"/>
      <c r="R19" s="7"/>
      <c r="S19" s="7"/>
      <c r="T19" s="7"/>
      <c r="U19" s="7"/>
      <c r="V19" s="7"/>
      <c r="W19" s="7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8"/>
      <c r="AM19" s="358"/>
      <c r="AN19" s="358"/>
      <c r="AO19" s="358"/>
      <c r="AP19" s="358"/>
      <c r="AQ19" s="358"/>
      <c r="AR19" s="358"/>
      <c r="AS19" s="358"/>
      <c r="AT19" s="358"/>
      <c r="AU19" s="358"/>
      <c r="AV19" s="358"/>
      <c r="AW19" s="358"/>
      <c r="AX19" s="358"/>
      <c r="AY19" s="358"/>
      <c r="AZ19" s="358"/>
      <c r="BA19" s="358"/>
      <c r="BB19" s="358"/>
      <c r="BC19" s="358"/>
      <c r="BD19" s="358"/>
      <c r="BE19" s="358"/>
      <c r="BF19" s="358"/>
      <c r="BG19" s="358"/>
      <c r="BH19" s="358"/>
      <c r="BI19" s="358"/>
      <c r="BJ19" s="358"/>
      <c r="BK19" s="358"/>
      <c r="BL19" s="358"/>
      <c r="BM19" s="358"/>
      <c r="BN19" s="358"/>
      <c r="BO19" s="358"/>
      <c r="BP19" s="358"/>
      <c r="BQ19" s="358"/>
      <c r="BR19" s="358"/>
      <c r="BS19" s="358"/>
      <c r="BT19" s="358"/>
      <c r="BU19" s="358"/>
      <c r="BV19" s="358"/>
      <c r="BW19" s="358"/>
      <c r="BX19" s="358"/>
      <c r="BY19" s="358"/>
      <c r="BZ19" s="358"/>
      <c r="CA19" s="358"/>
      <c r="CB19" s="358"/>
      <c r="CC19" s="358"/>
      <c r="CD19" s="358"/>
      <c r="CE19" s="358"/>
      <c r="CF19" s="358"/>
      <c r="CG19" s="358"/>
      <c r="CH19" s="358"/>
      <c r="CI19" s="358"/>
      <c r="CJ19" s="358"/>
      <c r="CK19" s="358"/>
      <c r="CL19" s="358"/>
      <c r="CM19" s="358"/>
      <c r="CN19" s="358"/>
      <c r="CO19" s="358"/>
      <c r="CP19" s="358"/>
      <c r="CQ19" s="358"/>
      <c r="CR19" s="358"/>
      <c r="CS19" s="358"/>
      <c r="CT19" s="358"/>
      <c r="CU19" s="358"/>
      <c r="CV19" s="358"/>
      <c r="CW19" s="358"/>
      <c r="CX19" s="358"/>
      <c r="CY19" s="358"/>
      <c r="CZ19" s="358"/>
      <c r="DA19" s="358"/>
      <c r="DB19" s="358"/>
      <c r="DC19" s="358"/>
      <c r="DD19" s="358"/>
      <c r="DE19" s="358"/>
      <c r="DF19" s="358"/>
      <c r="DG19" s="358"/>
      <c r="DH19" s="358"/>
      <c r="DI19" s="358"/>
      <c r="DJ19" s="358"/>
      <c r="DK19" s="358"/>
      <c r="DL19" s="358"/>
      <c r="DM19" s="358"/>
      <c r="DN19" s="358"/>
      <c r="DO19" s="358"/>
      <c r="DP19" s="358"/>
      <c r="DQ19" s="358"/>
      <c r="DR19" s="358"/>
      <c r="DS19" s="358"/>
      <c r="DT19" s="358"/>
      <c r="DU19" s="358"/>
      <c r="DV19" s="358"/>
      <c r="DW19" s="358"/>
      <c r="DX19" s="358"/>
    </row>
    <row r="20" spans="1:128" s="260" customFormat="1">
      <c r="A20" s="356" t="s">
        <v>397</v>
      </c>
      <c r="B20" s="344" t="s">
        <v>388</v>
      </c>
      <c r="C20" s="345">
        <v>8500</v>
      </c>
      <c r="D20" s="340">
        <v>1</v>
      </c>
      <c r="E20" s="340">
        <v>600</v>
      </c>
      <c r="F20" s="346">
        <v>109.35</v>
      </c>
      <c r="G20" s="357">
        <f t="shared" si="0"/>
        <v>9209.35</v>
      </c>
      <c r="H20" s="345">
        <v>12000</v>
      </c>
      <c r="I20" s="340">
        <f t="shared" si="4"/>
        <v>2790.6499999999996</v>
      </c>
      <c r="J20" s="340">
        <v>1</v>
      </c>
      <c r="K20" s="340">
        <v>12</v>
      </c>
      <c r="L20" s="340">
        <v>3</v>
      </c>
      <c r="M20" s="340">
        <f t="shared" si="2"/>
        <v>432000</v>
      </c>
      <c r="N20" s="340">
        <f t="shared" si="3"/>
        <v>131707.31707317074</v>
      </c>
      <c r="O20" s="341">
        <f>+N20*0.1</f>
        <v>13170.731707317074</v>
      </c>
      <c r="P20" s="342">
        <f>+N20*0.9</f>
        <v>118536.58536585367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</row>
    <row r="21" spans="1:128" s="260" customFormat="1">
      <c r="A21" s="356" t="s">
        <v>398</v>
      </c>
      <c r="B21" s="344" t="s">
        <v>388</v>
      </c>
      <c r="C21" s="345">
        <v>8000</v>
      </c>
      <c r="D21" s="340">
        <v>1</v>
      </c>
      <c r="E21" s="340">
        <v>600</v>
      </c>
      <c r="F21" s="346">
        <v>109.35</v>
      </c>
      <c r="G21" s="357">
        <f t="shared" si="0"/>
        <v>8709.35</v>
      </c>
      <c r="H21" s="345">
        <v>12000</v>
      </c>
      <c r="I21" s="340">
        <f t="shared" si="4"/>
        <v>3290.6499999999996</v>
      </c>
      <c r="J21" s="340">
        <v>1</v>
      </c>
      <c r="K21" s="340">
        <v>12</v>
      </c>
      <c r="L21" s="340">
        <v>3</v>
      </c>
      <c r="M21" s="340">
        <f t="shared" si="2"/>
        <v>432000</v>
      </c>
      <c r="N21" s="340">
        <f t="shared" si="3"/>
        <v>131707.31707317074</v>
      </c>
      <c r="O21" s="341">
        <f>+N21*0.1</f>
        <v>13170.731707317074</v>
      </c>
      <c r="P21" s="342">
        <f>+N21*0.9</f>
        <v>118536.58536585367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</row>
    <row r="22" spans="1:128" s="261" customFormat="1" ht="12.75">
      <c r="A22" s="355" t="s">
        <v>399</v>
      </c>
      <c r="B22" s="349" t="s">
        <v>400</v>
      </c>
      <c r="C22" s="350"/>
      <c r="D22" s="351"/>
      <c r="E22" s="351"/>
      <c r="F22" s="352"/>
      <c r="G22" s="359"/>
      <c r="H22" s="350">
        <f>10000*B4</f>
        <v>32800</v>
      </c>
      <c r="I22" s="351"/>
      <c r="J22" s="351">
        <v>10</v>
      </c>
      <c r="K22" s="351"/>
      <c r="L22" s="351"/>
      <c r="M22" s="351">
        <f>+J22*H22</f>
        <v>328000</v>
      </c>
      <c r="N22" s="351">
        <f>+M22/$B$4</f>
        <v>100000</v>
      </c>
      <c r="O22" s="46">
        <v>0</v>
      </c>
      <c r="P22" s="354">
        <f t="shared" ref="P22:P28" si="5">+N22</f>
        <v>100000</v>
      </c>
      <c r="Q22" s="5"/>
      <c r="R22" s="5"/>
      <c r="S22" s="5"/>
      <c r="T22" s="5"/>
      <c r="U22" s="5"/>
      <c r="V22" s="5"/>
      <c r="W22" s="5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</row>
    <row r="23" spans="1:128" s="261" customFormat="1">
      <c r="A23" s="355" t="s">
        <v>401</v>
      </c>
      <c r="B23" s="349" t="s">
        <v>388</v>
      </c>
      <c r="C23" s="350">
        <v>5500</v>
      </c>
      <c r="D23" s="351">
        <v>8</v>
      </c>
      <c r="E23" s="351">
        <v>600</v>
      </c>
      <c r="F23" s="352">
        <v>109.35</v>
      </c>
      <c r="G23" s="353">
        <f>(C23)+(E23+F23)</f>
        <v>6209.35</v>
      </c>
      <c r="H23" s="350">
        <v>11800</v>
      </c>
      <c r="I23" s="351">
        <v>2591</v>
      </c>
      <c r="J23" s="351">
        <v>8</v>
      </c>
      <c r="K23" s="351">
        <v>12</v>
      </c>
      <c r="L23" s="351">
        <v>3</v>
      </c>
      <c r="M23" s="351">
        <f>+L23*K23*J23*H23+13767</f>
        <v>3412167</v>
      </c>
      <c r="N23" s="351">
        <f>+M23/$B$4</f>
        <v>1040294.8170731708</v>
      </c>
      <c r="O23" s="351">
        <v>0</v>
      </c>
      <c r="P23" s="353">
        <f t="shared" si="5"/>
        <v>1040294.8170731708</v>
      </c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</row>
    <row r="24" spans="1:128" s="261" customFormat="1">
      <c r="A24" s="348" t="s">
        <v>402</v>
      </c>
      <c r="B24" s="349" t="s">
        <v>388</v>
      </c>
      <c r="C24" s="350">
        <v>5500</v>
      </c>
      <c r="D24" s="351">
        <v>1</v>
      </c>
      <c r="E24" s="351">
        <v>600</v>
      </c>
      <c r="F24" s="352">
        <v>109.35</v>
      </c>
      <c r="G24" s="359">
        <f t="shared" si="0"/>
        <v>6209.35</v>
      </c>
      <c r="H24" s="350">
        <v>8000</v>
      </c>
      <c r="I24" s="351">
        <f t="shared" si="4"/>
        <v>1790.6499999999996</v>
      </c>
      <c r="J24" s="351">
        <v>1</v>
      </c>
      <c r="K24" s="351">
        <v>12</v>
      </c>
      <c r="L24" s="351">
        <v>3</v>
      </c>
      <c r="M24" s="351">
        <f t="shared" si="2"/>
        <v>288000</v>
      </c>
      <c r="N24" s="351">
        <f t="shared" si="3"/>
        <v>87804.878048780491</v>
      </c>
      <c r="O24" s="46">
        <v>0</v>
      </c>
      <c r="P24" s="354">
        <f t="shared" si="5"/>
        <v>87804.878048780491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</row>
    <row r="25" spans="1:128" s="261" customFormat="1" ht="12.75">
      <c r="A25" s="348" t="s">
        <v>403</v>
      </c>
      <c r="B25" s="349" t="s">
        <v>388</v>
      </c>
      <c r="C25" s="350">
        <v>5500</v>
      </c>
      <c r="D25" s="351">
        <v>1</v>
      </c>
      <c r="E25" s="351">
        <v>600</v>
      </c>
      <c r="F25" s="352">
        <v>109.35</v>
      </c>
      <c r="G25" s="359">
        <f t="shared" si="0"/>
        <v>6209.35</v>
      </c>
      <c r="H25" s="350">
        <v>8000</v>
      </c>
      <c r="I25" s="351">
        <f t="shared" si="4"/>
        <v>1790.6499999999996</v>
      </c>
      <c r="J25" s="351">
        <v>1</v>
      </c>
      <c r="K25" s="351">
        <v>12</v>
      </c>
      <c r="L25" s="351">
        <v>2</v>
      </c>
      <c r="M25" s="351">
        <f t="shared" si="2"/>
        <v>192000</v>
      </c>
      <c r="N25" s="351">
        <f t="shared" si="3"/>
        <v>58536.585365853665</v>
      </c>
      <c r="O25" s="46">
        <v>0</v>
      </c>
      <c r="P25" s="354">
        <f t="shared" si="5"/>
        <v>58536.585365853665</v>
      </c>
      <c r="Q25" s="5"/>
      <c r="R25" s="5"/>
      <c r="S25" s="5"/>
      <c r="T25" s="5"/>
      <c r="U25" s="5"/>
      <c r="V25" s="5"/>
      <c r="W25" s="5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</row>
    <row r="26" spans="1:128" s="261" customFormat="1">
      <c r="A26" s="348" t="s">
        <v>404</v>
      </c>
      <c r="B26" s="349" t="s">
        <v>388</v>
      </c>
      <c r="C26" s="350">
        <v>5500</v>
      </c>
      <c r="D26" s="351">
        <v>1</v>
      </c>
      <c r="E26" s="351">
        <v>600</v>
      </c>
      <c r="F26" s="352">
        <v>109.35</v>
      </c>
      <c r="G26" s="359">
        <f t="shared" si="0"/>
        <v>6209.35</v>
      </c>
      <c r="H26" s="350">
        <v>8000</v>
      </c>
      <c r="I26" s="351">
        <f t="shared" si="4"/>
        <v>1790.6499999999996</v>
      </c>
      <c r="J26" s="351">
        <v>1</v>
      </c>
      <c r="K26" s="351">
        <v>12</v>
      </c>
      <c r="L26" s="351">
        <v>3</v>
      </c>
      <c r="M26" s="351">
        <f t="shared" si="2"/>
        <v>288000</v>
      </c>
      <c r="N26" s="351">
        <f t="shared" si="3"/>
        <v>87804.878048780491</v>
      </c>
      <c r="O26" s="46">
        <v>0</v>
      </c>
      <c r="P26" s="354">
        <f t="shared" si="5"/>
        <v>87804.878048780491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</row>
    <row r="27" spans="1:128" s="261" customFormat="1" ht="12.75">
      <c r="A27" s="348" t="s">
        <v>405</v>
      </c>
      <c r="B27" s="349" t="s">
        <v>388</v>
      </c>
      <c r="C27" s="350">
        <v>5500</v>
      </c>
      <c r="D27" s="351">
        <v>1</v>
      </c>
      <c r="E27" s="351">
        <v>600</v>
      </c>
      <c r="F27" s="352">
        <v>109.35</v>
      </c>
      <c r="G27" s="359">
        <f t="shared" si="0"/>
        <v>6209.35</v>
      </c>
      <c r="H27" s="350">
        <v>8000</v>
      </c>
      <c r="I27" s="351">
        <f t="shared" si="4"/>
        <v>1790.6499999999996</v>
      </c>
      <c r="J27" s="351">
        <v>1</v>
      </c>
      <c r="K27" s="351">
        <v>12</v>
      </c>
      <c r="L27" s="351">
        <v>3</v>
      </c>
      <c r="M27" s="351">
        <f t="shared" si="2"/>
        <v>288000</v>
      </c>
      <c r="N27" s="351">
        <f t="shared" si="3"/>
        <v>87804.878048780491</v>
      </c>
      <c r="O27" s="46">
        <v>0</v>
      </c>
      <c r="P27" s="354">
        <f t="shared" si="5"/>
        <v>87804.878048780491</v>
      </c>
      <c r="Q27" s="5"/>
      <c r="R27" s="5"/>
      <c r="S27" s="5"/>
      <c r="T27" s="5"/>
      <c r="U27" s="5"/>
      <c r="V27" s="5"/>
      <c r="W27" s="5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</row>
    <row r="28" spans="1:128" s="261" customFormat="1" ht="12" thickBot="1">
      <c r="A28" s="360" t="s">
        <v>406</v>
      </c>
      <c r="B28" s="361" t="s">
        <v>388</v>
      </c>
      <c r="C28" s="362">
        <v>4500</v>
      </c>
      <c r="D28" s="363">
        <v>1</v>
      </c>
      <c r="E28" s="363">
        <v>600</v>
      </c>
      <c r="F28" s="364">
        <v>109.35</v>
      </c>
      <c r="G28" s="365">
        <f t="shared" si="0"/>
        <v>5209.3500000000004</v>
      </c>
      <c r="H28" s="362">
        <v>3000</v>
      </c>
      <c r="I28" s="363">
        <f>+H28-G28</f>
        <v>-2209.3500000000004</v>
      </c>
      <c r="J28" s="363">
        <v>1</v>
      </c>
      <c r="K28" s="363">
        <v>12</v>
      </c>
      <c r="L28" s="363">
        <v>4</v>
      </c>
      <c r="M28" s="363">
        <f t="shared" si="2"/>
        <v>144000</v>
      </c>
      <c r="N28" s="363">
        <f t="shared" si="3"/>
        <v>43902.439024390245</v>
      </c>
      <c r="O28" s="366">
        <v>0</v>
      </c>
      <c r="P28" s="367">
        <f t="shared" si="5"/>
        <v>43902.439024390245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</row>
    <row r="29" spans="1:12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14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</row>
    <row r="30" spans="1:128" ht="12.7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368"/>
      <c r="N30" s="52"/>
      <c r="O30" s="5"/>
      <c r="P30" s="5"/>
      <c r="Q30" s="5"/>
      <c r="R30" s="5"/>
      <c r="S30" s="5"/>
      <c r="T30" s="5"/>
      <c r="U30" s="5"/>
      <c r="V30" s="5"/>
      <c r="W30" s="5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</row>
  </sheetData>
  <mergeCells count="16">
    <mergeCell ref="H7:P7"/>
    <mergeCell ref="O8:P8"/>
    <mergeCell ref="N8:N9"/>
    <mergeCell ref="A2:P2"/>
    <mergeCell ref="A8:A9"/>
    <mergeCell ref="B8:B9"/>
    <mergeCell ref="H8:H9"/>
    <mergeCell ref="J8:J9"/>
    <mergeCell ref="K8:L8"/>
    <mergeCell ref="M8:M9"/>
    <mergeCell ref="C7:G7"/>
    <mergeCell ref="C8:C9"/>
    <mergeCell ref="D8:D9"/>
    <mergeCell ref="E8:F8"/>
    <mergeCell ref="G8:G9"/>
    <mergeCell ref="I8:I9"/>
  </mergeCells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223"/>
  <sheetViews>
    <sheetView zoomScale="106" zoomScaleNormal="106" workbookViewId="0" xr3:uid="{85D5C41F-068E-5C55-9968-509E7C2A5619}">
      <selection activeCell="L7" sqref="L7"/>
    </sheetView>
  </sheetViews>
  <sheetFormatPr defaultColWidth="11.42578125" defaultRowHeight="11.25"/>
  <cols>
    <col min="1" max="1" width="5.42578125" style="102" customWidth="1"/>
    <col min="2" max="2" width="10.85546875" style="102" customWidth="1"/>
    <col min="3" max="3" width="7.85546875" style="103" customWidth="1"/>
    <col min="4" max="4" width="10" style="103" customWidth="1"/>
    <col min="5" max="5" width="12.28515625" style="138" customWidth="1"/>
    <col min="6" max="6" width="7.7109375" style="103" customWidth="1"/>
    <col min="7" max="7" width="12.42578125" style="103" customWidth="1"/>
    <col min="8" max="8" width="7.85546875" style="103" customWidth="1"/>
    <col min="9" max="9" width="11.28515625" style="103" customWidth="1"/>
    <col min="10" max="10" width="11" style="103" customWidth="1"/>
    <col min="11" max="11" width="7.5703125" style="103" customWidth="1"/>
    <col min="12" max="12" width="11.42578125" style="103" customWidth="1"/>
    <col min="13" max="13" width="9.28515625" style="103" customWidth="1"/>
    <col min="14" max="14" width="8.5703125" style="103" customWidth="1"/>
    <col min="15" max="15" width="11.42578125" style="103" customWidth="1"/>
    <col min="16" max="16" width="10.85546875" style="103" customWidth="1"/>
    <col min="17" max="17" width="10" style="103" customWidth="1"/>
    <col min="18" max="18" width="12" style="103" customWidth="1"/>
    <col min="19" max="21" width="9.5703125" style="103" customWidth="1"/>
    <col min="22" max="24" width="10.42578125" style="103" customWidth="1"/>
    <col min="25" max="25" width="12.85546875" style="103" customWidth="1"/>
    <col min="26" max="26" width="10.5703125" style="103" customWidth="1"/>
    <col min="27" max="27" width="7.7109375" style="103" customWidth="1"/>
    <col min="28" max="28" width="15.5703125" style="103" customWidth="1"/>
    <col min="29" max="29" width="11.42578125" style="102" customWidth="1"/>
    <col min="30" max="30" width="8.28515625" style="102" customWidth="1"/>
    <col min="31" max="31" width="10.42578125" style="102" customWidth="1"/>
    <col min="32" max="32" width="11.42578125" style="102" customWidth="1"/>
    <col min="33" max="33" width="11.42578125" style="103" customWidth="1"/>
    <col min="34" max="16384" width="11.42578125" style="103"/>
  </cols>
  <sheetData>
    <row r="1" spans="1:33">
      <c r="A1" s="103"/>
      <c r="B1" s="103"/>
    </row>
    <row r="2" spans="1:33" ht="11.25" customHeight="1">
      <c r="A2" s="282" t="s">
        <v>407</v>
      </c>
      <c r="B2" s="287" t="s">
        <v>408</v>
      </c>
      <c r="C2" s="282" t="s">
        <v>409</v>
      </c>
      <c r="D2" s="282" t="s">
        <v>410</v>
      </c>
      <c r="E2" s="282" t="s">
        <v>411</v>
      </c>
      <c r="F2" s="283" t="s">
        <v>412</v>
      </c>
      <c r="G2" s="289" t="s">
        <v>413</v>
      </c>
      <c r="H2" s="290"/>
      <c r="I2" s="291"/>
      <c r="J2" s="289" t="s">
        <v>414</v>
      </c>
      <c r="K2" s="290"/>
      <c r="L2" s="291"/>
      <c r="M2" s="286" t="s">
        <v>415</v>
      </c>
      <c r="N2" s="286"/>
      <c r="O2" s="286"/>
      <c r="P2" s="287" t="s">
        <v>416</v>
      </c>
      <c r="Q2" s="292" t="s">
        <v>417</v>
      </c>
      <c r="R2" s="294" t="s">
        <v>418</v>
      </c>
      <c r="S2" s="283" t="s">
        <v>419</v>
      </c>
      <c r="T2" s="295"/>
      <c r="U2" s="295"/>
      <c r="V2" s="295"/>
      <c r="W2" s="295"/>
      <c r="X2" s="296"/>
      <c r="Y2" s="297" t="s">
        <v>420</v>
      </c>
      <c r="Z2" s="284" t="s">
        <v>421</v>
      </c>
      <c r="AA2" s="285" t="s">
        <v>422</v>
      </c>
      <c r="AB2" s="284" t="s">
        <v>423</v>
      </c>
    </row>
    <row r="3" spans="1:33" s="104" customFormat="1" ht="39">
      <c r="A3" s="282"/>
      <c r="B3" s="288"/>
      <c r="C3" s="282"/>
      <c r="D3" s="282"/>
      <c r="E3" s="282"/>
      <c r="F3" s="282"/>
      <c r="G3" s="265" t="s">
        <v>424</v>
      </c>
      <c r="H3" s="265" t="s">
        <v>425</v>
      </c>
      <c r="I3" s="265" t="s">
        <v>426</v>
      </c>
      <c r="J3" s="265" t="s">
        <v>427</v>
      </c>
      <c r="K3" s="265" t="s">
        <v>425</v>
      </c>
      <c r="L3" s="265" t="s">
        <v>428</v>
      </c>
      <c r="M3" s="266" t="s">
        <v>6</v>
      </c>
      <c r="N3" s="266" t="s">
        <v>429</v>
      </c>
      <c r="O3" s="266" t="s">
        <v>430</v>
      </c>
      <c r="P3" s="288"/>
      <c r="Q3" s="293"/>
      <c r="R3" s="288"/>
      <c r="S3" s="265" t="s">
        <v>68</v>
      </c>
      <c r="T3" s="265" t="s">
        <v>328</v>
      </c>
      <c r="U3" s="265" t="s">
        <v>431</v>
      </c>
      <c r="V3" s="265" t="s">
        <v>432</v>
      </c>
      <c r="W3" s="265" t="s">
        <v>433</v>
      </c>
      <c r="X3" s="265" t="s">
        <v>434</v>
      </c>
      <c r="Y3" s="298"/>
      <c r="Z3" s="284"/>
      <c r="AA3" s="285"/>
      <c r="AB3" s="284"/>
      <c r="AD3" s="105" t="s">
        <v>435</v>
      </c>
    </row>
    <row r="4" spans="1:33">
      <c r="A4" s="106">
        <v>1</v>
      </c>
      <c r="B4" s="106" t="s">
        <v>436</v>
      </c>
      <c r="C4" s="106">
        <v>294484</v>
      </c>
      <c r="D4" s="107" t="s">
        <v>437</v>
      </c>
      <c r="E4" s="108" t="s">
        <v>438</v>
      </c>
      <c r="F4" s="109" t="s">
        <v>439</v>
      </c>
      <c r="G4" s="110">
        <f>+'[2]1. EL TRIUNFO'!I4+'[2]1. EL TRIUNFO'!J4</f>
        <v>533706.53735849087</v>
      </c>
      <c r="H4" s="110"/>
      <c r="I4" s="110">
        <f>SUM(G4:H4)</f>
        <v>533706.53735849087</v>
      </c>
      <c r="J4" s="110">
        <f>+'[2]1. EL TRIUNFO'!K4+'[2]1. EL TRIUNFO'!L4</f>
        <v>1374277.1473705275</v>
      </c>
      <c r="K4" s="110"/>
      <c r="L4" s="110">
        <f>SUM(J4:K4)</f>
        <v>1374277.1473705275</v>
      </c>
      <c r="M4" s="110">
        <f>+L4+I4</f>
        <v>1907983.6847290182</v>
      </c>
      <c r="N4" s="147">
        <f>+I4/M4</f>
        <v>0.27972279932482264</v>
      </c>
      <c r="O4" s="147">
        <f>+L4/M4</f>
        <v>0.72027720067517742</v>
      </c>
      <c r="P4" s="110"/>
      <c r="Q4" s="110">
        <f>+'[2]1. EL TRIUNFO'!C27</f>
        <v>69300</v>
      </c>
      <c r="R4" s="111">
        <f>+'[2]1. EL TRIUNFO'!C32</f>
        <v>22800</v>
      </c>
      <c r="S4" s="110">
        <f>+'[2]1. EL TRIUNFO'!I42</f>
        <v>131427.9</v>
      </c>
      <c r="T4" s="110">
        <f>+'[2]1. EL TRIUNFO'!J42</f>
        <v>26846.799999999999</v>
      </c>
      <c r="U4" s="110">
        <f>+'[2]1. EL TRIUNFO'!K42</f>
        <v>61750</v>
      </c>
      <c r="V4" s="111"/>
      <c r="W4" s="111">
        <f>+'[2]1. EL TRIUNFO'!C57</f>
        <v>33962</v>
      </c>
      <c r="X4" s="111">
        <f t="shared" ref="X4:X34" si="0">SUM(S4:W4)</f>
        <v>253986.69999999998</v>
      </c>
      <c r="Y4" s="110">
        <f t="shared" ref="Y4:Y67" si="1">+I4+L4+P4+Q4+R4+X4</f>
        <v>2254070.3847290184</v>
      </c>
      <c r="Z4" s="110"/>
      <c r="AA4" s="116"/>
      <c r="AB4" s="112" t="s">
        <v>440</v>
      </c>
      <c r="AC4" s="113"/>
      <c r="AD4" s="114" t="str">
        <f t="shared" ref="AD4:AD67" si="2">IF(Y4&gt;2500000,"CONTRATISTA","NE")</f>
        <v>NE</v>
      </c>
      <c r="AE4" s="110">
        <v>2254070.3847290184</v>
      </c>
      <c r="AF4" s="113">
        <f t="shared" ref="AF4:AF69" si="3">+AE4-Y4</f>
        <v>0</v>
      </c>
      <c r="AG4" s="115"/>
    </row>
    <row r="5" spans="1:33">
      <c r="A5" s="106">
        <f>+A4+1</f>
        <v>2</v>
      </c>
      <c r="B5" s="106" t="s">
        <v>436</v>
      </c>
      <c r="C5" s="106">
        <v>289814</v>
      </c>
      <c r="D5" s="107" t="s">
        <v>437</v>
      </c>
      <c r="E5" s="108" t="s">
        <v>441</v>
      </c>
      <c r="F5" s="109" t="s">
        <v>439</v>
      </c>
      <c r="G5" s="110">
        <f>+'[2]2. SELVA VERDE'!G9+'[2]2. SELVA VERDE'!H9</f>
        <v>315764.07065622695</v>
      </c>
      <c r="H5" s="110"/>
      <c r="I5" s="110">
        <f>SUM(G5:H5)</f>
        <v>315764.07065622695</v>
      </c>
      <c r="J5" s="110">
        <f>+'[2]2. SELVA VERDE'!I9+'[2]2. SELVA VERDE'!J9</f>
        <v>800138.71071982605</v>
      </c>
      <c r="K5" s="110"/>
      <c r="L5" s="110">
        <f>SUM(J5:K5)</f>
        <v>800138.71071982605</v>
      </c>
      <c r="M5" s="110">
        <f t="shared" ref="M5:M67" si="4">+L5+I5</f>
        <v>1115902.7813760531</v>
      </c>
      <c r="N5" s="147">
        <f t="shared" ref="N5:N67" si="5">+I5/M5</f>
        <v>0.28296736590874771</v>
      </c>
      <c r="O5" s="147">
        <f t="shared" ref="O5:O67" si="6">+L5/M5</f>
        <v>0.71703263409125217</v>
      </c>
      <c r="P5" s="110"/>
      <c r="Q5" s="110">
        <f>+'[2]2. SELVA VERDE'!C26</f>
        <v>57000</v>
      </c>
      <c r="R5" s="111">
        <f>+'[2]2. SELVA VERDE'!C31</f>
        <v>7800</v>
      </c>
      <c r="S5" s="110">
        <f>+'[2]2. SELVA VERDE'!H39</f>
        <v>120163.45</v>
      </c>
      <c r="T5" s="110">
        <f>+'[2]2. SELVA VERDE'!I39</f>
        <v>30647.0593220339</v>
      </c>
      <c r="U5" s="110">
        <f>+'[2]2. SELVA VERDE'!J39</f>
        <v>57375</v>
      </c>
      <c r="V5" s="111"/>
      <c r="W5" s="111">
        <f>+'[2]2. SELVA VERDE'!C57</f>
        <v>38074.9</v>
      </c>
      <c r="X5" s="111">
        <f t="shared" si="0"/>
        <v>246260.4093220339</v>
      </c>
      <c r="Y5" s="110">
        <f t="shared" si="1"/>
        <v>1426963.190698087</v>
      </c>
      <c r="Z5" s="110"/>
      <c r="AA5" s="116"/>
      <c r="AB5" s="112" t="s">
        <v>440</v>
      </c>
      <c r="AC5" s="113"/>
      <c r="AD5" s="114" t="str">
        <f t="shared" si="2"/>
        <v>NE</v>
      </c>
      <c r="AE5" s="110">
        <v>1426963.190698087</v>
      </c>
      <c r="AF5" s="113">
        <f t="shared" si="3"/>
        <v>0</v>
      </c>
      <c r="AG5" s="115"/>
    </row>
    <row r="6" spans="1:33">
      <c r="A6" s="106">
        <f t="shared" ref="A6:A69" si="7">+A5+1</f>
        <v>3</v>
      </c>
      <c r="B6" s="106" t="s">
        <v>436</v>
      </c>
      <c r="C6" s="106">
        <v>288340</v>
      </c>
      <c r="D6" s="107" t="s">
        <v>437</v>
      </c>
      <c r="E6" s="108" t="s">
        <v>442</v>
      </c>
      <c r="F6" s="109" t="s">
        <v>439</v>
      </c>
      <c r="G6" s="110">
        <f>+'[2]3. PEÑA BLANCA'!H9+'[2]3. PEÑA BLANCA'!I9</f>
        <v>967718.45717213582</v>
      </c>
      <c r="H6" s="110"/>
      <c r="I6" s="110">
        <f>SUM(G6:H6)</f>
        <v>967718.45717213582</v>
      </c>
      <c r="J6" s="110">
        <f>+'[2]3. PEÑA BLANCA'!J9+'[2]3. PEÑA BLANCA'!K9</f>
        <v>966799.24282786413</v>
      </c>
      <c r="K6" s="110"/>
      <c r="L6" s="110">
        <f>SUM(J6:K6)</f>
        <v>966799.24282786413</v>
      </c>
      <c r="M6" s="110">
        <f t="shared" si="4"/>
        <v>1934517.7</v>
      </c>
      <c r="N6" s="147">
        <f t="shared" si="5"/>
        <v>0.50023758230391779</v>
      </c>
      <c r="O6" s="147">
        <f t="shared" si="6"/>
        <v>0.49976241769608215</v>
      </c>
      <c r="P6" s="110"/>
      <c r="Q6" s="110">
        <f>+'[2]3. PEÑA BLANCA'!C68</f>
        <v>71100</v>
      </c>
      <c r="R6" s="111">
        <f>+'[2]3. PEÑA BLANCA'!C74</f>
        <v>23800</v>
      </c>
      <c r="S6" s="110">
        <f>+'[2]3. PEÑA BLANCA'!J86</f>
        <v>36150.379999999997</v>
      </c>
      <c r="T6" s="110">
        <f>+'[2]3. PEÑA BLANCA'!K86</f>
        <v>47443.199999999997</v>
      </c>
      <c r="U6" s="110">
        <f>+'[2]3. PEÑA BLANCA'!L86</f>
        <v>38500</v>
      </c>
      <c r="V6" s="111"/>
      <c r="W6" s="111">
        <f>+'[2]3. PEÑA BLANCA'!C72</f>
        <v>20222.5</v>
      </c>
      <c r="X6" s="111">
        <f t="shared" si="0"/>
        <v>142316.07999999999</v>
      </c>
      <c r="Y6" s="110">
        <f t="shared" si="1"/>
        <v>2171733.7799999998</v>
      </c>
      <c r="Z6" s="110"/>
      <c r="AA6" s="116"/>
      <c r="AB6" s="112" t="s">
        <v>440</v>
      </c>
      <c r="AC6" s="113"/>
      <c r="AD6" s="114" t="str">
        <f t="shared" si="2"/>
        <v>NE</v>
      </c>
      <c r="AE6" s="110">
        <v>2171733.7799999998</v>
      </c>
      <c r="AF6" s="113">
        <f t="shared" si="3"/>
        <v>0</v>
      </c>
      <c r="AG6" s="115"/>
    </row>
    <row r="7" spans="1:33">
      <c r="A7" s="106">
        <f t="shared" si="7"/>
        <v>4</v>
      </c>
      <c r="B7" s="106"/>
      <c r="C7" s="106">
        <v>292829</v>
      </c>
      <c r="D7" s="107" t="s">
        <v>437</v>
      </c>
      <c r="E7" s="108" t="s">
        <v>443</v>
      </c>
      <c r="F7" s="109" t="s">
        <v>439</v>
      </c>
      <c r="G7" s="110">
        <f>+'[2]4. SAN ANTONIO'!D136+'[2]4. SAN ANTONIO'!E136</f>
        <v>1166104.759513458</v>
      </c>
      <c r="H7" s="110">
        <f>+'[2]4. SAN ANTONIO'!F136</f>
        <v>209898.85348445864</v>
      </c>
      <c r="I7" s="110">
        <f>SUM(G7:H7)</f>
        <v>1376003.6129979165</v>
      </c>
      <c r="J7" s="110">
        <f>+'[2]4. SAN ANTONIO'!G136+'[2]4. SAN ANTONIO'!H136</f>
        <v>1794200.3415676325</v>
      </c>
      <c r="K7" s="110">
        <f>+'[2]4. SAN ANTONIO'!I136</f>
        <v>322956.05651554139</v>
      </c>
      <c r="L7" s="110">
        <f>SUM(J7:K7)</f>
        <v>2117156.3980831737</v>
      </c>
      <c r="M7" s="110">
        <f t="shared" si="4"/>
        <v>3493160.0110810902</v>
      </c>
      <c r="N7" s="147">
        <f t="shared" si="5"/>
        <v>0.39391370811326226</v>
      </c>
      <c r="O7" s="147">
        <f t="shared" si="6"/>
        <v>0.60608629188673779</v>
      </c>
      <c r="P7" s="110"/>
      <c r="Q7" s="110">
        <f>+'[2]4. SAN ANTONIO'!E45</f>
        <v>107452.27499999999</v>
      </c>
      <c r="R7" s="111">
        <f>+'[2]4. SAN ANTONIO'!E98</f>
        <v>23800</v>
      </c>
      <c r="S7" s="110">
        <f>+'[2]4. SAN ANTONIO'!E141</f>
        <v>100736.4133</v>
      </c>
      <c r="T7" s="110">
        <f>+'[2]4. SAN ANTONIO'!F141</f>
        <v>116364.63829999996</v>
      </c>
      <c r="U7" s="110">
        <f>+'[2]4. SAN ANTONIO'!G141</f>
        <v>88179.09</v>
      </c>
      <c r="V7" s="111"/>
      <c r="W7" s="111"/>
      <c r="X7" s="111">
        <f t="shared" si="0"/>
        <v>305280.14159999997</v>
      </c>
      <c r="Y7" s="110">
        <f t="shared" si="1"/>
        <v>3929692.4276810903</v>
      </c>
      <c r="Z7" s="110"/>
      <c r="AA7" s="116"/>
      <c r="AB7" s="112" t="s">
        <v>440</v>
      </c>
      <c r="AC7" s="113"/>
      <c r="AD7" s="114" t="str">
        <f t="shared" si="2"/>
        <v>CONTRATISTA</v>
      </c>
      <c r="AE7" s="110">
        <v>3929692.4276810903</v>
      </c>
      <c r="AF7" s="113">
        <f t="shared" si="3"/>
        <v>0</v>
      </c>
      <c r="AG7" s="115"/>
    </row>
    <row r="8" spans="1:33">
      <c r="A8" s="106">
        <f t="shared" si="7"/>
        <v>5</v>
      </c>
      <c r="B8" s="117"/>
      <c r="C8" s="117">
        <v>292608</v>
      </c>
      <c r="D8" s="107" t="s">
        <v>437</v>
      </c>
      <c r="E8" s="118" t="s">
        <v>444</v>
      </c>
      <c r="F8" s="109" t="s">
        <v>439</v>
      </c>
      <c r="G8" s="110"/>
      <c r="H8" s="110"/>
      <c r="I8" s="110">
        <f>+'[2]5. ISLA GRANDE'!I62</f>
        <v>1162550.9637150003</v>
      </c>
      <c r="J8" s="110"/>
      <c r="K8" s="110"/>
      <c r="L8" s="110">
        <f>+'[2]5. ISLA GRANDE'!M62</f>
        <v>1456093.1195999999</v>
      </c>
      <c r="M8" s="110">
        <f t="shared" si="4"/>
        <v>2618644.0833149999</v>
      </c>
      <c r="N8" s="147">
        <f t="shared" si="5"/>
        <v>0.44395149807579087</v>
      </c>
      <c r="O8" s="147">
        <f t="shared" si="6"/>
        <v>0.55604850192420918</v>
      </c>
      <c r="P8" s="110">
        <f>+'[2]5. ISLA GRANDE'!E31+'[2]5. ISLA GRANDE'!E32</f>
        <v>61950.619999999995</v>
      </c>
      <c r="Q8" s="110">
        <f>+'[2]5. ISLA GRANDE'!E30</f>
        <v>149750</v>
      </c>
      <c r="R8" s="111">
        <f>+'[2]5. ISLA GRANDE'!E37</f>
        <v>78745.86</v>
      </c>
      <c r="S8" s="110">
        <f>+'[2]5. ISLA GRANDE'!G67</f>
        <v>129740.22</v>
      </c>
      <c r="T8" s="110">
        <f>+'[2]5. ISLA GRANDE'!H67</f>
        <v>76393.69</v>
      </c>
      <c r="U8" s="110">
        <f>+'[2]5. ISLA GRANDE'!I67</f>
        <v>92199.679999999993</v>
      </c>
      <c r="V8" s="111"/>
      <c r="W8" s="111"/>
      <c r="X8" s="111">
        <f t="shared" si="0"/>
        <v>298333.58999999997</v>
      </c>
      <c r="Y8" s="110">
        <f t="shared" si="1"/>
        <v>3207424.1533149998</v>
      </c>
      <c r="Z8" s="110"/>
      <c r="AA8" s="116"/>
      <c r="AB8" s="119" t="s">
        <v>445</v>
      </c>
      <c r="AC8" s="113"/>
      <c r="AD8" s="114" t="str">
        <f t="shared" si="2"/>
        <v>CONTRATISTA</v>
      </c>
      <c r="AE8" s="110">
        <v>3207424.1533150002</v>
      </c>
      <c r="AF8" s="113">
        <f t="shared" si="3"/>
        <v>0</v>
      </c>
      <c r="AG8" s="115"/>
    </row>
    <row r="9" spans="1:33">
      <c r="A9" s="106">
        <f t="shared" si="7"/>
        <v>6</v>
      </c>
      <c r="B9" s="117"/>
      <c r="C9" s="117">
        <v>292894</v>
      </c>
      <c r="D9" s="107" t="s">
        <v>437</v>
      </c>
      <c r="E9" s="120" t="s">
        <v>446</v>
      </c>
      <c r="F9" s="109" t="s">
        <v>439</v>
      </c>
      <c r="G9" s="110"/>
      <c r="H9" s="110"/>
      <c r="I9" s="110">
        <f>+'[2]6. PERLA DEL IMAZA'!I68</f>
        <v>1134421.95</v>
      </c>
      <c r="J9" s="110"/>
      <c r="K9" s="110"/>
      <c r="L9" s="110">
        <f>+'[2]6. PERLA DEL IMAZA'!M68</f>
        <v>1243217.5000000002</v>
      </c>
      <c r="M9" s="110">
        <f t="shared" si="4"/>
        <v>2377639.4500000002</v>
      </c>
      <c r="N9" s="147">
        <f t="shared" si="5"/>
        <v>0.47712110008941844</v>
      </c>
      <c r="O9" s="147">
        <f t="shared" si="6"/>
        <v>0.52287889991058156</v>
      </c>
      <c r="P9" s="110">
        <f>+'[2]6. PERLA DEL IMAZA'!E38+'[2]6. PERLA DEL IMAZA'!E40</f>
        <v>57153.85</v>
      </c>
      <c r="Q9" s="110">
        <f>+'[2]6. PERLA DEL IMAZA'!E39</f>
        <v>118881.97</v>
      </c>
      <c r="R9" s="121"/>
      <c r="S9" s="110">
        <f>+'[2]6. PERLA DEL IMAZA'!G73</f>
        <v>75410.179999999993</v>
      </c>
      <c r="T9" s="110">
        <f>+'[2]6. PERLA DEL IMAZA'!H73</f>
        <v>61268.37</v>
      </c>
      <c r="U9" s="170"/>
      <c r="V9" s="111"/>
      <c r="W9" s="111"/>
      <c r="X9" s="111">
        <f t="shared" si="0"/>
        <v>136678.54999999999</v>
      </c>
      <c r="Y9" s="110">
        <f t="shared" si="1"/>
        <v>2690353.8200000003</v>
      </c>
      <c r="Z9" s="110"/>
      <c r="AA9" s="116"/>
      <c r="AB9" s="119" t="s">
        <v>445</v>
      </c>
      <c r="AC9" s="113"/>
      <c r="AD9" s="114" t="str">
        <f t="shared" si="2"/>
        <v>CONTRATISTA</v>
      </c>
      <c r="AE9" s="110">
        <v>2690353.82</v>
      </c>
      <c r="AF9" s="113">
        <f t="shared" si="3"/>
        <v>0</v>
      </c>
      <c r="AG9" s="115"/>
    </row>
    <row r="10" spans="1:33">
      <c r="A10" s="106">
        <f t="shared" si="7"/>
        <v>7</v>
      </c>
      <c r="B10" s="117"/>
      <c r="C10" s="117">
        <v>290932</v>
      </c>
      <c r="D10" s="122" t="s">
        <v>437</v>
      </c>
      <c r="E10" s="120" t="s">
        <v>447</v>
      </c>
      <c r="F10" s="123" t="s">
        <v>439</v>
      </c>
      <c r="G10" s="110"/>
      <c r="H10" s="110"/>
      <c r="I10" s="110">
        <f>+'[2]7. DUELAC'!I62</f>
        <v>1155633.27</v>
      </c>
      <c r="J10" s="110"/>
      <c r="K10" s="110"/>
      <c r="L10" s="110">
        <f>+'[2]7. DUELAC'!M62</f>
        <v>997273.41999999993</v>
      </c>
      <c r="M10" s="110">
        <f t="shared" si="4"/>
        <v>2152906.69</v>
      </c>
      <c r="N10" s="147">
        <f t="shared" si="5"/>
        <v>0.53677814991600958</v>
      </c>
      <c r="O10" s="147">
        <f t="shared" si="6"/>
        <v>0.46322185008399036</v>
      </c>
      <c r="P10" s="110">
        <f>+'[2]7. DUELAC'!E31+'[2]7. DUELAC'!E33</f>
        <v>57153.85</v>
      </c>
      <c r="Q10" s="110">
        <f>+'[2]7. DUELAC'!E32</f>
        <v>77809.2</v>
      </c>
      <c r="R10" s="121"/>
      <c r="S10" s="110">
        <f>+'[2]7. DUELAC'!G67</f>
        <v>61839.414367873891</v>
      </c>
      <c r="T10" s="110">
        <f>+'[2]7. DUELAC'!H67</f>
        <v>47697.605277373907</v>
      </c>
      <c r="U10" s="110">
        <f>+'[2]7. DUELAC'!I67</f>
        <v>27141.528424500008</v>
      </c>
      <c r="V10" s="111">
        <f>+'[2]7. DUELAC'!E36</f>
        <v>23129.200000000001</v>
      </c>
      <c r="W10" s="111"/>
      <c r="X10" s="111">
        <f t="shared" si="0"/>
        <v>159807.74806974782</v>
      </c>
      <c r="Y10" s="110">
        <f t="shared" si="1"/>
        <v>2447677.488069748</v>
      </c>
      <c r="Z10" s="110"/>
      <c r="AA10" s="116"/>
      <c r="AB10" s="119" t="s">
        <v>445</v>
      </c>
      <c r="AC10" s="113"/>
      <c r="AD10" s="114" t="str">
        <f t="shared" si="2"/>
        <v>NE</v>
      </c>
      <c r="AE10" s="110">
        <v>2447677.4900000002</v>
      </c>
      <c r="AF10" s="113">
        <f t="shared" si="3"/>
        <v>1.9302521832287312E-3</v>
      </c>
      <c r="AG10" s="115"/>
    </row>
    <row r="11" spans="1:33">
      <c r="A11" s="106">
        <f t="shared" si="7"/>
        <v>8</v>
      </c>
      <c r="B11" s="124"/>
      <c r="C11" s="124">
        <v>292630</v>
      </c>
      <c r="D11" s="122" t="s">
        <v>437</v>
      </c>
      <c r="E11" s="125" t="s">
        <v>448</v>
      </c>
      <c r="F11" s="123" t="s">
        <v>449</v>
      </c>
      <c r="G11" s="111">
        <f>+'[2]8. ACHU'!C17+'[2]8. ACHU'!D17</f>
        <v>1415670.8750000002</v>
      </c>
      <c r="H11" s="110">
        <f>SUM('[2]8. ACHU'!F6:F16)</f>
        <v>254820.75750000001</v>
      </c>
      <c r="I11" s="110">
        <f>SUM(G11:H11)</f>
        <v>1670491.6325000003</v>
      </c>
      <c r="J11" s="110">
        <f>SUM('[2]8. ACHU'!C30:C37)+SUM('[2]8. ACHU'!D30:D37)</f>
        <v>4335826.55</v>
      </c>
      <c r="K11" s="110">
        <f>SUM('[2]8. ACHU'!F30:F37)</f>
        <v>780448.7790000001</v>
      </c>
      <c r="L11" s="110">
        <f>SUM(J11:K11)</f>
        <v>5116275.3289999999</v>
      </c>
      <c r="M11" s="110">
        <f t="shared" si="4"/>
        <v>6786766.9615000002</v>
      </c>
      <c r="N11" s="147">
        <f t="shared" si="5"/>
        <v>0.2461395303502201</v>
      </c>
      <c r="O11" s="147">
        <f t="shared" si="6"/>
        <v>0.75386046964977993</v>
      </c>
      <c r="P11" s="110">
        <f>+'[2]8. ACHU'!G22+'[2]8. ACHU'!G43</f>
        <v>44452.229999999996</v>
      </c>
      <c r="Q11" s="110">
        <f>+'[2]8. ACHU'!G18+'[2]8. ACHU'!G39</f>
        <v>339338.35</v>
      </c>
      <c r="R11" s="110"/>
      <c r="S11" s="110">
        <f>+'[2]8. ACHU'!N13</f>
        <v>121609.48000000001</v>
      </c>
      <c r="T11" s="110">
        <f>+'[2]8. ACHU'!O13</f>
        <v>71440.040000000008</v>
      </c>
      <c r="U11" s="110">
        <f>+'[2]8. ACHU'!P13</f>
        <v>38609.9</v>
      </c>
      <c r="V11" s="111"/>
      <c r="W11" s="111"/>
      <c r="X11" s="111">
        <f t="shared" si="0"/>
        <v>231659.42</v>
      </c>
      <c r="Y11" s="110">
        <f t="shared" si="1"/>
        <v>7402216.9615000002</v>
      </c>
      <c r="Z11" s="110">
        <f>+'[2]8. ACHU'!I23+'[2]8. ACHU'!$I$44</f>
        <v>6055577.2091511702</v>
      </c>
      <c r="AA11" s="116">
        <f>+Z11/Y11</f>
        <v>0.81807615754132879</v>
      </c>
      <c r="AB11" s="119" t="s">
        <v>450</v>
      </c>
      <c r="AC11" s="113"/>
      <c r="AD11" s="114" t="str">
        <f t="shared" si="2"/>
        <v>CONTRATISTA</v>
      </c>
      <c r="AE11" s="110">
        <v>7402216.9615000002</v>
      </c>
      <c r="AF11" s="113">
        <f t="shared" si="3"/>
        <v>0</v>
      </c>
      <c r="AG11" s="115"/>
    </row>
    <row r="12" spans="1:33">
      <c r="A12" s="106">
        <f t="shared" si="7"/>
        <v>9</v>
      </c>
      <c r="B12" s="117"/>
      <c r="C12" s="117">
        <v>292440</v>
      </c>
      <c r="D12" s="122" t="s">
        <v>437</v>
      </c>
      <c r="E12" s="120" t="s">
        <v>451</v>
      </c>
      <c r="F12" s="123" t="s">
        <v>449</v>
      </c>
      <c r="G12" s="111"/>
      <c r="H12" s="111"/>
      <c r="I12" s="110">
        <f>+'[2]9. ALTO PAJAKUS'!I61</f>
        <v>1012323.43</v>
      </c>
      <c r="J12" s="111"/>
      <c r="K12" s="111"/>
      <c r="L12" s="110">
        <f>+'[2]9. ALTO PAJAKUS'!M61</f>
        <v>1253689.8899999999</v>
      </c>
      <c r="M12" s="110">
        <f t="shared" si="4"/>
        <v>2266013.3199999998</v>
      </c>
      <c r="N12" s="147">
        <f t="shared" si="5"/>
        <v>0.44674204739449641</v>
      </c>
      <c r="O12" s="147">
        <f t="shared" si="6"/>
        <v>0.5532579526055037</v>
      </c>
      <c r="P12" s="111">
        <f>+'[2]9. ALTO PAJAKUS'!E34+'[2]9. ALTO PAJAKUS'!E35</f>
        <v>61643</v>
      </c>
      <c r="Q12" s="111">
        <f>+'[2]9. ALTO PAJAKUS'!E29</f>
        <v>100157.79</v>
      </c>
      <c r="R12" s="111">
        <f>+'[2]9. ALTO PAJAKUS'!E32</f>
        <v>78745.86</v>
      </c>
      <c r="S12" s="111">
        <f>+'[2]9. ALTO PAJAKUS'!G66</f>
        <v>114914.2</v>
      </c>
      <c r="T12" s="111">
        <f>+'[2]9. ALTO PAJAKUS'!H66</f>
        <v>77567.11</v>
      </c>
      <c r="U12" s="111">
        <f>+'[2]9. ALTO PAJAKUS'!I66</f>
        <v>54245.440000000002</v>
      </c>
      <c r="V12" s="111"/>
      <c r="W12" s="111"/>
      <c r="X12" s="111">
        <f t="shared" si="0"/>
        <v>246726.75</v>
      </c>
      <c r="Y12" s="110">
        <f t="shared" si="1"/>
        <v>2753286.7199999997</v>
      </c>
      <c r="Z12" s="111"/>
      <c r="AA12" s="116"/>
      <c r="AB12" s="119" t="s">
        <v>445</v>
      </c>
      <c r="AC12" s="113"/>
      <c r="AD12" s="114" t="str">
        <f t="shared" si="2"/>
        <v>CONTRATISTA</v>
      </c>
      <c r="AE12" s="110">
        <v>2753286.7199999997</v>
      </c>
      <c r="AF12" s="113">
        <f t="shared" si="3"/>
        <v>0</v>
      </c>
      <c r="AG12" s="115"/>
    </row>
    <row r="13" spans="1:33">
      <c r="A13" s="106">
        <f t="shared" si="7"/>
        <v>10</v>
      </c>
      <c r="B13" s="117"/>
      <c r="C13" s="117">
        <v>292598</v>
      </c>
      <c r="D13" s="122" t="s">
        <v>437</v>
      </c>
      <c r="E13" s="108" t="s">
        <v>452</v>
      </c>
      <c r="F13" s="123" t="s">
        <v>449</v>
      </c>
      <c r="G13" s="111"/>
      <c r="H13" s="111"/>
      <c r="I13" s="110">
        <f>+'[2]10. HEBRON'!I71</f>
        <v>873059.91</v>
      </c>
      <c r="J13" s="111"/>
      <c r="K13" s="111"/>
      <c r="L13" s="110">
        <f>+'[2]10. HEBRON'!M71</f>
        <v>1179865.1100000001</v>
      </c>
      <c r="M13" s="110">
        <f t="shared" si="4"/>
        <v>2052925.02</v>
      </c>
      <c r="N13" s="147">
        <f t="shared" si="5"/>
        <v>0.42527608241629788</v>
      </c>
      <c r="O13" s="147">
        <f t="shared" si="6"/>
        <v>0.57472391758370212</v>
      </c>
      <c r="P13" s="111">
        <f>+'[2]10. HEBRON'!E44+'[2]10. HEBRON'!E45</f>
        <v>63132.23</v>
      </c>
      <c r="Q13" s="111">
        <f>+'[2]10. HEBRON'!E42</f>
        <v>102646.25</v>
      </c>
      <c r="R13" s="111"/>
      <c r="S13" s="111">
        <f>+'[2]10. HEBRON'!G76</f>
        <v>86908.77</v>
      </c>
      <c r="T13" s="111">
        <f>+'[2]10. HEBRON'!H76</f>
        <v>41866.99</v>
      </c>
      <c r="U13" s="111">
        <f>+'[2]10. HEBRON'!I76</f>
        <v>19316.36</v>
      </c>
      <c r="V13" s="111"/>
      <c r="W13" s="111"/>
      <c r="X13" s="111">
        <f t="shared" si="0"/>
        <v>148092.12</v>
      </c>
      <c r="Y13" s="110">
        <f t="shared" si="1"/>
        <v>2366795.62</v>
      </c>
      <c r="Z13" s="111"/>
      <c r="AA13" s="116"/>
      <c r="AB13" s="119" t="s">
        <v>445</v>
      </c>
      <c r="AC13" s="113"/>
      <c r="AD13" s="114" t="str">
        <f t="shared" si="2"/>
        <v>NE</v>
      </c>
      <c r="AE13" s="110">
        <v>2366795.62</v>
      </c>
      <c r="AF13" s="113">
        <f t="shared" si="3"/>
        <v>0</v>
      </c>
      <c r="AG13" s="115"/>
    </row>
    <row r="14" spans="1:33">
      <c r="A14" s="106">
        <f t="shared" si="7"/>
        <v>11</v>
      </c>
      <c r="B14" s="117"/>
      <c r="C14" s="117">
        <v>292482</v>
      </c>
      <c r="D14" s="122" t="s">
        <v>437</v>
      </c>
      <c r="E14" s="108" t="s">
        <v>453</v>
      </c>
      <c r="F14" s="123" t="s">
        <v>449</v>
      </c>
      <c r="G14" s="111"/>
      <c r="H14" s="111"/>
      <c r="I14" s="110">
        <f>+'[2]11. SEASME'!I75</f>
        <v>1728114.75</v>
      </c>
      <c r="J14" s="111"/>
      <c r="K14" s="111"/>
      <c r="L14" s="110">
        <f>+'[2]11. SEASME'!M75</f>
        <v>2639180.96</v>
      </c>
      <c r="M14" s="110">
        <f t="shared" si="4"/>
        <v>4367295.71</v>
      </c>
      <c r="N14" s="147">
        <f t="shared" si="5"/>
        <v>0.39569446741219177</v>
      </c>
      <c r="O14" s="147">
        <f t="shared" si="6"/>
        <v>0.60430553258780817</v>
      </c>
      <c r="P14" s="111">
        <f>+'[2]11. SEASME'!E48+'[2]11. SEASME'!E49</f>
        <v>63132.23</v>
      </c>
      <c r="Q14" s="111">
        <f>+'[2]11. SEASME'!E46</f>
        <v>218364.79</v>
      </c>
      <c r="R14" s="111"/>
      <c r="S14" s="111">
        <f>+'[2]11. SEASME'!G80</f>
        <v>93725.04</v>
      </c>
      <c r="T14" s="111">
        <f>+'[2]11. SEASME'!H80</f>
        <v>41866.99</v>
      </c>
      <c r="U14" s="111">
        <f>+'[2]11. SEASME'!I80</f>
        <v>20338.8</v>
      </c>
      <c r="V14" s="111"/>
      <c r="W14" s="111"/>
      <c r="X14" s="111">
        <f t="shared" si="0"/>
        <v>155930.82999999999</v>
      </c>
      <c r="Y14" s="110">
        <f t="shared" si="1"/>
        <v>4804723.5600000005</v>
      </c>
      <c r="Z14" s="111"/>
      <c r="AA14" s="116"/>
      <c r="AB14" s="119" t="s">
        <v>445</v>
      </c>
      <c r="AC14" s="113"/>
      <c r="AD14" s="114" t="str">
        <f t="shared" si="2"/>
        <v>CONTRATISTA</v>
      </c>
      <c r="AE14" s="110">
        <v>4804723.5600000005</v>
      </c>
      <c r="AF14" s="113">
        <f t="shared" si="3"/>
        <v>0</v>
      </c>
      <c r="AG14" s="115"/>
    </row>
    <row r="15" spans="1:33">
      <c r="A15" s="106">
        <f t="shared" si="7"/>
        <v>12</v>
      </c>
      <c r="B15" s="117"/>
      <c r="C15" s="117">
        <v>292468</v>
      </c>
      <c r="D15" s="122" t="s">
        <v>437</v>
      </c>
      <c r="E15" s="125" t="s">
        <v>454</v>
      </c>
      <c r="F15" s="123" t="s">
        <v>449</v>
      </c>
      <c r="G15" s="111"/>
      <c r="H15" s="111"/>
      <c r="I15" s="110">
        <f>+'[2]12. KAYAMAS'!I68</f>
        <v>1110368.1100000001</v>
      </c>
      <c r="J15" s="111"/>
      <c r="K15" s="111"/>
      <c r="L15" s="110">
        <f>+'[2]12. KAYAMAS'!M68</f>
        <v>2161890.41</v>
      </c>
      <c r="M15" s="110">
        <f t="shared" si="4"/>
        <v>3272258.5200000005</v>
      </c>
      <c r="N15" s="147">
        <f t="shared" si="5"/>
        <v>0.3393277466353728</v>
      </c>
      <c r="O15" s="147">
        <f t="shared" si="6"/>
        <v>0.66067225336462709</v>
      </c>
      <c r="P15" s="111">
        <f>+'[2]12. KAYAMAS'!E41+'[2]12. KAYAMAS'!E42</f>
        <v>63132.23</v>
      </c>
      <c r="Q15" s="111">
        <f>+'[2]12. KAYAMAS'!E39</f>
        <v>163612.93</v>
      </c>
      <c r="R15" s="111"/>
      <c r="S15" s="111">
        <f>+'[2]12. KAYAMAS'!G73</f>
        <v>93725.04</v>
      </c>
      <c r="T15" s="111">
        <f>+'[2]12. KAYAMAS'!H73</f>
        <v>41866.99</v>
      </c>
      <c r="U15" s="111">
        <f>+'[2]12. KAYAMAS'!I73</f>
        <v>20338.8</v>
      </c>
      <c r="V15" s="111"/>
      <c r="W15" s="111"/>
      <c r="X15" s="111">
        <f t="shared" si="0"/>
        <v>155930.82999999999</v>
      </c>
      <c r="Y15" s="110">
        <f t="shared" si="1"/>
        <v>3654934.5100000007</v>
      </c>
      <c r="Z15" s="111"/>
      <c r="AA15" s="116"/>
      <c r="AB15" s="119" t="s">
        <v>445</v>
      </c>
      <c r="AC15" s="113"/>
      <c r="AD15" s="114" t="str">
        <f t="shared" si="2"/>
        <v>CONTRATISTA</v>
      </c>
      <c r="AE15" s="110">
        <v>3654934.5100000007</v>
      </c>
      <c r="AF15" s="113">
        <f t="shared" si="3"/>
        <v>0</v>
      </c>
      <c r="AG15" s="115"/>
    </row>
    <row r="16" spans="1:33">
      <c r="A16" s="106">
        <f t="shared" si="7"/>
        <v>13</v>
      </c>
      <c r="B16" s="126"/>
      <c r="C16" s="126">
        <v>292732</v>
      </c>
      <c r="D16" s="122" t="s">
        <v>437</v>
      </c>
      <c r="E16" s="125" t="s">
        <v>455</v>
      </c>
      <c r="F16" s="127" t="s">
        <v>449</v>
      </c>
      <c r="G16" s="128">
        <f>+'[2]13. TUTIN'!E57+'[2]13. TUTIN'!F57</f>
        <v>820259.53106399032</v>
      </c>
      <c r="H16" s="128">
        <f>+'[2]13. TUTIN'!G57</f>
        <v>147646.71559151827</v>
      </c>
      <c r="I16" s="110">
        <f t="shared" ref="I16:I42" si="8">SUM(G16:H16)</f>
        <v>967906.24665550864</v>
      </c>
      <c r="J16" s="128">
        <f>+'[2]13. TUTIN'!I57+'[2]13. TUTIN'!J57</f>
        <v>2116484.5419360097</v>
      </c>
      <c r="K16" s="128">
        <f>+'[2]13. TUTIN'!K57</f>
        <v>380967.21754848171</v>
      </c>
      <c r="L16" s="110">
        <f t="shared" ref="L16:L42" si="9">SUM(J16:K16)</f>
        <v>2497451.7594844913</v>
      </c>
      <c r="M16" s="110">
        <f t="shared" si="4"/>
        <v>3465358.0061400002</v>
      </c>
      <c r="N16" s="147">
        <f t="shared" si="5"/>
        <v>0.27930916371138287</v>
      </c>
      <c r="O16" s="147">
        <f t="shared" si="6"/>
        <v>0.72069083628861708</v>
      </c>
      <c r="P16" s="128">
        <f>+'[2]13. TUTIN'!H100+'[2]13. TUTIN'!H119+'[2]13. TUTIN'!D28</f>
        <v>61950.59</v>
      </c>
      <c r="Q16" s="128">
        <f>+'[2]13. TUTIN'!H96+'[2]13. TUTIN'!H115</f>
        <v>149750</v>
      </c>
      <c r="R16" s="128"/>
      <c r="S16" s="128">
        <f>+'[2]13. TUTIN'!F62</f>
        <v>129740.22277333333</v>
      </c>
      <c r="T16" s="128">
        <f>+'[2]13. TUTIN'!G62</f>
        <v>76393.686296153843</v>
      </c>
      <c r="U16" s="128">
        <f>+'[2]13. TUTIN'!H62</f>
        <v>125004.08927249999</v>
      </c>
      <c r="V16" s="128"/>
      <c r="W16" s="128"/>
      <c r="X16" s="111">
        <f t="shared" si="0"/>
        <v>331137.99834198714</v>
      </c>
      <c r="Y16" s="110">
        <f t="shared" si="1"/>
        <v>4008196.5944819869</v>
      </c>
      <c r="Z16" s="128">
        <f>+'[2]13. TUTIN'!J127</f>
        <v>2940103.7143703573</v>
      </c>
      <c r="AA16" s="116">
        <f>+Z16/Y16</f>
        <v>0.73352283129473883</v>
      </c>
      <c r="AB16" s="112" t="s">
        <v>456</v>
      </c>
      <c r="AC16" s="113"/>
      <c r="AD16" s="114" t="str">
        <f t="shared" si="2"/>
        <v>CONTRATISTA</v>
      </c>
      <c r="AE16" s="110">
        <v>4008196.5944819869</v>
      </c>
      <c r="AF16" s="113">
        <f t="shared" si="3"/>
        <v>0</v>
      </c>
      <c r="AG16" s="115"/>
    </row>
    <row r="17" spans="1:33">
      <c r="A17" s="106">
        <f t="shared" si="7"/>
        <v>14</v>
      </c>
      <c r="B17" s="129"/>
      <c r="C17" s="129">
        <v>299031</v>
      </c>
      <c r="D17" s="107" t="s">
        <v>457</v>
      </c>
      <c r="E17" s="125" t="s">
        <v>458</v>
      </c>
      <c r="F17" s="109" t="s">
        <v>459</v>
      </c>
      <c r="G17" s="111">
        <f>+'[2]14. TAMBOCUCHO PDF'!D102+'[2]14. TAMBOCUCHO PDF'!E102</f>
        <v>671768.88621863478</v>
      </c>
      <c r="H17" s="111"/>
      <c r="I17" s="110">
        <f t="shared" si="8"/>
        <v>671768.88621863478</v>
      </c>
      <c r="J17" s="111">
        <f>+'[2]14. TAMBOCUCHO PDF'!H102+'[2]14. TAMBOCUCHO PDF'!I102</f>
        <v>1052254.0337813653</v>
      </c>
      <c r="K17" s="111"/>
      <c r="L17" s="110">
        <f t="shared" si="9"/>
        <v>1052254.0337813653</v>
      </c>
      <c r="M17" s="110">
        <f t="shared" si="4"/>
        <v>1724022.92</v>
      </c>
      <c r="N17" s="147">
        <f t="shared" si="5"/>
        <v>0.3896519462853979</v>
      </c>
      <c r="O17" s="147">
        <f t="shared" si="6"/>
        <v>0.61034805371460221</v>
      </c>
      <c r="P17" s="111"/>
      <c r="Q17" s="111">
        <f>+'[2]14. TAMBOCUCHO PDF'!C27</f>
        <v>79800</v>
      </c>
      <c r="R17" s="111">
        <f>+'[2]14. TAMBOCUCHO PDF'!C76</f>
        <v>22800</v>
      </c>
      <c r="S17" s="111">
        <f>+'[2]14. TAMBOCUCHO PDF'!E107</f>
        <v>66422.2</v>
      </c>
      <c r="T17" s="111">
        <f>+'[2]14. TAMBOCUCHO PDF'!F107</f>
        <v>72888.87</v>
      </c>
      <c r="U17" s="111">
        <f>+'[2]14. TAMBOCUCHO PDF'!G107</f>
        <v>66700</v>
      </c>
      <c r="V17" s="111"/>
      <c r="W17" s="111">
        <f>+'[2]14. TAMBOCUCHO PDF'!C121</f>
        <v>62996.7</v>
      </c>
      <c r="X17" s="111">
        <f t="shared" si="0"/>
        <v>269007.77</v>
      </c>
      <c r="Y17" s="110">
        <f t="shared" si="1"/>
        <v>2095630.69</v>
      </c>
      <c r="Z17" s="111"/>
      <c r="AA17" s="116"/>
      <c r="AB17" s="112" t="s">
        <v>440</v>
      </c>
      <c r="AC17" s="113"/>
      <c r="AD17" s="114" t="str">
        <f t="shared" si="2"/>
        <v>NE</v>
      </c>
      <c r="AE17" s="110">
        <v>2095630.69</v>
      </c>
      <c r="AF17" s="113">
        <f t="shared" si="3"/>
        <v>0</v>
      </c>
      <c r="AG17" s="115"/>
    </row>
    <row r="18" spans="1:33">
      <c r="A18" s="106">
        <f t="shared" si="7"/>
        <v>15</v>
      </c>
      <c r="B18" s="129"/>
      <c r="C18" s="129">
        <v>299036</v>
      </c>
      <c r="D18" s="107" t="s">
        <v>457</v>
      </c>
      <c r="E18" s="125" t="s">
        <v>460</v>
      </c>
      <c r="F18" s="109" t="s">
        <v>459</v>
      </c>
      <c r="G18" s="111">
        <f>+'[2]15. CCATUS URCUS PDF'!D106+'[2]15. CCATUS URCUS PDF'!E106</f>
        <v>422097.16767945839</v>
      </c>
      <c r="H18" s="111"/>
      <c r="I18" s="110">
        <f t="shared" si="8"/>
        <v>422097.16767945839</v>
      </c>
      <c r="J18" s="111">
        <f>+'[2]15. CCATUS URCUS PDF'!H106+'[2]15. CCATUS URCUS PDF'!I106</f>
        <v>1442937.7323205415</v>
      </c>
      <c r="K18" s="111"/>
      <c r="L18" s="110">
        <f t="shared" si="9"/>
        <v>1442937.7323205415</v>
      </c>
      <c r="M18" s="110">
        <f t="shared" si="4"/>
        <v>1865034.9</v>
      </c>
      <c r="N18" s="147">
        <f t="shared" si="5"/>
        <v>0.2263213238955788</v>
      </c>
      <c r="O18" s="147">
        <f t="shared" si="6"/>
        <v>0.7736786761044212</v>
      </c>
      <c r="P18" s="111"/>
      <c r="Q18" s="111">
        <f>+'[2]15. CCATUS URCUS PDF'!C27</f>
        <v>79800</v>
      </c>
      <c r="R18" s="111">
        <f>+'[2]15. CCATUS URCUS PDF'!C76</f>
        <v>22800</v>
      </c>
      <c r="S18" s="111">
        <f>+'[2]15. CCATUS URCUS PDF'!E111</f>
        <v>70556.5</v>
      </c>
      <c r="T18" s="111">
        <f>+'[2]15. CCATUS URCUS PDF'!F111</f>
        <v>73052.070000000007</v>
      </c>
      <c r="U18" s="111">
        <f>+'[2]15. CCATUS URCUS PDF'!G111</f>
        <v>66700</v>
      </c>
      <c r="V18" s="111"/>
      <c r="W18" s="111">
        <f>+'[2]15. CCATUS URCUS PDF'!C125</f>
        <v>63136.1</v>
      </c>
      <c r="X18" s="111">
        <f t="shared" si="0"/>
        <v>273444.67</v>
      </c>
      <c r="Y18" s="110">
        <f t="shared" si="1"/>
        <v>2241079.5699999998</v>
      </c>
      <c r="Z18" s="111"/>
      <c r="AA18" s="116"/>
      <c r="AB18" s="112" t="s">
        <v>440</v>
      </c>
      <c r="AC18" s="113"/>
      <c r="AD18" s="114" t="str">
        <f t="shared" si="2"/>
        <v>NE</v>
      </c>
      <c r="AE18" s="110">
        <v>2241079.5699999998</v>
      </c>
      <c r="AF18" s="113">
        <f t="shared" si="3"/>
        <v>0</v>
      </c>
      <c r="AG18" s="115"/>
    </row>
    <row r="19" spans="1:33">
      <c r="A19" s="106">
        <f t="shared" si="7"/>
        <v>16</v>
      </c>
      <c r="B19" s="129" t="s">
        <v>436</v>
      </c>
      <c r="C19" s="129">
        <v>297649</v>
      </c>
      <c r="D19" s="130" t="s">
        <v>461</v>
      </c>
      <c r="E19" s="120" t="s">
        <v>462</v>
      </c>
      <c r="F19" s="123" t="s">
        <v>459</v>
      </c>
      <c r="G19" s="111">
        <f>+'[2]16. CADMALCA ALTO'!E41+'[2]16. CADMALCA ALTO'!F41</f>
        <v>1785984.6301521417</v>
      </c>
      <c r="H19" s="111">
        <f>+'[2]16. CADMALCA ALTO'!G41</f>
        <v>321477.23342738551</v>
      </c>
      <c r="I19" s="110">
        <f t="shared" si="8"/>
        <v>2107461.863579527</v>
      </c>
      <c r="J19" s="111">
        <f>+'[2]16. CADMALCA ALTO'!H41+'[2]16. CADMALCA ALTO'!I41</f>
        <v>2499774.5798478588</v>
      </c>
      <c r="K19" s="111">
        <f>+'[2]16. CADMALCA ALTO'!J41</f>
        <v>449959.42437261454</v>
      </c>
      <c r="L19" s="110">
        <f t="shared" si="9"/>
        <v>2949734.0042204731</v>
      </c>
      <c r="M19" s="110">
        <f t="shared" si="4"/>
        <v>5057195.8678000001</v>
      </c>
      <c r="N19" s="147">
        <f t="shared" si="5"/>
        <v>0.41672537878117083</v>
      </c>
      <c r="O19" s="147">
        <f t="shared" si="6"/>
        <v>0.58327462121882911</v>
      </c>
      <c r="P19" s="111"/>
      <c r="Q19" s="111">
        <f>+'[2]16. CADMALCA ALTO'!F16</f>
        <v>192883.98</v>
      </c>
      <c r="R19" s="111">
        <f>+'[2]16. CADMALCA ALTO'!F17</f>
        <v>24050</v>
      </c>
      <c r="S19" s="111">
        <f>+'[2]16. CADMALCA ALTO'!G49</f>
        <v>90271.381207922095</v>
      </c>
      <c r="T19" s="111">
        <f>+'[2]16. CADMALCA ALTO'!H49</f>
        <v>90766.555139540811</v>
      </c>
      <c r="U19" s="111">
        <f>+'[2]16. CADMALCA ALTO'!I49</f>
        <v>94631.87</v>
      </c>
      <c r="V19" s="111"/>
      <c r="W19" s="111"/>
      <c r="X19" s="111">
        <f t="shared" si="0"/>
        <v>275669.80634746293</v>
      </c>
      <c r="Y19" s="110">
        <f t="shared" si="1"/>
        <v>5549799.6541474639</v>
      </c>
      <c r="Z19" s="111"/>
      <c r="AA19" s="116"/>
      <c r="AB19" s="112" t="s">
        <v>440</v>
      </c>
      <c r="AC19" s="113"/>
      <c r="AD19" s="114" t="str">
        <f t="shared" si="2"/>
        <v>CONTRATISTA</v>
      </c>
      <c r="AE19" s="110">
        <v>5549799.6541474639</v>
      </c>
      <c r="AF19" s="113">
        <f t="shared" si="3"/>
        <v>0</v>
      </c>
      <c r="AG19" s="115"/>
    </row>
    <row r="20" spans="1:33">
      <c r="A20" s="106">
        <f t="shared" si="7"/>
        <v>17</v>
      </c>
      <c r="B20" s="129" t="s">
        <v>436</v>
      </c>
      <c r="C20" s="129">
        <v>289642</v>
      </c>
      <c r="D20" s="130" t="s">
        <v>461</v>
      </c>
      <c r="E20" s="120" t="s">
        <v>463</v>
      </c>
      <c r="F20" s="123" t="s">
        <v>439</v>
      </c>
      <c r="G20" s="111">
        <f>+'[2]17. LANCHEPATA'!G12+'[2]17. LANCHEPATA'!H12</f>
        <v>1399494.6150653935</v>
      </c>
      <c r="H20" s="111">
        <f>+'[2]17. LANCHEPATA'!I12</f>
        <v>251909.03071177081</v>
      </c>
      <c r="I20" s="110">
        <f t="shared" si="8"/>
        <v>1651403.6457771643</v>
      </c>
      <c r="J20" s="111">
        <f>+'[2]17. LANCHEPATA'!J12+'[2]17. LANCHEPATA'!K12</f>
        <v>1362520.8728342077</v>
      </c>
      <c r="K20" s="111">
        <f>+'[2]17. LANCHEPATA'!L12</f>
        <v>245253.75711015737</v>
      </c>
      <c r="L20" s="110">
        <f t="shared" si="9"/>
        <v>1607774.629944365</v>
      </c>
      <c r="M20" s="110">
        <f t="shared" si="4"/>
        <v>3259178.2757215295</v>
      </c>
      <c r="N20" s="147">
        <f t="shared" si="5"/>
        <v>0.50669325396493392</v>
      </c>
      <c r="O20" s="147">
        <f t="shared" si="6"/>
        <v>0.49330674603506602</v>
      </c>
      <c r="P20" s="111"/>
      <c r="Q20" s="111">
        <f>+'[2]17. LANCHEPATA'!E21</f>
        <v>129703.710112</v>
      </c>
      <c r="R20" s="111">
        <f>+'[2]17. LANCHEPATA'!E25</f>
        <v>24300</v>
      </c>
      <c r="S20" s="111">
        <f>+'[2]17. LANCHEPATA'!M20</f>
        <v>191095.91878502068</v>
      </c>
      <c r="T20" s="111">
        <f>+'[2]17. LANCHEPATA'!N20</f>
        <v>39648.888814979335</v>
      </c>
      <c r="U20" s="111">
        <f>+'[2]17. LANCHEPATA'!O20</f>
        <v>94379.199999999997</v>
      </c>
      <c r="V20" s="111"/>
      <c r="W20" s="111"/>
      <c r="X20" s="111">
        <f t="shared" si="0"/>
        <v>325124.00760000001</v>
      </c>
      <c r="Y20" s="110">
        <f t="shared" si="1"/>
        <v>3738305.9934335295</v>
      </c>
      <c r="Z20" s="111"/>
      <c r="AA20" s="116"/>
      <c r="AB20" s="112" t="s">
        <v>440</v>
      </c>
      <c r="AC20" s="113"/>
      <c r="AD20" s="114" t="str">
        <f t="shared" si="2"/>
        <v>CONTRATISTA</v>
      </c>
      <c r="AE20" s="110">
        <v>3738305.993433529</v>
      </c>
      <c r="AF20" s="113">
        <f t="shared" si="3"/>
        <v>0</v>
      </c>
      <c r="AG20" s="115"/>
    </row>
    <row r="21" spans="1:33">
      <c r="A21" s="106">
        <f t="shared" si="7"/>
        <v>18</v>
      </c>
      <c r="B21" s="129" t="s">
        <v>436</v>
      </c>
      <c r="C21" s="129">
        <v>297653</v>
      </c>
      <c r="D21" s="130" t="s">
        <v>461</v>
      </c>
      <c r="E21" s="120" t="s">
        <v>464</v>
      </c>
      <c r="F21" s="123" t="s">
        <v>459</v>
      </c>
      <c r="G21" s="111">
        <f>+'[2]18. CADMALCA BAJO'!E46+'[2]18. CADMALCA BAJO'!F46</f>
        <v>2489759.4662187323</v>
      </c>
      <c r="H21" s="111">
        <f>+'[2]18. CADMALCA BAJO'!G46</f>
        <v>448156.70391937182</v>
      </c>
      <c r="I21" s="110">
        <f t="shared" si="8"/>
        <v>2937916.1701381039</v>
      </c>
      <c r="J21" s="111">
        <f>+'[2]18. CADMALCA BAJO'!H46+'[2]18. CADMALCA BAJO'!I46</f>
        <v>3402785.2137812674</v>
      </c>
      <c r="K21" s="111">
        <f>+'[2]18. CADMALCA BAJO'!J46</f>
        <v>612501.3384806281</v>
      </c>
      <c r="L21" s="110">
        <f t="shared" si="9"/>
        <v>4015286.5522618955</v>
      </c>
      <c r="M21" s="110">
        <f t="shared" si="4"/>
        <v>6953202.7223999994</v>
      </c>
      <c r="N21" s="147">
        <f t="shared" si="5"/>
        <v>0.42252704076547321</v>
      </c>
      <c r="O21" s="147">
        <f t="shared" si="6"/>
        <v>0.57747295923452679</v>
      </c>
      <c r="P21" s="111"/>
      <c r="Q21" s="111">
        <f>+'[2]18. CADMALCA BAJO'!F16</f>
        <v>222887.25</v>
      </c>
      <c r="R21" s="111">
        <f>+'[2]18. CADMALCA BAJO'!F17</f>
        <v>24050</v>
      </c>
      <c r="S21" s="111">
        <f>+'[2]18. CADMALCA BAJO'!G54</f>
        <v>100345.0737664964</v>
      </c>
      <c r="T21" s="111">
        <f>+'[2]18. CADMALCA BAJO'!H54</f>
        <v>95449.101495473034</v>
      </c>
      <c r="U21" s="111">
        <f>+'[2]18. CADMALCA BAJO'!I54</f>
        <v>100881.74</v>
      </c>
      <c r="V21" s="111"/>
      <c r="W21" s="111"/>
      <c r="X21" s="111">
        <f t="shared" si="0"/>
        <v>296675.91526196944</v>
      </c>
      <c r="Y21" s="110">
        <f t="shared" si="1"/>
        <v>7496815.8876619693</v>
      </c>
      <c r="Z21" s="111"/>
      <c r="AA21" s="116"/>
      <c r="AB21" s="112" t="s">
        <v>440</v>
      </c>
      <c r="AC21" s="113"/>
      <c r="AD21" s="114" t="str">
        <f t="shared" si="2"/>
        <v>CONTRATISTA</v>
      </c>
      <c r="AE21" s="110">
        <v>7496815.8876619693</v>
      </c>
      <c r="AF21" s="113">
        <f t="shared" si="3"/>
        <v>0</v>
      </c>
      <c r="AG21" s="115"/>
    </row>
    <row r="22" spans="1:33">
      <c r="A22" s="106">
        <f t="shared" si="7"/>
        <v>19</v>
      </c>
      <c r="B22" s="129" t="s">
        <v>436</v>
      </c>
      <c r="C22" s="129">
        <v>297648</v>
      </c>
      <c r="D22" s="130" t="s">
        <v>461</v>
      </c>
      <c r="E22" s="120" t="s">
        <v>465</v>
      </c>
      <c r="F22" s="123" t="s">
        <v>459</v>
      </c>
      <c r="G22" s="111">
        <f>+'[2]19. ALTO CAÑAFISTO'!E48+'[2]19. ALTO CAÑAFISTO'!F48</f>
        <v>1433889.7836359562</v>
      </c>
      <c r="H22" s="111">
        <f>+'[2]19. ALTO CAÑAFISTO'!G48</f>
        <v>258100.16105447212</v>
      </c>
      <c r="I22" s="110">
        <f t="shared" si="8"/>
        <v>1691989.9446904284</v>
      </c>
      <c r="J22" s="111">
        <f>+'[2]19. ALTO CAÑAFISTO'!H48+'[2]19. ALTO CAÑAFISTO'!I48</f>
        <v>2437757.5363640436</v>
      </c>
      <c r="K22" s="111">
        <f>+'[2]19. ALTO CAÑAFISTO'!J48</f>
        <v>438796.35654552781</v>
      </c>
      <c r="L22" s="110">
        <f t="shared" si="9"/>
        <v>2876553.8929095715</v>
      </c>
      <c r="M22" s="110">
        <f t="shared" si="4"/>
        <v>4568543.8376000002</v>
      </c>
      <c r="N22" s="147">
        <f t="shared" si="5"/>
        <v>0.37035650851481899</v>
      </c>
      <c r="O22" s="147">
        <f t="shared" si="6"/>
        <v>0.62964349148518095</v>
      </c>
      <c r="P22" s="111"/>
      <c r="Q22" s="111">
        <f>+'[2]19. ALTO CAÑAFISTO'!F16</f>
        <v>192883.98</v>
      </c>
      <c r="R22" s="111">
        <f>+'[2]19. ALTO CAÑAFISTO'!F17</f>
        <v>24050</v>
      </c>
      <c r="S22" s="111">
        <f>+'[2]19. ALTO CAÑAFISTO'!G56</f>
        <v>88417.83</v>
      </c>
      <c r="T22" s="111">
        <f>+'[2]19. ALTO CAÑAFISTO'!H56</f>
        <v>90587.75</v>
      </c>
      <c r="U22" s="111">
        <f>+'[2]19. ALTO CAÑAFISTO'!I56</f>
        <v>94631.87</v>
      </c>
      <c r="V22" s="111"/>
      <c r="W22" s="111"/>
      <c r="X22" s="111">
        <f t="shared" si="0"/>
        <v>273637.45</v>
      </c>
      <c r="Y22" s="110">
        <f t="shared" si="1"/>
        <v>5059115.2676000008</v>
      </c>
      <c r="Z22" s="111"/>
      <c r="AA22" s="116"/>
      <c r="AB22" s="112" t="s">
        <v>440</v>
      </c>
      <c r="AC22" s="113"/>
      <c r="AD22" s="114" t="str">
        <f t="shared" si="2"/>
        <v>CONTRATISTA</v>
      </c>
      <c r="AE22" s="110">
        <v>5059115.2676000008</v>
      </c>
      <c r="AF22" s="113">
        <f t="shared" si="3"/>
        <v>0</v>
      </c>
      <c r="AG22" s="115"/>
    </row>
    <row r="23" spans="1:33" ht="22.5">
      <c r="A23" s="106">
        <f t="shared" si="7"/>
        <v>20</v>
      </c>
      <c r="B23" s="129" t="s">
        <v>436</v>
      </c>
      <c r="C23" s="129">
        <v>287899</v>
      </c>
      <c r="D23" s="130" t="s">
        <v>461</v>
      </c>
      <c r="E23" s="120" t="s">
        <v>466</v>
      </c>
      <c r="F23" s="123" t="s">
        <v>439</v>
      </c>
      <c r="G23" s="111">
        <f>+'[2]20. SANTA ROSA DEL TINGO'!G12+'[2]20. SANTA ROSA DEL TINGO'!H12</f>
        <v>1175983.2619971521</v>
      </c>
      <c r="H23" s="111">
        <f>+'[2]20. SANTA ROSA DEL TINGO'!I12</f>
        <v>211676.98715948738</v>
      </c>
      <c r="I23" s="110">
        <f t="shared" si="8"/>
        <v>1387660.2491566394</v>
      </c>
      <c r="J23" s="111">
        <f>+'[2]20. SANTA ROSA DEL TINGO'!J12+'[2]20. SANTA ROSA DEL TINGO'!K12</f>
        <v>2084061.0558975008</v>
      </c>
      <c r="K23" s="111">
        <f>+'[2]20. SANTA ROSA DEL TINGO'!L12</f>
        <v>375130.99006155011</v>
      </c>
      <c r="L23" s="110">
        <f t="shared" si="9"/>
        <v>2459192.0459590508</v>
      </c>
      <c r="M23" s="110">
        <f t="shared" si="4"/>
        <v>3846852.2951156902</v>
      </c>
      <c r="N23" s="147">
        <f t="shared" si="5"/>
        <v>0.360726158089963</v>
      </c>
      <c r="O23" s="147">
        <f t="shared" si="6"/>
        <v>0.639273841910037</v>
      </c>
      <c r="P23" s="111"/>
      <c r="Q23" s="111">
        <f>+'[2]20. SANTA ROSA DEL TINGO'!E21</f>
        <v>129703.71011200002</v>
      </c>
      <c r="R23" s="111">
        <f>+'[2]20. SANTA ROSA DEL TINGO'!E25</f>
        <v>24300</v>
      </c>
      <c r="S23" s="111">
        <f>+'[2]20. SANTA ROSA DEL TINGO'!K29</f>
        <v>142902.58509418223</v>
      </c>
      <c r="T23" s="111">
        <f>+'[2]20. SANTA ROSA DEL TINGO'!L29</f>
        <v>87207.218573614387</v>
      </c>
      <c r="U23" s="111">
        <f>+'[2]20. SANTA ROSA DEL TINGO'!M29</f>
        <v>92609.2</v>
      </c>
      <c r="V23" s="111"/>
      <c r="W23" s="111"/>
      <c r="X23" s="111">
        <f t="shared" si="0"/>
        <v>322719.00366779661</v>
      </c>
      <c r="Y23" s="110">
        <f t="shared" si="1"/>
        <v>4323575.0088954866</v>
      </c>
      <c r="Z23" s="111"/>
      <c r="AA23" s="116"/>
      <c r="AB23" s="112" t="s">
        <v>440</v>
      </c>
      <c r="AC23" s="113"/>
      <c r="AD23" s="114" t="str">
        <f t="shared" si="2"/>
        <v>CONTRATISTA</v>
      </c>
      <c r="AE23" s="110">
        <v>4323575.0088954875</v>
      </c>
      <c r="AF23" s="113">
        <f t="shared" si="3"/>
        <v>0</v>
      </c>
      <c r="AG23" s="115"/>
    </row>
    <row r="24" spans="1:33">
      <c r="A24" s="106">
        <f t="shared" si="7"/>
        <v>21</v>
      </c>
      <c r="B24" s="129" t="s">
        <v>436</v>
      </c>
      <c r="C24" s="129">
        <v>289509</v>
      </c>
      <c r="D24" s="130" t="s">
        <v>461</v>
      </c>
      <c r="E24" s="120" t="s">
        <v>467</v>
      </c>
      <c r="F24" s="123" t="s">
        <v>459</v>
      </c>
      <c r="G24" s="111">
        <f>+'[2]21. PALMA CONCHUD'!C48+'[2]21. PALMA CONCHUD'!D48</f>
        <v>1710505.6709879953</v>
      </c>
      <c r="H24" s="111">
        <f>+'[2]21. PALMA CONCHUD'!E48</f>
        <v>307891.02077783918</v>
      </c>
      <c r="I24" s="110">
        <f t="shared" si="8"/>
        <v>2018396.6917658346</v>
      </c>
      <c r="J24" s="111">
        <f>+'[2]21. PALMA CONCHUD'!F48+'[2]21. PALMA CONCHUD'!G48</f>
        <v>1945825.8079095681</v>
      </c>
      <c r="K24" s="111">
        <f>+'[2]21. PALMA CONCHUD'!H48</f>
        <v>350248.64542372222</v>
      </c>
      <c r="L24" s="110">
        <f t="shared" si="9"/>
        <v>2296074.4533332903</v>
      </c>
      <c r="M24" s="110">
        <f t="shared" si="4"/>
        <v>4314471.1450991249</v>
      </c>
      <c r="N24" s="147">
        <f t="shared" si="5"/>
        <v>0.4678201855767567</v>
      </c>
      <c r="O24" s="147">
        <f t="shared" si="6"/>
        <v>0.53217981442324325</v>
      </c>
      <c r="P24" s="111"/>
      <c r="Q24" s="111">
        <f>+'[2]21. PALMA CONCHUD'!C29</f>
        <v>155333.43</v>
      </c>
      <c r="R24" s="111">
        <f>+'[2]21. PALMA CONCHUD'!C33</f>
        <v>40016.54</v>
      </c>
      <c r="S24" s="111">
        <f>+'[2]21. PALMA CONCHUD'!E60</f>
        <v>87743.9</v>
      </c>
      <c r="T24" s="111">
        <f>+'[2]21. PALMA CONCHUD'!F60</f>
        <v>90382.6</v>
      </c>
      <c r="U24" s="111">
        <f>+'[2]21. PALMA CONCHUD'!G60</f>
        <v>94631.87</v>
      </c>
      <c r="V24" s="111"/>
      <c r="W24" s="111"/>
      <c r="X24" s="111">
        <f t="shared" si="0"/>
        <v>272758.37</v>
      </c>
      <c r="Y24" s="110">
        <f t="shared" si="1"/>
        <v>4782579.4850991247</v>
      </c>
      <c r="Z24" s="111"/>
      <c r="AA24" s="116"/>
      <c r="AB24" s="112" t="s">
        <v>440</v>
      </c>
      <c r="AC24" s="113"/>
      <c r="AD24" s="114" t="str">
        <f t="shared" si="2"/>
        <v>CONTRATISTA</v>
      </c>
      <c r="AE24" s="110">
        <v>4782579.4850991238</v>
      </c>
      <c r="AF24" s="113">
        <f t="shared" si="3"/>
        <v>0</v>
      </c>
      <c r="AG24" s="115"/>
    </row>
    <row r="25" spans="1:33">
      <c r="A25" s="106">
        <f t="shared" si="7"/>
        <v>22</v>
      </c>
      <c r="B25" s="129"/>
      <c r="C25" s="129">
        <v>300695</v>
      </c>
      <c r="D25" s="130" t="s">
        <v>461</v>
      </c>
      <c r="E25" s="120" t="s">
        <v>468</v>
      </c>
      <c r="F25" s="131" t="s">
        <v>459</v>
      </c>
      <c r="G25" s="111">
        <f>+'[2]22. NAMO'!F52+'[2]22. NAMO'!G52</f>
        <v>1176686.4217020134</v>
      </c>
      <c r="H25" s="111">
        <f>+'[2]22. NAMO'!H52</f>
        <v>211803.55597942727</v>
      </c>
      <c r="I25" s="110">
        <f t="shared" si="8"/>
        <v>1388489.9776814405</v>
      </c>
      <c r="J25" s="111">
        <f>+'[2]22. NAMO'!I52+'[2]22. NAMO'!J52</f>
        <v>2044251.1882979865</v>
      </c>
      <c r="K25" s="111">
        <f>+'[2]22. NAMO'!K52</f>
        <v>367965.21402057278</v>
      </c>
      <c r="L25" s="110">
        <f t="shared" si="9"/>
        <v>2412216.4023185591</v>
      </c>
      <c r="M25" s="110">
        <f t="shared" si="4"/>
        <v>3800706.38</v>
      </c>
      <c r="N25" s="147">
        <f t="shared" si="5"/>
        <v>0.36532418946854839</v>
      </c>
      <c r="O25" s="147">
        <f t="shared" si="6"/>
        <v>0.63467581053145161</v>
      </c>
      <c r="P25" s="111"/>
      <c r="Q25" s="111">
        <f>+'[2]22. NAMO'!F18</f>
        <v>193006.11</v>
      </c>
      <c r="R25" s="111">
        <f>+'[2]22. NAMO'!F19</f>
        <v>27300</v>
      </c>
      <c r="S25" s="111">
        <f>+'[2]22. NAMO'!G57</f>
        <v>39308.526821076361</v>
      </c>
      <c r="T25" s="111">
        <f>+'[2]22. NAMO'!H57</f>
        <v>50452.264576271191</v>
      </c>
      <c r="U25" s="111">
        <f>+'[2]22. NAMO'!I57</f>
        <v>42000</v>
      </c>
      <c r="V25" s="111"/>
      <c r="W25" s="111"/>
      <c r="X25" s="111">
        <f t="shared" si="0"/>
        <v>131760.79139734755</v>
      </c>
      <c r="Y25" s="110">
        <f t="shared" si="1"/>
        <v>4152773.2813973473</v>
      </c>
      <c r="Z25" s="111"/>
      <c r="AA25" s="116"/>
      <c r="AB25" s="112" t="s">
        <v>440</v>
      </c>
      <c r="AC25" s="113"/>
      <c r="AD25" s="114" t="str">
        <f t="shared" si="2"/>
        <v>CONTRATISTA</v>
      </c>
      <c r="AE25" s="110">
        <v>4152773.2813953809</v>
      </c>
      <c r="AF25" s="113">
        <f t="shared" si="3"/>
        <v>-1.9664876163005829E-6</v>
      </c>
      <c r="AG25" s="115"/>
    </row>
    <row r="26" spans="1:33" ht="22.5">
      <c r="A26" s="106">
        <f t="shared" si="7"/>
        <v>23</v>
      </c>
      <c r="B26" s="126"/>
      <c r="C26" s="126">
        <v>300662</v>
      </c>
      <c r="D26" s="122" t="s">
        <v>461</v>
      </c>
      <c r="E26" s="125" t="s">
        <v>469</v>
      </c>
      <c r="F26" s="127" t="s">
        <v>459</v>
      </c>
      <c r="G26" s="128">
        <f>+'[2]23. HUANGASHANGA ALTA'!E61+'[2]23. HUANGASHANGA ALTA'!F61</f>
        <v>1385240.742941214</v>
      </c>
      <c r="H26" s="128">
        <f>+'[2]23. HUANGASHANGA ALTA'!G61</f>
        <v>249343.33372941852</v>
      </c>
      <c r="I26" s="110">
        <f t="shared" si="8"/>
        <v>1634584.0766706325</v>
      </c>
      <c r="J26" s="128">
        <f>+'[2]23. HUANGASHANGA ALTA'!I61+'[2]23. HUANGASHANGA ALTA'!J61</f>
        <v>1987222.6446587858</v>
      </c>
      <c r="K26" s="128">
        <f>+'[2]23. HUANGASHANGA ALTA'!K61</f>
        <v>357700.07603858149</v>
      </c>
      <c r="L26" s="110">
        <f t="shared" si="9"/>
        <v>2344922.7206973671</v>
      </c>
      <c r="M26" s="110">
        <f t="shared" si="4"/>
        <v>3979506.7973679993</v>
      </c>
      <c r="N26" s="147">
        <f t="shared" si="5"/>
        <v>0.41075041704960219</v>
      </c>
      <c r="O26" s="147">
        <f t="shared" si="6"/>
        <v>0.58924958295039787</v>
      </c>
      <c r="P26" s="128">
        <f>+'[2]23. HUANGASHANGA ALTA'!I116+'[2]23. HUANGASHANGA ALTA'!I141+'[2]23. HUANGASHANGA ALTA'!D38+'[2]23. HUANGASHANGA ALTA'!D39</f>
        <v>44663.329348000007</v>
      </c>
      <c r="Q26" s="128">
        <f>+'[2]23. HUANGASHANGA ALTA'!I113+'[2]23. HUANGASHANGA ALTA'!I137</f>
        <v>318360.54991599999</v>
      </c>
      <c r="R26" s="128">
        <f>+'[2]23. HUANGASHANGA ALTA'!I115+'[2]23. HUANGASHANGA ALTA'!I140</f>
        <v>130607.12</v>
      </c>
      <c r="S26" s="128">
        <f>+'[2]23. HUANGASHANGA ALTA'!F66</f>
        <v>116940.85324</v>
      </c>
      <c r="T26" s="128">
        <f>+'[2]23. HUANGASHANGA ALTA'!G66</f>
        <v>153380.37423999998</v>
      </c>
      <c r="U26" s="128">
        <f>+'[2]23. HUANGASHANGA ALTA'!H66</f>
        <v>52214.993280894989</v>
      </c>
      <c r="V26" s="128"/>
      <c r="W26" s="128"/>
      <c r="X26" s="111">
        <f t="shared" si="0"/>
        <v>322536.220760895</v>
      </c>
      <c r="Y26" s="110">
        <f t="shared" si="1"/>
        <v>4795674.0173928943</v>
      </c>
      <c r="Z26" s="128">
        <f>+'[2]23. HUANGASHANGA ALTA'!K150</f>
        <v>4000971.1995579866</v>
      </c>
      <c r="AA26" s="116">
        <f>+Z26/Y26</f>
        <v>0.8342875652196774</v>
      </c>
      <c r="AB26" s="112" t="s">
        <v>456</v>
      </c>
      <c r="AC26" s="113"/>
      <c r="AD26" s="114" t="str">
        <f t="shared" si="2"/>
        <v>CONTRATISTA</v>
      </c>
      <c r="AE26" s="110">
        <v>4795674.0173928943</v>
      </c>
      <c r="AF26" s="113">
        <f t="shared" si="3"/>
        <v>0</v>
      </c>
      <c r="AG26" s="115"/>
    </row>
    <row r="27" spans="1:33">
      <c r="A27" s="106">
        <f t="shared" si="7"/>
        <v>24</v>
      </c>
      <c r="B27" s="126"/>
      <c r="C27" s="126">
        <v>297666</v>
      </c>
      <c r="D27" s="122" t="s">
        <v>461</v>
      </c>
      <c r="E27" s="125" t="s">
        <v>470</v>
      </c>
      <c r="F27" s="127" t="s">
        <v>459</v>
      </c>
      <c r="G27" s="128">
        <f>+'[2]24. TAURIPAMPA'!E64+'[2]24. TAURIPAMPA'!F64</f>
        <v>1845617.9172599094</v>
      </c>
      <c r="H27" s="128">
        <f>+'[2]24. TAURIPAMPA'!G64</f>
        <v>332211.22510678368</v>
      </c>
      <c r="I27" s="110">
        <f t="shared" si="8"/>
        <v>2177829.1423666934</v>
      </c>
      <c r="J27" s="128">
        <f>+'[2]24. TAURIPAMPA'!I64+'[2]24. TAURIPAMPA'!J64</f>
        <v>3168932.9637999996</v>
      </c>
      <c r="K27" s="128">
        <f>+'[2]24. TAURIPAMPA'!K64</f>
        <v>570407.93348399992</v>
      </c>
      <c r="L27" s="110">
        <f t="shared" si="9"/>
        <v>3739340.8972839992</v>
      </c>
      <c r="M27" s="110">
        <f t="shared" si="4"/>
        <v>5917170.0396506926</v>
      </c>
      <c r="N27" s="147">
        <f t="shared" si="5"/>
        <v>0.36805248586286304</v>
      </c>
      <c r="O27" s="147">
        <f t="shared" si="6"/>
        <v>0.6319475141371369</v>
      </c>
      <c r="P27" s="128">
        <f>+'[2]24. TAURIPAMPA'!H118+'[2]24. TAURIPAMPA'!H139+'[2]24. TAURIPAMPA'!D39</f>
        <v>54472.699999999968</v>
      </c>
      <c r="Q27" s="128">
        <f>+'[2]24. TAURIPAMPA'!H112+'[2]24. TAURIPAMPA'!H136</f>
        <v>473217.43158805545</v>
      </c>
      <c r="R27" s="128">
        <f>+'[2]24. TAURIPAMPA'!H115+'[2]24. TAURIPAMPA'!H138</f>
        <v>51101.08</v>
      </c>
      <c r="S27" s="128">
        <f>+'[2]24. TAURIPAMPA'!F69</f>
        <v>167966.68558447046</v>
      </c>
      <c r="T27" s="128">
        <f>+'[2]24. TAURIPAMPA'!G69</f>
        <v>32199.638962128549</v>
      </c>
      <c r="U27" s="128">
        <f>+'[2]24. TAURIPAMPA'!H69</f>
        <v>51170.700000000004</v>
      </c>
      <c r="V27" s="128"/>
      <c r="W27" s="128"/>
      <c r="X27" s="111">
        <f t="shared" si="0"/>
        <v>251337.02454659902</v>
      </c>
      <c r="Y27" s="110">
        <f t="shared" si="1"/>
        <v>6747298.2757853474</v>
      </c>
      <c r="Z27" s="128">
        <f>+'[2]24. TAURIPAMPA'!J149</f>
        <v>5616247.929350201</v>
      </c>
      <c r="AA27" s="116">
        <f>+Z27/Y27</f>
        <v>0.83236989085034951</v>
      </c>
      <c r="AB27" s="132" t="s">
        <v>456</v>
      </c>
      <c r="AC27" s="113"/>
      <c r="AD27" s="114" t="str">
        <f t="shared" si="2"/>
        <v>CONTRATISTA</v>
      </c>
      <c r="AE27" s="110">
        <v>6747298.2757853474</v>
      </c>
      <c r="AF27" s="113">
        <f t="shared" si="3"/>
        <v>0</v>
      </c>
      <c r="AG27" s="115"/>
    </row>
    <row r="28" spans="1:33" ht="22.5">
      <c r="A28" s="106">
        <f t="shared" si="7"/>
        <v>25</v>
      </c>
      <c r="B28" s="126"/>
      <c r="C28" s="126">
        <v>295879</v>
      </c>
      <c r="D28" s="122" t="s">
        <v>461</v>
      </c>
      <c r="E28" s="125" t="s">
        <v>471</v>
      </c>
      <c r="F28" s="127" t="s">
        <v>459</v>
      </c>
      <c r="G28" s="128">
        <f>+'[2]25. VISTA ALEGRE DE CAMSE'!E94+'[2]25. VISTA ALEGRE DE CAMSE'!F94</f>
        <v>1328003.8553652598</v>
      </c>
      <c r="H28" s="128">
        <f>+'[2]25. VISTA ALEGRE DE CAMSE'!G94</f>
        <v>239040.69476400065</v>
      </c>
      <c r="I28" s="110">
        <f t="shared" si="8"/>
        <v>1567044.5501292604</v>
      </c>
      <c r="J28" s="128">
        <f>+'[2]25. VISTA ALEGRE DE CAMSE'!I94+'[2]25. VISTA ALEGRE DE CAMSE'!J94</f>
        <v>2664722.4646347403</v>
      </c>
      <c r="K28" s="128">
        <f>+'[2]25. VISTA ALEGRE DE CAMSE'!K94</f>
        <v>479650.04523599939</v>
      </c>
      <c r="L28" s="110">
        <f t="shared" si="9"/>
        <v>3144372.5098707397</v>
      </c>
      <c r="M28" s="110">
        <f t="shared" si="4"/>
        <v>4711417.0600000005</v>
      </c>
      <c r="N28" s="147">
        <f t="shared" si="5"/>
        <v>0.33260578084531967</v>
      </c>
      <c r="O28" s="147">
        <f t="shared" si="6"/>
        <v>0.66739421915468022</v>
      </c>
      <c r="P28" s="128">
        <f>+'[2]25. VISTA ALEGRE DE CAMSE'!H155</f>
        <v>40511.769999999997</v>
      </c>
      <c r="Q28" s="128">
        <f>+'[2]25. VISTA ALEGRE DE CAMSE'!H148</f>
        <v>153653.10999999999</v>
      </c>
      <c r="R28" s="128">
        <f>+'[2]25. VISTA ALEGRE DE CAMSE'!H154</f>
        <v>24050</v>
      </c>
      <c r="S28" s="128">
        <f>+'[2]25. VISTA ALEGRE DE CAMSE'!F99</f>
        <v>146320.59</v>
      </c>
      <c r="T28" s="128">
        <f>+'[2]25. VISTA ALEGRE DE CAMSE'!G99</f>
        <v>137514.26999999999</v>
      </c>
      <c r="U28" s="128">
        <f>+'[2]25. VISTA ALEGRE DE CAMSE'!H99</f>
        <v>99605.77</v>
      </c>
      <c r="V28" s="128"/>
      <c r="W28" s="128"/>
      <c r="X28" s="111">
        <f t="shared" si="0"/>
        <v>383440.63</v>
      </c>
      <c r="Y28" s="110">
        <f t="shared" si="1"/>
        <v>5313072.57</v>
      </c>
      <c r="Z28" s="128"/>
      <c r="AA28" s="133"/>
      <c r="AB28" s="132" t="s">
        <v>472</v>
      </c>
      <c r="AC28" s="113"/>
      <c r="AD28" s="114" t="str">
        <f t="shared" si="2"/>
        <v>CONTRATISTA</v>
      </c>
      <c r="AE28" s="110">
        <v>5313072.57</v>
      </c>
      <c r="AF28" s="113">
        <f t="shared" si="3"/>
        <v>0</v>
      </c>
      <c r="AG28" s="115"/>
    </row>
    <row r="29" spans="1:33">
      <c r="A29" s="106">
        <f t="shared" si="7"/>
        <v>26</v>
      </c>
      <c r="B29" s="126"/>
      <c r="C29" s="126">
        <v>294845</v>
      </c>
      <c r="D29" s="122" t="s">
        <v>461</v>
      </c>
      <c r="E29" s="125" t="s">
        <v>473</v>
      </c>
      <c r="F29" s="127" t="s">
        <v>439</v>
      </c>
      <c r="G29" s="128">
        <f>+'[2]26. SHITABAMBA'!E91+'[2]26. SHITABAMBA'!F91</f>
        <v>1003375.2919999999</v>
      </c>
      <c r="H29" s="128">
        <f>+'[2]26. SHITABAMBA'!G91</f>
        <v>180607.55</v>
      </c>
      <c r="I29" s="110">
        <f t="shared" si="8"/>
        <v>1183982.8419999999</v>
      </c>
      <c r="J29" s="128">
        <f>+'[2]26. SHITABAMBA'!I91+'[2]26. SHITABAMBA'!J91</f>
        <v>1272408.1528</v>
      </c>
      <c r="K29" s="128">
        <f>+'[2]26. SHITABAMBA'!K91</f>
        <v>229033.47</v>
      </c>
      <c r="L29" s="110">
        <f t="shared" si="9"/>
        <v>1501441.6228</v>
      </c>
      <c r="M29" s="110">
        <f t="shared" si="4"/>
        <v>2685424.4648000002</v>
      </c>
      <c r="N29" s="147">
        <f t="shared" si="5"/>
        <v>0.44089225279631106</v>
      </c>
      <c r="O29" s="147">
        <f t="shared" si="6"/>
        <v>0.55910774720368883</v>
      </c>
      <c r="P29" s="128">
        <f>+'[2]26. SHITABAMBA'!I142+'[2]26. SHITABAMBA'!I171+'[2]26. SHITABAMBA'!D64</f>
        <v>61271.971199999993</v>
      </c>
      <c r="Q29" s="128">
        <f>+'[2]26. SHITABAMBA'!I143+'[2]26. SHITABAMBA'!I172</f>
        <v>134271.22224</v>
      </c>
      <c r="R29" s="128"/>
      <c r="S29" s="128">
        <f>+'[2]26. SHITABAMBA'!F96</f>
        <v>103221.4488</v>
      </c>
      <c r="T29" s="128">
        <f>+'[2]26. SHITABAMBA'!G96</f>
        <v>83864.160799999998</v>
      </c>
      <c r="U29" s="128">
        <f>+'[2]26. SHITABAMBA'!H96</f>
        <v>36997.164000000004</v>
      </c>
      <c r="V29" s="128"/>
      <c r="W29" s="128"/>
      <c r="X29" s="111">
        <f t="shared" si="0"/>
        <v>224082.77360000001</v>
      </c>
      <c r="Y29" s="110">
        <f t="shared" si="1"/>
        <v>3105050.4318400002</v>
      </c>
      <c r="Z29" s="128">
        <f>+'[2]26. SHITABAMBA'!K187</f>
        <v>2524733.26281616</v>
      </c>
      <c r="AA29" s="116">
        <f>+Z29/Y29</f>
        <v>0.81310539659094871</v>
      </c>
      <c r="AB29" s="132" t="s">
        <v>456</v>
      </c>
      <c r="AC29" s="113"/>
      <c r="AD29" s="114" t="str">
        <f t="shared" si="2"/>
        <v>CONTRATISTA</v>
      </c>
      <c r="AE29" s="110">
        <v>3105050.4318399997</v>
      </c>
      <c r="AF29" s="113">
        <f t="shared" si="3"/>
        <v>0</v>
      </c>
      <c r="AG29" s="115"/>
    </row>
    <row r="30" spans="1:33">
      <c r="A30" s="106">
        <f t="shared" si="7"/>
        <v>27</v>
      </c>
      <c r="B30" s="106" t="s">
        <v>436</v>
      </c>
      <c r="C30" s="129">
        <v>300527</v>
      </c>
      <c r="D30" s="130" t="s">
        <v>461</v>
      </c>
      <c r="E30" s="120" t="s">
        <v>474</v>
      </c>
      <c r="F30" s="123" t="s">
        <v>459</v>
      </c>
      <c r="G30" s="111">
        <f>+'[2]27. EL CONVENTO'!I69+'[2]27. EL CONVENTO'!J69</f>
        <v>839542.17758709705</v>
      </c>
      <c r="H30" s="111"/>
      <c r="I30" s="110">
        <f t="shared" si="8"/>
        <v>839542.17758709705</v>
      </c>
      <c r="J30" s="111">
        <f>+'[2]27. EL CONVENTO'!L69+'[2]27. EL CONVENTO'!M69</f>
        <v>1161609.761397511</v>
      </c>
      <c r="K30" s="111"/>
      <c r="L30" s="110">
        <f t="shared" si="9"/>
        <v>1161609.761397511</v>
      </c>
      <c r="M30" s="110">
        <f t="shared" si="4"/>
        <v>2001151.938984608</v>
      </c>
      <c r="N30" s="147">
        <f t="shared" si="5"/>
        <v>0.41952945262771196</v>
      </c>
      <c r="O30" s="147">
        <f t="shared" si="6"/>
        <v>0.58047054737228809</v>
      </c>
      <c r="P30" s="111"/>
      <c r="Q30" s="111">
        <f>+'[2]27. EL CONVENTO'!M21</f>
        <v>69300</v>
      </c>
      <c r="R30" s="111">
        <f>+'[2]27. EL CONVENTO'!M39</f>
        <v>21300</v>
      </c>
      <c r="S30" s="111">
        <f>+'[2]27. EL CONVENTO'!J80</f>
        <v>60572.95</v>
      </c>
      <c r="T30" s="111">
        <f>+'[2]27. EL CONVENTO'!K80</f>
        <v>74911.67</v>
      </c>
      <c r="U30" s="111">
        <f>+'[2]27. EL CONVENTO'!L80</f>
        <v>63000</v>
      </c>
      <c r="V30" s="111"/>
      <c r="W30" s="111">
        <f>+'[2]27. EL CONVENTO'!H94</f>
        <v>59086.22</v>
      </c>
      <c r="X30" s="111">
        <f t="shared" si="0"/>
        <v>257570.84</v>
      </c>
      <c r="Y30" s="110">
        <f t="shared" si="1"/>
        <v>2349322.7789846081</v>
      </c>
      <c r="Z30" s="111"/>
      <c r="AA30" s="116"/>
      <c r="AB30" s="112" t="s">
        <v>440</v>
      </c>
      <c r="AC30" s="113"/>
      <c r="AD30" s="114" t="str">
        <f t="shared" si="2"/>
        <v>NE</v>
      </c>
      <c r="AE30" s="110">
        <v>2349322.7789846081</v>
      </c>
      <c r="AF30" s="113">
        <f t="shared" si="3"/>
        <v>0</v>
      </c>
      <c r="AG30" s="115"/>
    </row>
    <row r="31" spans="1:33">
      <c r="A31" s="106">
        <f t="shared" si="7"/>
        <v>28</v>
      </c>
      <c r="B31" s="129" t="s">
        <v>436</v>
      </c>
      <c r="C31" s="129">
        <v>292714</v>
      </c>
      <c r="D31" s="122" t="s">
        <v>461</v>
      </c>
      <c r="E31" s="125" t="s">
        <v>475</v>
      </c>
      <c r="F31" s="123" t="s">
        <v>439</v>
      </c>
      <c r="G31" s="111">
        <f>+'[2]28. BUENOS AIRES'!F43+'[2]28. BUENOS AIRES'!G43</f>
        <v>1245739.3938401658</v>
      </c>
      <c r="H31" s="111">
        <f>+'[2]28. BUENOS AIRES'!H43</f>
        <v>224233.09089122983</v>
      </c>
      <c r="I31" s="110">
        <f t="shared" si="8"/>
        <v>1469972.4847313957</v>
      </c>
      <c r="J31" s="111">
        <f>+'[2]28. BUENOS AIRES'!I43+'[2]28. BUENOS AIRES'!J43</f>
        <v>2007440.0261598343</v>
      </c>
      <c r="K31" s="111">
        <f>+'[2]28. BUENOS AIRES'!K43</f>
        <v>361339.20470877015</v>
      </c>
      <c r="L31" s="110">
        <f t="shared" si="9"/>
        <v>2368779.2308686045</v>
      </c>
      <c r="M31" s="110">
        <f t="shared" si="4"/>
        <v>3838751.7156000002</v>
      </c>
      <c r="N31" s="147">
        <f t="shared" si="5"/>
        <v>0.38292981511611979</v>
      </c>
      <c r="O31" s="147">
        <f t="shared" si="6"/>
        <v>0.61707018488388021</v>
      </c>
      <c r="P31" s="111"/>
      <c r="Q31" s="111">
        <f>+'[2]28. BUENOS AIRES'!F16</f>
        <v>192883.98</v>
      </c>
      <c r="R31" s="111">
        <f>+'[2]28. BUENOS AIRES'!F17</f>
        <v>27300</v>
      </c>
      <c r="S31" s="111">
        <f>+'[2]28. BUENOS AIRES'!G50</f>
        <v>113438.22529170624</v>
      </c>
      <c r="T31" s="111">
        <f>+'[2]28. BUENOS AIRES'!H50</f>
        <v>119205.38457627119</v>
      </c>
      <c r="U31" s="111">
        <f>+'[2]28. BUENOS AIRES'!I50</f>
        <v>95844.32</v>
      </c>
      <c r="V31" s="111"/>
      <c r="W31" s="111"/>
      <c r="X31" s="111">
        <f t="shared" si="0"/>
        <v>328487.92986797745</v>
      </c>
      <c r="Y31" s="110">
        <f t="shared" si="1"/>
        <v>4387423.6254679775</v>
      </c>
      <c r="Z31" s="111"/>
      <c r="AA31" s="116"/>
      <c r="AB31" s="112" t="s">
        <v>440</v>
      </c>
      <c r="AC31" s="113"/>
      <c r="AD31" s="114" t="str">
        <f t="shared" si="2"/>
        <v>CONTRATISTA</v>
      </c>
      <c r="AE31" s="110">
        <v>4387423.6254679775</v>
      </c>
      <c r="AF31" s="113">
        <f t="shared" si="3"/>
        <v>0</v>
      </c>
      <c r="AG31" s="115"/>
    </row>
    <row r="32" spans="1:33">
      <c r="A32" s="106">
        <f t="shared" si="7"/>
        <v>29</v>
      </c>
      <c r="B32" s="106" t="s">
        <v>436</v>
      </c>
      <c r="C32" s="129">
        <v>300384</v>
      </c>
      <c r="D32" s="122" t="s">
        <v>461</v>
      </c>
      <c r="E32" s="125" t="s">
        <v>476</v>
      </c>
      <c r="F32" s="123" t="s">
        <v>459</v>
      </c>
      <c r="G32" s="111">
        <f>+'[2]29. SURO ANTIVO'!I69+'[2]29. SURO ANTIVO'!J69</f>
        <v>792882.50177418382</v>
      </c>
      <c r="H32" s="111"/>
      <c r="I32" s="110">
        <f t="shared" si="8"/>
        <v>792882.50177418382</v>
      </c>
      <c r="J32" s="111">
        <f>+'[2]29. SURO ANTIVO'!L69+'[2]29. SURO ANTIVO'!M69</f>
        <v>1279464.6220360708</v>
      </c>
      <c r="K32" s="111"/>
      <c r="L32" s="110">
        <f t="shared" si="9"/>
        <v>1279464.6220360708</v>
      </c>
      <c r="M32" s="110">
        <f t="shared" si="4"/>
        <v>2072347.1238102545</v>
      </c>
      <c r="N32" s="147">
        <f t="shared" si="5"/>
        <v>0.38260120259986941</v>
      </c>
      <c r="O32" s="147">
        <f t="shared" si="6"/>
        <v>0.61739879740013071</v>
      </c>
      <c r="P32" s="111"/>
      <c r="Q32" s="111">
        <f>+'[2]29. SURO ANTIVO'!M21</f>
        <v>68400</v>
      </c>
      <c r="R32" s="111">
        <f>+'[2]29. SURO ANTIVO'!M39</f>
        <v>21300</v>
      </c>
      <c r="S32" s="111">
        <f>+'[2]29. SURO ANTIVO'!J80</f>
        <v>60799.71</v>
      </c>
      <c r="T32" s="111">
        <f>+'[2]29. SURO ANTIVO'!K80</f>
        <v>74916.47</v>
      </c>
      <c r="U32" s="111">
        <f>+'[2]29. SURO ANTIVO'!L80</f>
        <v>63000</v>
      </c>
      <c r="V32" s="111"/>
      <c r="W32" s="111">
        <f>+'[2]29. SURO ANTIVO'!H93</f>
        <v>56490.32</v>
      </c>
      <c r="X32" s="111">
        <f t="shared" si="0"/>
        <v>255206.5</v>
      </c>
      <c r="Y32" s="110">
        <f t="shared" si="1"/>
        <v>2417253.6238102545</v>
      </c>
      <c r="Z32" s="111"/>
      <c r="AA32" s="116"/>
      <c r="AB32" s="112" t="s">
        <v>440</v>
      </c>
      <c r="AC32" s="113"/>
      <c r="AD32" s="114" t="str">
        <f t="shared" si="2"/>
        <v>NE</v>
      </c>
      <c r="AE32" s="110">
        <v>2417253.6238102545</v>
      </c>
      <c r="AF32" s="113">
        <f t="shared" si="3"/>
        <v>0</v>
      </c>
      <c r="AG32" s="115"/>
    </row>
    <row r="33" spans="1:33">
      <c r="A33" s="106">
        <f t="shared" si="7"/>
        <v>30</v>
      </c>
      <c r="B33" s="129" t="s">
        <v>436</v>
      </c>
      <c r="C33" s="129">
        <v>288374</v>
      </c>
      <c r="D33" s="122" t="s">
        <v>461</v>
      </c>
      <c r="E33" s="125" t="s">
        <v>477</v>
      </c>
      <c r="F33" s="123" t="s">
        <v>459</v>
      </c>
      <c r="G33" s="111">
        <f>+'[2]30. SAN PABLO'!G11+'[2]30. SAN PABLO'!H11</f>
        <v>2427670.1046534791</v>
      </c>
      <c r="H33" s="111">
        <f>+'[2]30. SAN PABLO'!I11</f>
        <v>436980.61883762624</v>
      </c>
      <c r="I33" s="110">
        <f t="shared" si="8"/>
        <v>2864650.7234911053</v>
      </c>
      <c r="J33" s="111">
        <f>+'[2]30. SAN PABLO'!J11+'[2]30. SAN PABLO'!K11</f>
        <v>2152632.3414515206</v>
      </c>
      <c r="K33" s="111">
        <f>+'[2]30. SAN PABLO'!L11</f>
        <v>387473.82146127371</v>
      </c>
      <c r="L33" s="110">
        <f t="shared" si="9"/>
        <v>2540106.1629127944</v>
      </c>
      <c r="M33" s="110">
        <f t="shared" si="4"/>
        <v>5404756.8864038996</v>
      </c>
      <c r="N33" s="147">
        <f t="shared" si="5"/>
        <v>0.53002397401025836</v>
      </c>
      <c r="O33" s="147">
        <f t="shared" si="6"/>
        <v>0.46997602598974164</v>
      </c>
      <c r="P33" s="111"/>
      <c r="Q33" s="111">
        <f>+'[2]30. SAN PABLO'!E20</f>
        <v>153666.98000000001</v>
      </c>
      <c r="R33" s="111">
        <f>+'[2]30. SAN PABLO'!E22</f>
        <v>29800</v>
      </c>
      <c r="S33" s="111">
        <f>+'[2]30. SAN PABLO'!I22</f>
        <v>79323.347559143978</v>
      </c>
      <c r="T33" s="111">
        <f>+'[2]30. SAN PABLO'!J22</f>
        <v>97741.01204946838</v>
      </c>
      <c r="U33" s="111">
        <f>+'[2]30. SAN PABLO'!K22</f>
        <v>82193.992310589485</v>
      </c>
      <c r="V33" s="111"/>
      <c r="W33" s="111"/>
      <c r="X33" s="111">
        <f t="shared" si="0"/>
        <v>259258.35191920184</v>
      </c>
      <c r="Y33" s="110">
        <f t="shared" si="1"/>
        <v>5847482.2183231022</v>
      </c>
      <c r="Z33" s="111"/>
      <c r="AA33" s="116"/>
      <c r="AB33" s="112" t="s">
        <v>440</v>
      </c>
      <c r="AC33" s="113"/>
      <c r="AD33" s="114" t="str">
        <f t="shared" si="2"/>
        <v>CONTRATISTA</v>
      </c>
      <c r="AE33" s="110">
        <v>5847482.2183231022</v>
      </c>
      <c r="AF33" s="113">
        <f t="shared" si="3"/>
        <v>0</v>
      </c>
      <c r="AG33" s="115"/>
    </row>
    <row r="34" spans="1:33" ht="22.5">
      <c r="A34" s="106">
        <f t="shared" si="7"/>
        <v>31</v>
      </c>
      <c r="B34" s="129" t="s">
        <v>436</v>
      </c>
      <c r="C34" s="129">
        <v>288430</v>
      </c>
      <c r="D34" s="122" t="s">
        <v>461</v>
      </c>
      <c r="E34" s="125" t="s">
        <v>478</v>
      </c>
      <c r="F34" s="123" t="s">
        <v>459</v>
      </c>
      <c r="G34" s="111">
        <f>+'[2]31. SAN JUAN PAMPA'!I65+'[2]31. SAN JUAN PAMPA'!J65</f>
        <v>1198254.3776394131</v>
      </c>
      <c r="H34" s="111">
        <f>+'[2]31. SAN JUAN PAMPA'!K65</f>
        <v>215685.78797509434</v>
      </c>
      <c r="I34" s="110">
        <f t="shared" si="8"/>
        <v>1413940.1656145074</v>
      </c>
      <c r="J34" s="111">
        <f>+'[2]31. SAN JUAN PAMPA'!L65+'[2]31. SAN JUAN PAMPA'!M65</f>
        <v>1303431.0240958529</v>
      </c>
      <c r="K34" s="111">
        <f>+'[2]31. SAN JUAN PAMPA'!N65</f>
        <v>234617.5843372535</v>
      </c>
      <c r="L34" s="110">
        <f t="shared" si="9"/>
        <v>1538048.6084331064</v>
      </c>
      <c r="M34" s="110">
        <f t="shared" si="4"/>
        <v>2951988.7740476141</v>
      </c>
      <c r="N34" s="147">
        <f t="shared" si="5"/>
        <v>0.47897884234694627</v>
      </c>
      <c r="O34" s="147">
        <f t="shared" si="6"/>
        <v>0.52102115765305368</v>
      </c>
      <c r="P34" s="111"/>
      <c r="Q34" s="111">
        <f>+'[2]31. SAN JUAN PAMPA'!G74</f>
        <v>106568.82740799998</v>
      </c>
      <c r="R34" s="111">
        <f>+'[2]31. SAN JUAN PAMPA'!G76</f>
        <v>24300</v>
      </c>
      <c r="S34" s="111">
        <f>+'[2]31. SAN JUAN PAMPA'!K79</f>
        <v>73095.752541150083</v>
      </c>
      <c r="T34" s="111">
        <f>+'[2]31. SAN JUAN PAMPA'!L79</f>
        <v>90067.464999035248</v>
      </c>
      <c r="U34" s="111">
        <f>+'[2]31. SAN JUAN PAMPA'!M79</f>
        <v>75741.025904440248</v>
      </c>
      <c r="V34" s="111"/>
      <c r="W34" s="111"/>
      <c r="X34" s="111">
        <f t="shared" si="0"/>
        <v>238904.24344462558</v>
      </c>
      <c r="Y34" s="110">
        <f t="shared" si="1"/>
        <v>3321761.8449002397</v>
      </c>
      <c r="Z34" s="111"/>
      <c r="AA34" s="116"/>
      <c r="AB34" s="112" t="s">
        <v>440</v>
      </c>
      <c r="AC34" s="113"/>
      <c r="AD34" s="114" t="str">
        <f t="shared" si="2"/>
        <v>CONTRATISTA</v>
      </c>
      <c r="AE34" s="110">
        <v>3321761.8449002393</v>
      </c>
      <c r="AF34" s="113">
        <f t="shared" si="3"/>
        <v>0</v>
      </c>
      <c r="AG34" s="115"/>
    </row>
    <row r="35" spans="1:33">
      <c r="A35" s="106">
        <f t="shared" si="7"/>
        <v>32</v>
      </c>
      <c r="B35" s="106" t="s">
        <v>436</v>
      </c>
      <c r="C35" s="129">
        <v>292708</v>
      </c>
      <c r="D35" s="122" t="s">
        <v>461</v>
      </c>
      <c r="E35" s="125" t="s">
        <v>479</v>
      </c>
      <c r="F35" s="123" t="s">
        <v>439</v>
      </c>
      <c r="G35" s="111">
        <f>+'[2]32. SHUMAYA'!I69+'[2]32. SHUMAYA'!J69</f>
        <v>734518.0184862999</v>
      </c>
      <c r="H35" s="111"/>
      <c r="I35" s="110">
        <f t="shared" si="8"/>
        <v>734518.0184862999</v>
      </c>
      <c r="J35" s="111">
        <f>+'[2]32. SHUMAYA'!L69+'[2]32. SHUMAYA'!M69</f>
        <v>1060127.0315137</v>
      </c>
      <c r="K35" s="111"/>
      <c r="L35" s="110">
        <f t="shared" si="9"/>
        <v>1060127.0315137</v>
      </c>
      <c r="M35" s="110">
        <f t="shared" si="4"/>
        <v>1794645.0499999998</v>
      </c>
      <c r="N35" s="147">
        <f t="shared" si="5"/>
        <v>0.40928317189312724</v>
      </c>
      <c r="O35" s="147">
        <f t="shared" si="6"/>
        <v>0.59071682810687276</v>
      </c>
      <c r="P35" s="111"/>
      <c r="Q35" s="111">
        <f>+'[2]32. SHUMAYA'!M21</f>
        <v>67500</v>
      </c>
      <c r="R35" s="111">
        <f>+'[2]32. SHUMAYA'!M39</f>
        <v>21300</v>
      </c>
      <c r="S35" s="111">
        <f>+'[2]32. SHUMAYA'!J80</f>
        <v>36100.75</v>
      </c>
      <c r="T35" s="111">
        <f>+'[2]32. SHUMAYA'!K80</f>
        <v>47473.82</v>
      </c>
      <c r="U35" s="111">
        <f>+'[2]32. SHUMAYA'!L80</f>
        <v>38500</v>
      </c>
      <c r="V35" s="111"/>
      <c r="W35" s="111">
        <f>+'[2]32. SHUMAYA'!H93</f>
        <v>26006</v>
      </c>
      <c r="X35" s="111">
        <f t="shared" ref="X35:X61" si="10">SUM(S35:W35)</f>
        <v>148080.57</v>
      </c>
      <c r="Y35" s="110">
        <f t="shared" si="1"/>
        <v>2031525.6199999999</v>
      </c>
      <c r="Z35" s="111"/>
      <c r="AA35" s="116"/>
      <c r="AB35" s="132" t="s">
        <v>440</v>
      </c>
      <c r="AC35" s="113"/>
      <c r="AD35" s="114" t="str">
        <f t="shared" si="2"/>
        <v>NE</v>
      </c>
      <c r="AE35" s="110">
        <v>2031525.6199999999</v>
      </c>
      <c r="AF35" s="113">
        <f t="shared" si="3"/>
        <v>0</v>
      </c>
      <c r="AG35" s="115"/>
    </row>
    <row r="36" spans="1:33" ht="22.5" customHeight="1">
      <c r="A36" s="106">
        <f t="shared" si="7"/>
        <v>33</v>
      </c>
      <c r="B36" s="129" t="s">
        <v>436</v>
      </c>
      <c r="C36" s="129">
        <v>295532</v>
      </c>
      <c r="D36" s="122" t="s">
        <v>461</v>
      </c>
      <c r="E36" s="125" t="s">
        <v>480</v>
      </c>
      <c r="F36" s="123" t="s">
        <v>459</v>
      </c>
      <c r="G36" s="111">
        <f>+'[2]33. BAJO CHALAMARCA'!F52+'[2]33. BAJO CHALAMARCA'!G52</f>
        <v>1651488.4803369131</v>
      </c>
      <c r="H36" s="111">
        <f>+'[2]33. BAJO CHALAMARCA'!H52</f>
        <v>297267.92646064435</v>
      </c>
      <c r="I36" s="110">
        <f t="shared" si="8"/>
        <v>1948756.4067975576</v>
      </c>
      <c r="J36" s="111">
        <f>+'[2]33. BAJO CHALAMARCA'!I52+'[2]33. BAJO CHALAMARCA'!J52</f>
        <v>2018374.1696630868</v>
      </c>
      <c r="K36" s="111">
        <f>+'[2]33. BAJO CHALAMARCA'!K52</f>
        <v>363307.3505393556</v>
      </c>
      <c r="L36" s="110">
        <f t="shared" si="9"/>
        <v>2381681.5202024425</v>
      </c>
      <c r="M36" s="110">
        <f t="shared" si="4"/>
        <v>4330437.9270000001</v>
      </c>
      <c r="N36" s="147">
        <f t="shared" si="5"/>
        <v>0.45001370292071097</v>
      </c>
      <c r="O36" s="147">
        <f t="shared" si="6"/>
        <v>0.54998629707928903</v>
      </c>
      <c r="P36" s="111"/>
      <c r="Q36" s="111">
        <f>+'[2]33. BAJO CHALAMARCA'!F16</f>
        <v>212031.25</v>
      </c>
      <c r="R36" s="111">
        <f>+'[2]33. BAJO CHALAMARCA'!F17</f>
        <v>30550</v>
      </c>
      <c r="S36" s="111">
        <f>+'[2]33. BAJO CHALAMARCA'!G57</f>
        <v>120060.87</v>
      </c>
      <c r="T36" s="111">
        <f>+'[2]33. BAJO CHALAMARCA'!H57</f>
        <v>135237.76000000001</v>
      </c>
      <c r="U36" s="111">
        <f>+'[2]33. BAJO CHALAMARCA'!I57</f>
        <v>100579.29</v>
      </c>
      <c r="V36" s="111"/>
      <c r="W36" s="111"/>
      <c r="X36" s="111">
        <f t="shared" si="10"/>
        <v>355877.92</v>
      </c>
      <c r="Y36" s="110">
        <f t="shared" si="1"/>
        <v>4928897.0970000001</v>
      </c>
      <c r="Z36" s="111"/>
      <c r="AA36" s="116"/>
      <c r="AB36" s="132" t="s">
        <v>440</v>
      </c>
      <c r="AC36" s="113"/>
      <c r="AD36" s="114" t="str">
        <f t="shared" si="2"/>
        <v>CONTRATISTA</v>
      </c>
      <c r="AE36" s="110">
        <v>4928897.0970000001</v>
      </c>
      <c r="AF36" s="113">
        <f t="shared" si="3"/>
        <v>0</v>
      </c>
      <c r="AG36" s="115"/>
    </row>
    <row r="37" spans="1:33">
      <c r="A37" s="106">
        <f t="shared" si="7"/>
        <v>34</v>
      </c>
      <c r="B37" s="129" t="s">
        <v>436</v>
      </c>
      <c r="C37" s="129">
        <v>287681</v>
      </c>
      <c r="D37" s="107" t="s">
        <v>481</v>
      </c>
      <c r="E37" s="108" t="s">
        <v>482</v>
      </c>
      <c r="F37" s="109" t="s">
        <v>459</v>
      </c>
      <c r="G37" s="111">
        <v>1564898.9421516974</v>
      </c>
      <c r="H37" s="111">
        <v>281681.80958730553</v>
      </c>
      <c r="I37" s="110">
        <v>1846580.7517390028</v>
      </c>
      <c r="J37" s="111">
        <v>1215810.9652226728</v>
      </c>
      <c r="K37" s="111">
        <v>218845.9737400811</v>
      </c>
      <c r="L37" s="110">
        <v>1434656.9389627539</v>
      </c>
      <c r="M37" s="110">
        <v>3281237.6907017566</v>
      </c>
      <c r="N37" s="147">
        <v>0.56276957837335928</v>
      </c>
      <c r="O37" s="147">
        <v>0.43723042162664066</v>
      </c>
      <c r="P37" s="111"/>
      <c r="Q37" s="111">
        <v>185269.91</v>
      </c>
      <c r="R37" s="111">
        <v>49890.556498243284</v>
      </c>
      <c r="S37" s="111">
        <v>107428.92</v>
      </c>
      <c r="T37" s="111">
        <v>118056.15</v>
      </c>
      <c r="U37" s="111">
        <v>26554.36</v>
      </c>
      <c r="V37" s="111"/>
      <c r="W37" s="111"/>
      <c r="X37" s="111">
        <v>252039.43</v>
      </c>
      <c r="Y37" s="110">
        <v>3768437.5872000004</v>
      </c>
      <c r="Z37" s="111"/>
      <c r="AA37" s="116"/>
      <c r="AB37" s="112" t="s">
        <v>440</v>
      </c>
      <c r="AC37" s="113"/>
      <c r="AD37" s="114" t="str">
        <f t="shared" si="2"/>
        <v>CONTRATISTA</v>
      </c>
      <c r="AE37" s="110">
        <v>3768249.1388135594</v>
      </c>
      <c r="AF37" s="113">
        <f t="shared" si="3"/>
        <v>-188.4483864409849</v>
      </c>
      <c r="AG37" s="115"/>
    </row>
    <row r="38" spans="1:33">
      <c r="A38" s="106">
        <f t="shared" si="7"/>
        <v>35</v>
      </c>
      <c r="B38" s="129"/>
      <c r="C38" s="129">
        <v>292705</v>
      </c>
      <c r="D38" s="107" t="s">
        <v>461</v>
      </c>
      <c r="E38" s="108" t="s">
        <v>483</v>
      </c>
      <c r="F38" s="109" t="s">
        <v>439</v>
      </c>
      <c r="G38" s="111">
        <f>+'[2]35. MONTERRICO'!E64+'[2]35. MONTERRICO'!F64</f>
        <v>1132624.8107814169</v>
      </c>
      <c r="H38" s="111">
        <f>+'[2]35. MONTERRICO'!G64</f>
        <v>203872.46548500861</v>
      </c>
      <c r="I38" s="110">
        <f t="shared" si="8"/>
        <v>1336497.2762664256</v>
      </c>
      <c r="J38" s="111">
        <f>+'[2]35. MONTERRICO'!I64+'[2]35. MONTERRICO'!J64</f>
        <v>1353128.639218583</v>
      </c>
      <c r="K38" s="111">
        <f>+'[2]35. MONTERRICO'!K64</f>
        <v>243563.15451499145</v>
      </c>
      <c r="L38" s="110">
        <f t="shared" si="9"/>
        <v>1596691.7937335745</v>
      </c>
      <c r="M38" s="110">
        <f t="shared" si="4"/>
        <v>2933189.0700000003</v>
      </c>
      <c r="N38" s="147">
        <f t="shared" si="5"/>
        <v>0.45564648045904027</v>
      </c>
      <c r="O38" s="147">
        <f t="shared" si="6"/>
        <v>0.54435351954095967</v>
      </c>
      <c r="P38" s="111"/>
      <c r="Q38" s="111">
        <f>+'[2]35. MONTERRICO'!D32</f>
        <v>218547.40465084749</v>
      </c>
      <c r="R38" s="111">
        <f>+'[2]35. MONTERRICO'!D37</f>
        <v>24050</v>
      </c>
      <c r="S38" s="111">
        <f>+'[2]35. MONTERRICO'!F69</f>
        <v>39275.480000000003</v>
      </c>
      <c r="T38" s="111">
        <f>+'[2]35. MONTERRICO'!G69</f>
        <v>50425.13</v>
      </c>
      <c r="U38" s="111">
        <f>+'[2]35. MONTERRICO'!H69</f>
        <v>42000</v>
      </c>
      <c r="V38" s="111"/>
      <c r="W38" s="111"/>
      <c r="X38" s="111">
        <f t="shared" si="10"/>
        <v>131700.60999999999</v>
      </c>
      <c r="Y38" s="110">
        <f t="shared" si="1"/>
        <v>3307487.0846508476</v>
      </c>
      <c r="Z38" s="111"/>
      <c r="AA38" s="116"/>
      <c r="AB38" s="112" t="s">
        <v>440</v>
      </c>
      <c r="AC38" s="113"/>
      <c r="AD38" s="114" t="str">
        <f t="shared" si="2"/>
        <v>CONTRATISTA</v>
      </c>
      <c r="AE38" s="110">
        <v>3307487.0846508471</v>
      </c>
      <c r="AF38" s="113">
        <f t="shared" si="3"/>
        <v>0</v>
      </c>
      <c r="AG38" s="115"/>
    </row>
    <row r="39" spans="1:33">
      <c r="A39" s="106">
        <f t="shared" si="7"/>
        <v>36</v>
      </c>
      <c r="B39" s="106" t="s">
        <v>436</v>
      </c>
      <c r="C39" s="129">
        <v>291617</v>
      </c>
      <c r="D39" s="130" t="s">
        <v>484</v>
      </c>
      <c r="E39" s="120" t="s">
        <v>485</v>
      </c>
      <c r="F39" s="123" t="s">
        <v>439</v>
      </c>
      <c r="G39" s="111">
        <f>+'[2]36. SAN SEBASTIÁN'!D58+'[2]36. SAN SEBASTIÁN'!E58</f>
        <v>416714.95047347824</v>
      </c>
      <c r="H39" s="111">
        <f>+'[2]36. SAN SEBASTIÁN'!F58</f>
        <v>75008.691085226092</v>
      </c>
      <c r="I39" s="110">
        <f t="shared" si="8"/>
        <v>491723.64155870432</v>
      </c>
      <c r="J39" s="111">
        <f>+'[2]36. SAN SEBASTIÁN'!G58+'[2]36. SAN SEBASTIÁN'!H58</f>
        <v>637009.61847917642</v>
      </c>
      <c r="K39" s="111">
        <f>+'[2]36. SAN SEBASTIÁN'!I58</f>
        <v>114661.73132625176</v>
      </c>
      <c r="L39" s="110">
        <f t="shared" si="9"/>
        <v>751671.34980542818</v>
      </c>
      <c r="M39" s="110">
        <f t="shared" si="4"/>
        <v>1243394.9913641326</v>
      </c>
      <c r="N39" s="147">
        <f t="shared" si="5"/>
        <v>0.39546857191312373</v>
      </c>
      <c r="O39" s="147">
        <f t="shared" si="6"/>
        <v>0.60453142808687621</v>
      </c>
      <c r="P39" s="111"/>
      <c r="Q39" s="111">
        <f>+'[2]36. SAN SEBASTIÁN'!R39</f>
        <v>65700</v>
      </c>
      <c r="R39" s="111">
        <f>+'[2]36. SAN SEBASTIÁN'!R41</f>
        <v>22800</v>
      </c>
      <c r="S39" s="111">
        <f>+'[2]36. SAN SEBASTIÁN'!D68</f>
        <v>70210.802046899102</v>
      </c>
      <c r="T39" s="111">
        <f>+'[2]36. SAN SEBASTIÁN'!E68</f>
        <v>80378.721406674929</v>
      </c>
      <c r="U39" s="111">
        <f>+'[2]36. SAN SEBASTIÁN'!F68</f>
        <v>61600</v>
      </c>
      <c r="V39" s="111"/>
      <c r="W39" s="111">
        <f>+'[2]36. SAN SEBASTIÁN'!B82</f>
        <v>53919.335182293595</v>
      </c>
      <c r="X39" s="111">
        <f t="shared" si="10"/>
        <v>266108.85863586765</v>
      </c>
      <c r="Y39" s="110">
        <f t="shared" si="1"/>
        <v>1598003.8500000003</v>
      </c>
      <c r="Z39" s="111"/>
      <c r="AA39" s="116"/>
      <c r="AB39" s="112" t="s">
        <v>440</v>
      </c>
      <c r="AC39" s="113"/>
      <c r="AD39" s="114" t="str">
        <f t="shared" si="2"/>
        <v>NE</v>
      </c>
      <c r="AE39" s="110">
        <v>1598003.85</v>
      </c>
      <c r="AF39" s="113">
        <f t="shared" si="3"/>
        <v>0</v>
      </c>
      <c r="AG39" s="115"/>
    </row>
    <row r="40" spans="1:33">
      <c r="A40" s="106">
        <f t="shared" si="7"/>
        <v>37</v>
      </c>
      <c r="B40" s="106" t="s">
        <v>436</v>
      </c>
      <c r="C40" s="129">
        <v>293341</v>
      </c>
      <c r="D40" s="130" t="s">
        <v>484</v>
      </c>
      <c r="E40" s="120" t="s">
        <v>486</v>
      </c>
      <c r="F40" s="123" t="s">
        <v>439</v>
      </c>
      <c r="G40" s="111">
        <f>+'[2]37. SANTA MARTHA'!I49+'[2]37. SANTA MARTHA'!J49</f>
        <v>568196.34617856226</v>
      </c>
      <c r="H40" s="111"/>
      <c r="I40" s="110">
        <f t="shared" si="8"/>
        <v>568196.34617856226</v>
      </c>
      <c r="J40" s="111">
        <f>+'[2]37. SANTA MARTHA'!L49+'[2]37. SANTA MARTHA'!M49</f>
        <v>1458305.1198355306</v>
      </c>
      <c r="K40" s="111"/>
      <c r="L40" s="110">
        <f t="shared" si="9"/>
        <v>1458305.1198355306</v>
      </c>
      <c r="M40" s="110">
        <f t="shared" si="4"/>
        <v>2026501.4660140928</v>
      </c>
      <c r="N40" s="147">
        <f t="shared" si="5"/>
        <v>0.28038289421825213</v>
      </c>
      <c r="O40" s="147">
        <f t="shared" si="6"/>
        <v>0.71961710578174787</v>
      </c>
      <c r="P40" s="111"/>
      <c r="Q40" s="111">
        <f>+'[2]37. SANTA MARTHA'!J19</f>
        <v>67500</v>
      </c>
      <c r="R40" s="111">
        <f>+'[2]37. SANTA MARTHA'!J32</f>
        <v>22800</v>
      </c>
      <c r="S40" s="111">
        <f>+'[2]37. SANTA MARTHA'!F61</f>
        <v>64161.211364652801</v>
      </c>
      <c r="T40" s="111">
        <f>+'[2]37. SANTA MARTHA'!G61</f>
        <v>70356.473464658164</v>
      </c>
      <c r="U40" s="111">
        <f>+'[2]37. SANTA MARTHA'!H61</f>
        <v>61600</v>
      </c>
      <c r="V40" s="111"/>
      <c r="W40" s="111">
        <f>+'[2]37. SANTA MARTHA'!D76</f>
        <v>55392.822698178235</v>
      </c>
      <c r="X40" s="111">
        <f t="shared" si="10"/>
        <v>251510.50752748922</v>
      </c>
      <c r="Y40" s="110">
        <f t="shared" si="1"/>
        <v>2368311.973541582</v>
      </c>
      <c r="Z40" s="111"/>
      <c r="AA40" s="116"/>
      <c r="AB40" s="112" t="s">
        <v>440</v>
      </c>
      <c r="AC40" s="113"/>
      <c r="AD40" s="114" t="str">
        <f t="shared" si="2"/>
        <v>NE</v>
      </c>
      <c r="AE40" s="110">
        <v>2368311.973541582</v>
      </c>
      <c r="AF40" s="113">
        <f t="shared" si="3"/>
        <v>0</v>
      </c>
      <c r="AG40" s="115"/>
    </row>
    <row r="41" spans="1:33">
      <c r="A41" s="106">
        <f t="shared" si="7"/>
        <v>38</v>
      </c>
      <c r="B41" s="106" t="s">
        <v>436</v>
      </c>
      <c r="C41" s="129">
        <v>306744</v>
      </c>
      <c r="D41" s="130" t="s">
        <v>484</v>
      </c>
      <c r="E41" s="120" t="s">
        <v>487</v>
      </c>
      <c r="F41" s="123" t="s">
        <v>439</v>
      </c>
      <c r="G41" s="111">
        <f>+'[2]38. CAMPA PAURIALI'!I49+'[2]38. CAMPA PAURIALI'!J49</f>
        <v>358907.28014489164</v>
      </c>
      <c r="H41" s="111"/>
      <c r="I41" s="110">
        <f t="shared" si="8"/>
        <v>358907.28014489164</v>
      </c>
      <c r="J41" s="111">
        <f>+'[2]38. CAMPA PAURIALI'!L49+'[2]38. CAMPA PAURIALI'!M49</f>
        <v>616866.74824060814</v>
      </c>
      <c r="K41" s="111"/>
      <c r="L41" s="110">
        <f t="shared" si="9"/>
        <v>616866.74824060814</v>
      </c>
      <c r="M41" s="110">
        <f t="shared" si="4"/>
        <v>975774.02838549973</v>
      </c>
      <c r="N41" s="147">
        <f t="shared" si="5"/>
        <v>0.36781802928156837</v>
      </c>
      <c r="O41" s="147">
        <f t="shared" si="6"/>
        <v>0.63218197071843174</v>
      </c>
      <c r="P41" s="111"/>
      <c r="Q41" s="111">
        <f>+'[2]38. CAMPA PAURIALI'!J19</f>
        <v>54750</v>
      </c>
      <c r="R41" s="111">
        <f>+'[2]38. CAMPA PAURIALI'!J32</f>
        <v>22800</v>
      </c>
      <c r="S41" s="111">
        <f>+'[2]38. CAMPA PAURIALI'!F61</f>
        <v>55608.044881751055</v>
      </c>
      <c r="T41" s="111">
        <f>+'[2]38. CAMPA PAURIALI'!G61</f>
        <v>67064.873464658172</v>
      </c>
      <c r="U41" s="111">
        <f>+'[2]38. CAMPA PAURIALI'!H61</f>
        <v>57250</v>
      </c>
      <c r="V41" s="111"/>
      <c r="W41" s="111">
        <f>+'[2]38. CAMPA PAURIALI'!D75</f>
        <v>47190.622698178238</v>
      </c>
      <c r="X41" s="111">
        <f t="shared" si="10"/>
        <v>227113.54104458744</v>
      </c>
      <c r="Y41" s="110">
        <f t="shared" si="1"/>
        <v>1280437.5694300872</v>
      </c>
      <c r="Z41" s="111"/>
      <c r="AA41" s="116"/>
      <c r="AB41" s="112" t="s">
        <v>440</v>
      </c>
      <c r="AC41" s="113"/>
      <c r="AD41" s="114" t="str">
        <f t="shared" si="2"/>
        <v>NE</v>
      </c>
      <c r="AE41" s="110">
        <v>1280437.5694300872</v>
      </c>
      <c r="AF41" s="113">
        <f t="shared" si="3"/>
        <v>0</v>
      </c>
      <c r="AG41" s="115"/>
    </row>
    <row r="42" spans="1:33">
      <c r="A42" s="106">
        <f t="shared" si="7"/>
        <v>39</v>
      </c>
      <c r="B42" s="106" t="s">
        <v>436</v>
      </c>
      <c r="C42" s="129">
        <v>306781</v>
      </c>
      <c r="D42" s="130" t="s">
        <v>484</v>
      </c>
      <c r="E42" s="120" t="s">
        <v>488</v>
      </c>
      <c r="F42" s="109" t="s">
        <v>439</v>
      </c>
      <c r="G42" s="111">
        <f>+'[2]39. ALTO HUAHUARI'!I49+'[2]39. ALTO HUAHUARI'!J49</f>
        <v>619222.17992826388</v>
      </c>
      <c r="H42" s="111"/>
      <c r="I42" s="110">
        <f t="shared" si="8"/>
        <v>619222.17992826388</v>
      </c>
      <c r="J42" s="111">
        <f>+'[2]39. ALTO HUAHUARI'!L49+'[2]39. ALTO HUAHUARI'!M49</f>
        <v>880207.39877165109</v>
      </c>
      <c r="K42" s="111"/>
      <c r="L42" s="110">
        <f t="shared" si="9"/>
        <v>880207.39877165109</v>
      </c>
      <c r="M42" s="110">
        <f t="shared" si="4"/>
        <v>1499429.578699915</v>
      </c>
      <c r="N42" s="147">
        <f t="shared" si="5"/>
        <v>0.41297183190501174</v>
      </c>
      <c r="O42" s="147">
        <f t="shared" si="6"/>
        <v>0.58702816809498826</v>
      </c>
      <c r="P42" s="111"/>
      <c r="Q42" s="111">
        <f>+'[2]39. ALTO HUAHUARI'!J19</f>
        <v>67500</v>
      </c>
      <c r="R42" s="111">
        <f>+'[2]39. ALTO HUAHUARI'!J32</f>
        <v>22800</v>
      </c>
      <c r="S42" s="111">
        <f>+'[2]39. ALTO HUAHUARI'!F61</f>
        <v>60449.440000000002</v>
      </c>
      <c r="T42" s="111">
        <f>+'[2]39. ALTO HUAHUARI'!G61</f>
        <v>68898.27</v>
      </c>
      <c r="U42" s="111">
        <f>+'[2]39. ALTO HUAHUARI'!H61</f>
        <v>60200</v>
      </c>
      <c r="V42" s="111"/>
      <c r="W42" s="111">
        <f>+'[2]39. ALTO HUAHUARI'!D75</f>
        <v>53914.92</v>
      </c>
      <c r="X42" s="111">
        <f t="shared" si="10"/>
        <v>243462.63</v>
      </c>
      <c r="Y42" s="110">
        <f t="shared" si="1"/>
        <v>1833192.2086999151</v>
      </c>
      <c r="Z42" s="111"/>
      <c r="AA42" s="116"/>
      <c r="AB42" s="112" t="s">
        <v>440</v>
      </c>
      <c r="AC42" s="113"/>
      <c r="AD42" s="114" t="str">
        <f t="shared" si="2"/>
        <v>NE</v>
      </c>
      <c r="AE42" s="110">
        <v>1833192.2086999151</v>
      </c>
      <c r="AF42" s="113">
        <f t="shared" si="3"/>
        <v>0</v>
      </c>
      <c r="AG42" s="115"/>
    </row>
    <row r="43" spans="1:33" ht="22.5">
      <c r="A43" s="106">
        <f t="shared" si="7"/>
        <v>40</v>
      </c>
      <c r="B43" s="106" t="s">
        <v>436</v>
      </c>
      <c r="C43" s="129">
        <v>293348</v>
      </c>
      <c r="D43" s="130" t="s">
        <v>484</v>
      </c>
      <c r="E43" s="120" t="s">
        <v>489</v>
      </c>
      <c r="F43" s="109" t="s">
        <v>439</v>
      </c>
      <c r="G43" s="111">
        <f>+'[2]40. SAN JOSE DE PAURIALI '!I49+'[2]40. SAN JOSE DE PAURIALI '!J49</f>
        <v>343689.53638747119</v>
      </c>
      <c r="H43" s="111"/>
      <c r="I43" s="110">
        <f t="shared" ref="I43:I67" si="11">SUM(G43:H43)</f>
        <v>343689.53638747119</v>
      </c>
      <c r="J43" s="111">
        <f>+'[2]40. SAN JOSE DE PAURIALI '!L49+'[2]40. SAN JOSE DE PAURIALI '!M49</f>
        <v>1057350.0722040727</v>
      </c>
      <c r="K43" s="111"/>
      <c r="L43" s="110">
        <f t="shared" ref="L43:L67" si="12">SUM(J43:K43)</f>
        <v>1057350.0722040727</v>
      </c>
      <c r="M43" s="110">
        <f t="shared" si="4"/>
        <v>1401039.608591544</v>
      </c>
      <c r="N43" s="147">
        <f t="shared" si="5"/>
        <v>0.24531036401817366</v>
      </c>
      <c r="O43" s="147">
        <f t="shared" si="6"/>
        <v>0.75468963598182626</v>
      </c>
      <c r="P43" s="111"/>
      <c r="Q43" s="111">
        <f>+'[2]40. SAN JOSE DE PAURIALI '!J18</f>
        <v>67500</v>
      </c>
      <c r="R43" s="111">
        <f>+'[2]40. SAN JOSE DE PAURIALI '!J31</f>
        <v>22800</v>
      </c>
      <c r="S43" s="111">
        <f>+'[2]40. SAN JOSE DE PAURIALI '!F61</f>
        <v>59983.108807569224</v>
      </c>
      <c r="T43" s="111">
        <f>+'[2]40. SAN JOSE DE PAURIALI '!G61</f>
        <v>68879.07346465817</v>
      </c>
      <c r="U43" s="111">
        <f>+'[2]40. SAN JOSE DE PAURIALI '!H61</f>
        <v>60200</v>
      </c>
      <c r="V43" s="111"/>
      <c r="W43" s="111">
        <f>+'[2]40. SAN JOSE DE PAURIALI '!D75</f>
        <v>53898.52269817824</v>
      </c>
      <c r="X43" s="111">
        <f t="shared" si="10"/>
        <v>242960.70497040564</v>
      </c>
      <c r="Y43" s="110">
        <f t="shared" si="1"/>
        <v>1734300.3135619496</v>
      </c>
      <c r="Z43" s="111"/>
      <c r="AA43" s="116"/>
      <c r="AB43" s="112" t="s">
        <v>440</v>
      </c>
      <c r="AC43" s="113"/>
      <c r="AD43" s="114" t="str">
        <f t="shared" si="2"/>
        <v>NE</v>
      </c>
      <c r="AE43" s="110">
        <v>1734300.3135619494</v>
      </c>
      <c r="AF43" s="113">
        <f t="shared" si="3"/>
        <v>0</v>
      </c>
      <c r="AG43" s="115"/>
    </row>
    <row r="44" spans="1:33" s="134" customFormat="1">
      <c r="A44" s="106">
        <f t="shared" si="7"/>
        <v>41</v>
      </c>
      <c r="B44" s="129" t="s">
        <v>436</v>
      </c>
      <c r="C44" s="129">
        <v>291797</v>
      </c>
      <c r="D44" s="130" t="s">
        <v>484</v>
      </c>
      <c r="E44" s="120" t="s">
        <v>490</v>
      </c>
      <c r="F44" s="109" t="s">
        <v>449</v>
      </c>
      <c r="G44" s="111">
        <f>+'[2]41. SHEVOJA'!F52+'[2]41. SHEVOJA'!G52</f>
        <v>1431699.4581597368</v>
      </c>
      <c r="H44" s="111">
        <f>+'[2]41. SHEVOJA'!H52</f>
        <v>257705.90246875261</v>
      </c>
      <c r="I44" s="110">
        <f t="shared" si="11"/>
        <v>1689405.3606284894</v>
      </c>
      <c r="J44" s="111">
        <f>+'[2]41. SHEVOJA'!I52+'[2]41. SHEVOJA'!J52</f>
        <v>2685239.8018402634</v>
      </c>
      <c r="K44" s="111">
        <f>+'[2]41. SHEVOJA'!K52</f>
        <v>483343.16433124739</v>
      </c>
      <c r="L44" s="110">
        <f t="shared" si="12"/>
        <v>3168582.966171511</v>
      </c>
      <c r="M44" s="110">
        <f t="shared" si="4"/>
        <v>4857988.3267999999</v>
      </c>
      <c r="N44" s="147">
        <f t="shared" si="5"/>
        <v>0.34775821738981322</v>
      </c>
      <c r="O44" s="147">
        <f t="shared" si="6"/>
        <v>0.65224178261018684</v>
      </c>
      <c r="P44" s="111"/>
      <c r="Q44" s="111">
        <f>+'[2]41. SHEVOJA'!F15</f>
        <v>162200.91</v>
      </c>
      <c r="R44" s="176"/>
      <c r="S44" s="111">
        <f>+'[2]41. SHEVOJA'!G57</f>
        <v>102360.08267948344</v>
      </c>
      <c r="T44" s="111">
        <f>+'[2]41. SHEVOJA'!H57</f>
        <v>112399.88334051656</v>
      </c>
      <c r="U44" s="111">
        <f>+'[2]41. SHEVOJA'!I57</f>
        <v>88179.087199999994</v>
      </c>
      <c r="V44" s="111"/>
      <c r="W44" s="111"/>
      <c r="X44" s="111">
        <f t="shared" si="10"/>
        <v>302939.05322</v>
      </c>
      <c r="Y44" s="110">
        <f t="shared" si="1"/>
        <v>5323128.2900200002</v>
      </c>
      <c r="Z44" s="111"/>
      <c r="AA44" s="116"/>
      <c r="AB44" s="112" t="s">
        <v>440</v>
      </c>
      <c r="AC44" s="113"/>
      <c r="AD44" s="114" t="str">
        <f t="shared" si="2"/>
        <v>CONTRATISTA</v>
      </c>
      <c r="AE44" s="110">
        <v>5323128.2900200011</v>
      </c>
      <c r="AF44" s="113">
        <f t="shared" si="3"/>
        <v>0</v>
      </c>
      <c r="AG44" s="115"/>
    </row>
    <row r="45" spans="1:33" s="134" customFormat="1">
      <c r="A45" s="106">
        <f t="shared" si="7"/>
        <v>42</v>
      </c>
      <c r="B45" s="135"/>
      <c r="C45" s="135">
        <v>291531</v>
      </c>
      <c r="D45" s="107" t="s">
        <v>484</v>
      </c>
      <c r="E45" s="108" t="s">
        <v>491</v>
      </c>
      <c r="F45" s="109" t="s">
        <v>439</v>
      </c>
      <c r="G45" s="111">
        <f>+'[2]42. CENTRO HUAHUARI'!D77+'[2]42. CENTRO HUAHUARI'!E77</f>
        <v>402819.63995687908</v>
      </c>
      <c r="H45" s="111">
        <f>+'[2]42. CENTRO HUAHUARI'!F77</f>
        <v>30713.062881355901</v>
      </c>
      <c r="I45" s="110">
        <f t="shared" si="11"/>
        <v>433532.70283823495</v>
      </c>
      <c r="J45" s="111">
        <f>+'[2]42. CENTRO HUAHUARI'!G77+'[2]42. CENTRO HUAHUARI'!H77</f>
        <v>1066446.4542974671</v>
      </c>
      <c r="K45" s="111">
        <f>+'[2]42. CENTRO HUAHUARI'!I77</f>
        <v>110885.23525423722</v>
      </c>
      <c r="L45" s="110">
        <f t="shared" si="12"/>
        <v>1177331.6895517043</v>
      </c>
      <c r="M45" s="110">
        <f t="shared" si="4"/>
        <v>1610864.3923899392</v>
      </c>
      <c r="N45" s="147">
        <f t="shared" si="5"/>
        <v>0.26913047733026707</v>
      </c>
      <c r="O45" s="147">
        <f t="shared" si="6"/>
        <v>0.73086952266973304</v>
      </c>
      <c r="P45" s="111">
        <f>+'[2]42. CENTRO HUAHUARI'!G29+'[2]42. CENTRO HUAHUARI'!G30</f>
        <v>48367.19</v>
      </c>
      <c r="Q45" s="111">
        <f>+'[2]42. CENTRO HUAHUARI'!G31</f>
        <v>67500</v>
      </c>
      <c r="R45" s="111">
        <f>+'[2]42. CENTRO HUAHUARI'!G34</f>
        <v>22800</v>
      </c>
      <c r="S45" s="111">
        <f>+'[2]42. CENTRO HUAHUARI'!E82</f>
        <v>62593.753661525894</v>
      </c>
      <c r="T45" s="111">
        <f>+'[2]42. CENTRO HUAHUARI'!F82</f>
        <v>69893.48</v>
      </c>
      <c r="U45" s="111">
        <f>+'[2]42. CENTRO HUAHUARI'!G82</f>
        <v>61600</v>
      </c>
      <c r="V45" s="111"/>
      <c r="W45" s="111">
        <f>+'[2]42. CENTRO HUAHUARI'!C107</f>
        <v>54324.82</v>
      </c>
      <c r="X45" s="111">
        <f t="shared" si="10"/>
        <v>248412.05366152589</v>
      </c>
      <c r="Y45" s="110">
        <f t="shared" si="1"/>
        <v>1997943.6360514651</v>
      </c>
      <c r="Z45" s="111"/>
      <c r="AA45" s="116"/>
      <c r="AB45" s="132" t="s">
        <v>492</v>
      </c>
      <c r="AC45" s="113"/>
      <c r="AD45" s="114" t="str">
        <f t="shared" si="2"/>
        <v>NE</v>
      </c>
      <c r="AE45" s="110">
        <v>1997943.6360514651</v>
      </c>
      <c r="AF45" s="113">
        <f t="shared" si="3"/>
        <v>0</v>
      </c>
      <c r="AG45" s="115"/>
    </row>
    <row r="46" spans="1:33" s="134" customFormat="1">
      <c r="A46" s="106">
        <f t="shared" si="7"/>
        <v>43</v>
      </c>
      <c r="B46" s="136"/>
      <c r="C46" s="136">
        <v>291566</v>
      </c>
      <c r="D46" s="107" t="s">
        <v>484</v>
      </c>
      <c r="E46" s="125" t="s">
        <v>493</v>
      </c>
      <c r="F46" s="109" t="s">
        <v>449</v>
      </c>
      <c r="G46" s="111">
        <f>+'[2]43. ANAPATE'!E5+'[2]43. ANAPATE'!F5+'[2]43. ANAPATE'!G5</f>
        <v>1121216.5440000002</v>
      </c>
      <c r="H46" s="111">
        <f>+'[2]43. ANAPATE'!I5</f>
        <v>201818.97791999998</v>
      </c>
      <c r="I46" s="110">
        <f t="shared" si="11"/>
        <v>1323035.5219200002</v>
      </c>
      <c r="J46" s="111">
        <f>+'[2]43. ANAPATE'!E43+'[2]43. ANAPATE'!F43+'[2]43. ANAPATE'!G43</f>
        <v>1047189.7320000001</v>
      </c>
      <c r="K46" s="111">
        <f>+'[2]43. ANAPATE'!I43</f>
        <v>188494.15176000001</v>
      </c>
      <c r="L46" s="110">
        <f t="shared" si="12"/>
        <v>1235683.8837600001</v>
      </c>
      <c r="M46" s="110">
        <f t="shared" si="4"/>
        <v>2558719.4056800003</v>
      </c>
      <c r="N46" s="147">
        <f t="shared" si="5"/>
        <v>0.517069405493641</v>
      </c>
      <c r="O46" s="147">
        <f t="shared" si="6"/>
        <v>0.482930594506359</v>
      </c>
      <c r="P46" s="111">
        <f>+'[2]43. ANAPATE'!J32+'[2]43. ANAPATE'!J33+'[2]43. ANAPATE'!J55+'[2]43. ANAPATE'!J56</f>
        <v>54310.439999999995</v>
      </c>
      <c r="Q46" s="111">
        <f>+'[2]43. ANAPATE'!J34+'[2]43. ANAPATE'!J57</f>
        <v>90350.261500000022</v>
      </c>
      <c r="R46" s="111"/>
      <c r="S46" s="111">
        <f>+'[2]43. ANAPATE'!J15+'[2]43. ANAPATE'!J51</f>
        <v>133585.66133428572</v>
      </c>
      <c r="T46" s="111">
        <f>+'[2]43. ANAPATE'!J26</f>
        <v>72477.184950714291</v>
      </c>
      <c r="U46" s="170"/>
      <c r="V46" s="111">
        <f>+'[2]43. ANAPATE'!J35+'[2]43. ANAPATE'!J58</f>
        <v>29008.864258928574</v>
      </c>
      <c r="W46" s="111"/>
      <c r="X46" s="111">
        <f t="shared" si="10"/>
        <v>235071.71054392858</v>
      </c>
      <c r="Y46" s="110">
        <f t="shared" si="1"/>
        <v>2938451.817723929</v>
      </c>
      <c r="Z46" s="111">
        <f>+'[2]43. ANAPATE'!L36+'[2]43. ANAPATE'!$L$59</f>
        <v>2427220.5003237836</v>
      </c>
      <c r="AA46" s="116">
        <f>+Z46/Y46</f>
        <v>0.82602018031517843</v>
      </c>
      <c r="AB46" s="119" t="s">
        <v>450</v>
      </c>
      <c r="AC46" s="113"/>
      <c r="AD46" s="114" t="str">
        <f t="shared" si="2"/>
        <v>CONTRATISTA</v>
      </c>
      <c r="AE46" s="110">
        <v>2938451.8177239285</v>
      </c>
      <c r="AF46" s="113">
        <f t="shared" si="3"/>
        <v>0</v>
      </c>
      <c r="AG46" s="115"/>
    </row>
    <row r="47" spans="1:33" s="134" customFormat="1">
      <c r="A47" s="106">
        <f t="shared" si="7"/>
        <v>44</v>
      </c>
      <c r="B47" s="129"/>
      <c r="C47" s="129">
        <v>292308</v>
      </c>
      <c r="D47" s="107" t="s">
        <v>484</v>
      </c>
      <c r="E47" s="108" t="s">
        <v>494</v>
      </c>
      <c r="F47" s="109" t="s">
        <v>439</v>
      </c>
      <c r="G47" s="111">
        <f>+'[2]44. BAJO CELENDIN'!D75+'[2]44. BAJO CELENDIN'!E75</f>
        <v>498053.43074387824</v>
      </c>
      <c r="H47" s="111"/>
      <c r="I47" s="110">
        <f t="shared" si="11"/>
        <v>498053.43074387824</v>
      </c>
      <c r="J47" s="111">
        <f>+'[2]44. BAJO CELENDIN'!G75+'[2]44. BAJO CELENDIN'!H75</f>
        <v>710899.04163415567</v>
      </c>
      <c r="K47" s="111"/>
      <c r="L47" s="110">
        <f t="shared" si="12"/>
        <v>710899.04163415567</v>
      </c>
      <c r="M47" s="110">
        <f t="shared" si="4"/>
        <v>1208952.4723780339</v>
      </c>
      <c r="N47" s="147">
        <f t="shared" si="5"/>
        <v>0.41197105934544898</v>
      </c>
      <c r="O47" s="147">
        <f t="shared" si="6"/>
        <v>0.58802894065455102</v>
      </c>
      <c r="P47" s="111"/>
      <c r="Q47" s="111">
        <f>+'[2]44. BAJO CELENDIN'!F46</f>
        <v>54750</v>
      </c>
      <c r="R47" s="111">
        <f>+'[2]44. BAJO CELENDIN'!F49</f>
        <v>19800</v>
      </c>
      <c r="S47" s="111">
        <f>+'[2]44. BAJO CELENDIN'!E80</f>
        <v>32985.379999999997</v>
      </c>
      <c r="T47" s="111">
        <f>+'[2]44. BAJO CELENDIN'!F80</f>
        <v>44433.2</v>
      </c>
      <c r="U47" s="111">
        <f>+'[2]44. BAJO CELENDIN'!G80</f>
        <v>35000</v>
      </c>
      <c r="V47" s="111"/>
      <c r="W47" s="111">
        <f>+'[2]44. BAJO CELENDIN'!C95</f>
        <v>14842</v>
      </c>
      <c r="X47" s="111">
        <f t="shared" si="10"/>
        <v>127260.57999999999</v>
      </c>
      <c r="Y47" s="110">
        <f t="shared" si="1"/>
        <v>1410763.052378034</v>
      </c>
      <c r="Z47" s="111"/>
      <c r="AA47" s="116"/>
      <c r="AB47" s="112" t="s">
        <v>440</v>
      </c>
      <c r="AC47" s="113"/>
      <c r="AD47" s="114" t="str">
        <f t="shared" si="2"/>
        <v>NE</v>
      </c>
      <c r="AE47" s="110">
        <v>1410763.052378034</v>
      </c>
      <c r="AF47" s="113">
        <f t="shared" si="3"/>
        <v>0</v>
      </c>
      <c r="AG47" s="115"/>
    </row>
    <row r="48" spans="1:33" s="134" customFormat="1" ht="22.5">
      <c r="A48" s="106">
        <f t="shared" si="7"/>
        <v>45</v>
      </c>
      <c r="B48" s="129"/>
      <c r="C48" s="129">
        <v>292126</v>
      </c>
      <c r="D48" s="107" t="s">
        <v>484</v>
      </c>
      <c r="E48" s="108" t="s">
        <v>495</v>
      </c>
      <c r="F48" s="109" t="s">
        <v>439</v>
      </c>
      <c r="G48" s="111">
        <f>+'[2]45. SAN VICENTE DE CAÑETE'!D67+'[2]45. SAN VICENTE DE CAÑETE'!E67</f>
        <v>561978.65083945845</v>
      </c>
      <c r="H48" s="111"/>
      <c r="I48" s="110">
        <f t="shared" si="11"/>
        <v>561978.65083945845</v>
      </c>
      <c r="J48" s="111">
        <f>+'[2]45. SAN VICENTE DE CAÑETE'!G67+'[2]45. SAN VICENTE DE CAÑETE'!H67</f>
        <v>726959.92423992488</v>
      </c>
      <c r="K48" s="111"/>
      <c r="L48" s="110">
        <f t="shared" si="12"/>
        <v>726959.92423992488</v>
      </c>
      <c r="M48" s="110">
        <f t="shared" si="4"/>
        <v>1288938.5750793833</v>
      </c>
      <c r="N48" s="147">
        <f t="shared" si="5"/>
        <v>0.43600111107299838</v>
      </c>
      <c r="O48" s="147">
        <f t="shared" si="6"/>
        <v>0.56399888892700167</v>
      </c>
      <c r="P48" s="111"/>
      <c r="Q48" s="111">
        <f>+'[2]45. SAN VICENTE DE CAÑETE'!G38</f>
        <v>54750</v>
      </c>
      <c r="R48" s="111">
        <f>+'[2]45. SAN VICENTE DE CAÑETE'!G41</f>
        <v>19800</v>
      </c>
      <c r="S48" s="111">
        <f>+'[2]45. SAN VICENTE DE CAÑETE'!E72</f>
        <v>32983.58</v>
      </c>
      <c r="T48" s="111">
        <f>+'[2]45. SAN VICENTE DE CAÑETE'!F72</f>
        <v>44431.795948161009</v>
      </c>
      <c r="U48" s="111">
        <f>+'[2]45. SAN VICENTE DE CAÑETE'!G72</f>
        <v>35000</v>
      </c>
      <c r="V48" s="111"/>
      <c r="W48" s="111">
        <f>+'[2]45. SAN VICENTE DE CAÑETE'!C87</f>
        <v>14842</v>
      </c>
      <c r="X48" s="111">
        <f t="shared" si="10"/>
        <v>127257.375948161</v>
      </c>
      <c r="Y48" s="110">
        <f t="shared" si="1"/>
        <v>1490745.9510275442</v>
      </c>
      <c r="Z48" s="111"/>
      <c r="AA48" s="116"/>
      <c r="AB48" s="112" t="s">
        <v>440</v>
      </c>
      <c r="AC48" s="113"/>
      <c r="AD48" s="114" t="str">
        <f t="shared" si="2"/>
        <v>NE</v>
      </c>
      <c r="AE48" s="110">
        <v>1490745.9510275444</v>
      </c>
      <c r="AF48" s="113">
        <f t="shared" si="3"/>
        <v>0</v>
      </c>
      <c r="AG48" s="115"/>
    </row>
    <row r="49" spans="1:33" s="134" customFormat="1">
      <c r="A49" s="106">
        <f t="shared" si="7"/>
        <v>46</v>
      </c>
      <c r="B49" s="129"/>
      <c r="C49" s="129">
        <v>292164</v>
      </c>
      <c r="D49" s="107" t="s">
        <v>484</v>
      </c>
      <c r="E49" s="108" t="s">
        <v>496</v>
      </c>
      <c r="F49" s="109" t="s">
        <v>439</v>
      </c>
      <c r="G49" s="111">
        <f>+'[2]46. CENTRO PIOTOA'!D66+'[2]46. CENTRO PIOTOA'!E66</f>
        <v>351156.49694448424</v>
      </c>
      <c r="H49" s="111"/>
      <c r="I49" s="110">
        <f t="shared" si="11"/>
        <v>351156.49694448424</v>
      </c>
      <c r="J49" s="111">
        <f>+'[2]46. CENTRO PIOTOA'!G66+'[2]46. CENTRO PIOTOA'!H66</f>
        <v>505824.86225733475</v>
      </c>
      <c r="K49" s="111"/>
      <c r="L49" s="110">
        <f t="shared" si="12"/>
        <v>505824.86225733475</v>
      </c>
      <c r="M49" s="110">
        <f t="shared" si="4"/>
        <v>856981.35920181894</v>
      </c>
      <c r="N49" s="147">
        <f t="shared" si="5"/>
        <v>0.40975978435697452</v>
      </c>
      <c r="O49" s="147">
        <f t="shared" si="6"/>
        <v>0.59024021564302553</v>
      </c>
      <c r="P49" s="111"/>
      <c r="Q49" s="111">
        <f>+'[2]46. CENTRO PIOTOA'!G37</f>
        <v>56250</v>
      </c>
      <c r="R49" s="111">
        <f>+'[2]46. CENTRO PIOTOA'!G40</f>
        <v>19800</v>
      </c>
      <c r="S49" s="111">
        <f>+'[2]46. CENTRO PIOTOA'!E71</f>
        <v>32948.269999999997</v>
      </c>
      <c r="T49" s="111">
        <f>+'[2]46. CENTRO PIOTOA'!F71</f>
        <v>44405.2</v>
      </c>
      <c r="U49" s="111">
        <f>+'[2]46. CENTRO PIOTOA'!G71</f>
        <v>35000</v>
      </c>
      <c r="V49" s="111"/>
      <c r="W49" s="111">
        <f>+'[2]46. CENTRO PIOTOA'!C84</f>
        <v>14842</v>
      </c>
      <c r="X49" s="111">
        <f t="shared" si="10"/>
        <v>127195.47</v>
      </c>
      <c r="Y49" s="110">
        <f t="shared" si="1"/>
        <v>1060226.8292018189</v>
      </c>
      <c r="Z49" s="111"/>
      <c r="AA49" s="116"/>
      <c r="AB49" s="112" t="s">
        <v>440</v>
      </c>
      <c r="AC49" s="113"/>
      <c r="AD49" s="114" t="str">
        <f t="shared" si="2"/>
        <v>NE</v>
      </c>
      <c r="AE49" s="110">
        <v>1060226.8292018189</v>
      </c>
      <c r="AF49" s="113">
        <f t="shared" si="3"/>
        <v>0</v>
      </c>
      <c r="AG49" s="115"/>
    </row>
    <row r="50" spans="1:33" s="134" customFormat="1" ht="22.5">
      <c r="A50" s="106">
        <f t="shared" si="7"/>
        <v>47</v>
      </c>
      <c r="B50" s="136"/>
      <c r="C50" s="136">
        <v>293337</v>
      </c>
      <c r="D50" s="107" t="s">
        <v>484</v>
      </c>
      <c r="E50" s="108" t="s">
        <v>497</v>
      </c>
      <c r="F50" s="123" t="s">
        <v>439</v>
      </c>
      <c r="G50" s="111">
        <f>+'[2]47. SAN MIGUEL DE CUVIRIAKI'!E5+'[2]47. SAN MIGUEL DE CUVIRIAKI'!F5+'[2]47. SAN MIGUEL DE CUVIRIAKI'!G5</f>
        <v>1586327.3700112337</v>
      </c>
      <c r="H50" s="111">
        <f>+'[2]47. SAN MIGUEL DE CUVIRIAKI'!I5</f>
        <v>285538.92660202208</v>
      </c>
      <c r="I50" s="110">
        <f t="shared" si="11"/>
        <v>1871866.2966132557</v>
      </c>
      <c r="J50" s="111">
        <f>+'[2]47. SAN MIGUEL DE CUVIRIAKI'!E50+'[2]47. SAN MIGUEL DE CUVIRIAKI'!F50+'[2]47. SAN MIGUEL DE CUVIRIAKI'!G50</f>
        <v>1042091.3688876908</v>
      </c>
      <c r="K50" s="111">
        <f>+'[2]47. SAN MIGUEL DE CUVIRIAKI'!I50</f>
        <v>187576.44639978436</v>
      </c>
      <c r="L50" s="110">
        <f t="shared" si="12"/>
        <v>1229667.8152874752</v>
      </c>
      <c r="M50" s="110">
        <f t="shared" si="4"/>
        <v>3101534.111900731</v>
      </c>
      <c r="N50" s="147">
        <f t="shared" si="5"/>
        <v>0.60352916623770714</v>
      </c>
      <c r="O50" s="147">
        <f t="shared" si="6"/>
        <v>0.39647083376229281</v>
      </c>
      <c r="P50" s="111">
        <f>+'[2]47. SAN MIGUEL DE CUVIRIAKI'!J39+'[2]47. SAN MIGUEL DE CUVIRIAKI'!J40+'[2]47. SAN MIGUEL DE CUVIRIAKI'!J80+'[2]47. SAN MIGUEL DE CUVIRIAKI'!J81</f>
        <v>76993.94615600002</v>
      </c>
      <c r="Q50" s="111">
        <f>+'[2]47. SAN MIGUEL DE CUVIRIAKI'!D88</f>
        <v>115300</v>
      </c>
      <c r="R50" s="111"/>
      <c r="S50" s="111">
        <f>+'[2]47. SAN MIGUEL DE CUVIRIAKI'!J20+'[2]47. SAN MIGUEL DE CUVIRIAKI'!J74</f>
        <v>77890.270921970296</v>
      </c>
      <c r="T50" s="111">
        <f>+'[2]47. SAN MIGUEL DE CUVIRIAKI'!J31</f>
        <v>37001.232777298421</v>
      </c>
      <c r="U50" s="111">
        <f>+'[2]47. SAN MIGUEL DE CUVIRIAKI'!D89</f>
        <v>34375</v>
      </c>
      <c r="V50" s="111">
        <f>+'[2]47. SAN MIGUEL DE CUVIRIAKI'!J42+'[2]47. SAN MIGUEL DE CUVIRIAKI'!J83</f>
        <v>36060</v>
      </c>
      <c r="W50" s="111"/>
      <c r="X50" s="111">
        <f t="shared" si="10"/>
        <v>185326.50369926871</v>
      </c>
      <c r="Y50" s="110">
        <f t="shared" si="1"/>
        <v>3479154.5617559995</v>
      </c>
      <c r="Z50" s="111">
        <f>+'[2]47. SAN MIGUEL DE CUVIRIAKI'!$L$43+'[2]47. SAN MIGUEL DE CUVIRIAKI'!$L$84</f>
        <v>2763325.8420113795</v>
      </c>
      <c r="AA50" s="116">
        <f>+Z50/Y50</f>
        <v>0.79425210721787343</v>
      </c>
      <c r="AB50" s="119" t="s">
        <v>450</v>
      </c>
      <c r="AC50" s="113"/>
      <c r="AD50" s="114" t="str">
        <f t="shared" si="2"/>
        <v>CONTRATISTA</v>
      </c>
      <c r="AE50" s="110">
        <v>3479154.5617559999</v>
      </c>
      <c r="AF50" s="113">
        <f t="shared" si="3"/>
        <v>0</v>
      </c>
      <c r="AG50" s="115"/>
    </row>
    <row r="51" spans="1:33">
      <c r="A51" s="106">
        <f t="shared" si="7"/>
        <v>48</v>
      </c>
      <c r="B51" s="136"/>
      <c r="C51" s="136">
        <v>295410</v>
      </c>
      <c r="D51" s="107" t="s">
        <v>484</v>
      </c>
      <c r="E51" s="108" t="s">
        <v>498</v>
      </c>
      <c r="F51" s="123" t="s">
        <v>439</v>
      </c>
      <c r="G51" s="111">
        <f>+'[2]48. ALTO CAPIRUSHARI'!E5+'[2]48. ALTO CAPIRUSHARI'!F5+'[2]48. ALTO CAPIRUSHARI'!G5</f>
        <v>1596875.552917327</v>
      </c>
      <c r="H51" s="111">
        <f>+'[2]48. ALTO CAPIRUSHARI'!I5</f>
        <v>287437.59952511877</v>
      </c>
      <c r="I51" s="110">
        <f t="shared" si="11"/>
        <v>1884313.1524424457</v>
      </c>
      <c r="J51" s="111">
        <f>+'[2]48. ALTO CAPIRUSHARI'!E50+'[2]48. ALTO CAPIRUSHARI'!F50+'[2]48. ALTO CAPIRUSHARI'!G50</f>
        <v>907269.02116350888</v>
      </c>
      <c r="K51" s="111">
        <f>+'[2]48. ALTO CAPIRUSHARI'!I50</f>
        <v>163308.42380943158</v>
      </c>
      <c r="L51" s="110">
        <f t="shared" si="12"/>
        <v>1070577.4449729405</v>
      </c>
      <c r="M51" s="110">
        <f t="shared" si="4"/>
        <v>2954890.5974153862</v>
      </c>
      <c r="N51" s="147">
        <f t="shared" si="5"/>
        <v>0.63769303475757644</v>
      </c>
      <c r="O51" s="147">
        <f t="shared" si="6"/>
        <v>0.36230696524242356</v>
      </c>
      <c r="P51" s="111">
        <f>+'[2]48. ALTO CAPIRUSHARI'!J39+'[2]48. ALTO CAPIRUSHARI'!J40+'[2]48. ALTO CAPIRUSHARI'!J80+'[2]48. ALTO CAPIRUSHARI'!J81</f>
        <v>75529.462410399981</v>
      </c>
      <c r="Q51" s="111">
        <f>+'[2]48. ALTO CAPIRUSHARI'!D90</f>
        <v>115300</v>
      </c>
      <c r="R51" s="111"/>
      <c r="S51" s="111">
        <f>+'[2]48. ALTO CAPIRUSHARI'!J20+'[2]48. ALTO CAPIRUSHARI'!J74</f>
        <v>77971.388879580336</v>
      </c>
      <c r="T51" s="111">
        <f>+'[2]48. ALTO CAPIRUSHARI'!J31</f>
        <v>37115.25474503357</v>
      </c>
      <c r="U51" s="111">
        <f>+'[2]48. ALTO CAPIRUSHARI'!D91</f>
        <v>34375</v>
      </c>
      <c r="V51" s="111">
        <f>+'[2]48. ALTO CAPIRUSHARI'!J42+'[2]48. ALTO CAPIRUSHARI'!J83</f>
        <v>36060</v>
      </c>
      <c r="W51" s="111"/>
      <c r="X51" s="111">
        <f t="shared" si="10"/>
        <v>185521.64362461391</v>
      </c>
      <c r="Y51" s="110">
        <f t="shared" si="1"/>
        <v>3331241.7034504004</v>
      </c>
      <c r="Z51" s="111">
        <f>+'[2]48. ALTO CAPIRUSHARI'!$L$43+'[2]48. ALTO CAPIRUSHARI'!$L$84</f>
        <v>2650444.4278152464</v>
      </c>
      <c r="AA51" s="116">
        <f>+Z51/Y51</f>
        <v>0.79563257900800033</v>
      </c>
      <c r="AB51" s="119" t="s">
        <v>450</v>
      </c>
      <c r="AC51" s="113"/>
      <c r="AD51" s="114" t="str">
        <f t="shared" si="2"/>
        <v>CONTRATISTA</v>
      </c>
      <c r="AE51" s="110">
        <v>3331241.7034503999</v>
      </c>
      <c r="AF51" s="113">
        <f t="shared" si="3"/>
        <v>0</v>
      </c>
      <c r="AG51" s="115"/>
    </row>
    <row r="52" spans="1:33">
      <c r="A52" s="106">
        <f t="shared" si="7"/>
        <v>49</v>
      </c>
      <c r="B52" s="135"/>
      <c r="C52" s="135">
        <v>291902</v>
      </c>
      <c r="D52" s="107" t="s">
        <v>484</v>
      </c>
      <c r="E52" s="108" t="s">
        <v>499</v>
      </c>
      <c r="F52" s="109" t="s">
        <v>439</v>
      </c>
      <c r="G52" s="111">
        <f>+'[2]49. BELLA DURMIENTE'!D108+'[2]49. BELLA DURMIENTE'!E108</f>
        <v>418483.3334175332</v>
      </c>
      <c r="H52" s="111">
        <f>+'[2]49. BELLA DURMIENTE'!F108</f>
        <v>25142.128474576297</v>
      </c>
      <c r="I52" s="110">
        <f t="shared" si="11"/>
        <v>443625.46189210948</v>
      </c>
      <c r="J52" s="111">
        <f>+'[2]49. BELLA DURMIENTE'!G108+'[2]49. BELLA DURMIENTE'!H108</f>
        <v>490512.2868466308</v>
      </c>
      <c r="K52" s="111">
        <f>+'[2]49. BELLA DURMIENTE'!I108</f>
        <v>45434.642033898272</v>
      </c>
      <c r="L52" s="110">
        <f t="shared" si="12"/>
        <v>535946.92888052901</v>
      </c>
      <c r="M52" s="110">
        <f t="shared" si="4"/>
        <v>979572.39077263849</v>
      </c>
      <c r="N52" s="147">
        <f t="shared" si="5"/>
        <v>0.45287664910829056</v>
      </c>
      <c r="O52" s="147">
        <f t="shared" si="6"/>
        <v>0.54712335089170949</v>
      </c>
      <c r="P52" s="111">
        <f>+'[2]49. BELLA DURMIENTE'!E75+'[2]49. BELLA DURMIENTE'!E76</f>
        <v>48167.19</v>
      </c>
      <c r="Q52" s="111">
        <f>+'[2]49. BELLA DURMIENTE'!E77</f>
        <v>65700</v>
      </c>
      <c r="R52" s="111">
        <f>+'[2]49. BELLA DURMIENTE'!E80</f>
        <v>22800</v>
      </c>
      <c r="S52" s="111">
        <f>+'[2]49. BELLA DURMIENTE'!E113</f>
        <v>69594.600000000006</v>
      </c>
      <c r="T52" s="111">
        <f>+'[2]49. BELLA DURMIENTE'!F113</f>
        <v>93478.7</v>
      </c>
      <c r="U52" s="111">
        <f>+'[2]49. BELLA DURMIENTE'!G113</f>
        <v>65210</v>
      </c>
      <c r="V52" s="111"/>
      <c r="W52" s="111">
        <f>+'[2]49. BELLA DURMIENTE'!C131</f>
        <v>32845.199999999997</v>
      </c>
      <c r="X52" s="111">
        <f t="shared" si="10"/>
        <v>261128.5</v>
      </c>
      <c r="Y52" s="110">
        <f t="shared" si="1"/>
        <v>1377368.0807726386</v>
      </c>
      <c r="Z52" s="111"/>
      <c r="AA52" s="116"/>
      <c r="AB52" s="112" t="s">
        <v>492</v>
      </c>
      <c r="AC52" s="113"/>
      <c r="AD52" s="114" t="str">
        <f t="shared" si="2"/>
        <v>NE</v>
      </c>
      <c r="AE52" s="110">
        <v>1377368.0807726386</v>
      </c>
      <c r="AF52" s="113">
        <f t="shared" si="3"/>
        <v>0</v>
      </c>
      <c r="AG52" s="115"/>
    </row>
    <row r="53" spans="1:33">
      <c r="A53" s="106">
        <f t="shared" si="7"/>
        <v>50</v>
      </c>
      <c r="B53" s="135"/>
      <c r="C53" s="135">
        <v>293719</v>
      </c>
      <c r="D53" s="107" t="s">
        <v>484</v>
      </c>
      <c r="E53" s="108" t="s">
        <v>500</v>
      </c>
      <c r="F53" s="109" t="s">
        <v>439</v>
      </c>
      <c r="G53" s="111">
        <f>+'[2]50. RÍO SANTA'!D83+'[2]50. RÍO SANTA'!E83</f>
        <v>571457.40955836081</v>
      </c>
      <c r="H53" s="111">
        <f>+'[2]50. RÍO SANTA'!F83</f>
        <v>38262.616779661053</v>
      </c>
      <c r="I53" s="110">
        <f t="shared" si="11"/>
        <v>609720.02633802185</v>
      </c>
      <c r="J53" s="111">
        <f>+'[2]50. RÍO SANTA'!G83+'[2]50. RÍO SANTA'!H83</f>
        <v>719211.44633656123</v>
      </c>
      <c r="K53" s="111">
        <f>+'[2]50. RÍO SANTA'!I83</f>
        <v>73418.139152542397</v>
      </c>
      <c r="L53" s="110">
        <f t="shared" si="12"/>
        <v>792629.58548910357</v>
      </c>
      <c r="M53" s="110">
        <f t="shared" si="4"/>
        <v>1402349.6118271253</v>
      </c>
      <c r="N53" s="147">
        <f t="shared" si="5"/>
        <v>0.43478460805762686</v>
      </c>
      <c r="O53" s="147">
        <f t="shared" si="6"/>
        <v>0.56521539194237325</v>
      </c>
      <c r="P53" s="111">
        <f>+'[2]50. RÍO SANTA'!G47+'[2]50. RÍO SANTA'!G48</f>
        <v>48167.19</v>
      </c>
      <c r="Q53" s="111">
        <f>+'[2]50. RÍO SANTA'!G49</f>
        <v>65700</v>
      </c>
      <c r="R53" s="111">
        <f>+'[2]50. RÍO SANTA'!G52</f>
        <v>22800</v>
      </c>
      <c r="S53" s="111">
        <f>+'[2]50. RÍO SANTA'!E88</f>
        <v>58697.224053471757</v>
      </c>
      <c r="T53" s="111">
        <f>+'[2]50. RÍO SANTA'!F88</f>
        <v>68826.273464658167</v>
      </c>
      <c r="U53" s="111">
        <f>+'[2]50. RÍO SANTA'!G88</f>
        <v>60200</v>
      </c>
      <c r="V53" s="111"/>
      <c r="W53" s="111">
        <f>+'[2]50. RÍO SANTA'!C106</f>
        <v>48653.422698178241</v>
      </c>
      <c r="X53" s="111">
        <f t="shared" si="10"/>
        <v>236376.92021630818</v>
      </c>
      <c r="Y53" s="110">
        <f t="shared" si="1"/>
        <v>1775393.7220434335</v>
      </c>
      <c r="Z53" s="111"/>
      <c r="AA53" s="116"/>
      <c r="AB53" s="132" t="s">
        <v>492</v>
      </c>
      <c r="AC53" s="113"/>
      <c r="AD53" s="114" t="str">
        <f t="shared" si="2"/>
        <v>NE</v>
      </c>
      <c r="AE53" s="110">
        <v>1775393.7220434335</v>
      </c>
      <c r="AF53" s="113">
        <f t="shared" si="3"/>
        <v>0</v>
      </c>
      <c r="AG53" s="115"/>
    </row>
    <row r="54" spans="1:33">
      <c r="A54" s="106">
        <f t="shared" si="7"/>
        <v>51</v>
      </c>
      <c r="B54" s="136"/>
      <c r="C54" s="136">
        <v>285261</v>
      </c>
      <c r="D54" s="107" t="s">
        <v>501</v>
      </c>
      <c r="E54" s="120" t="s">
        <v>502</v>
      </c>
      <c r="F54" s="131" t="s">
        <v>449</v>
      </c>
      <c r="G54" s="111">
        <f>+'[2]51. ATAHUALPA'!D59+'[2]51. ATAHUALPA'!E59</f>
        <v>2407889.5572954179</v>
      </c>
      <c r="H54" s="111">
        <f>+'[2]51. ATAHUALPA'!F59</f>
        <v>433420.12031317526</v>
      </c>
      <c r="I54" s="110">
        <f>SUM(G54:H54)</f>
        <v>2841309.6776085934</v>
      </c>
      <c r="J54" s="111">
        <f>+'[2]51. ATAHUALPA'!G59+'[2]51. ATAHUALPA'!H59</f>
        <v>4266708.6237045815</v>
      </c>
      <c r="K54" s="111">
        <f>+'[2]51. ATAHUALPA'!I59</f>
        <v>768007.55226682476</v>
      </c>
      <c r="L54" s="110">
        <f>SUM(J54:K54)</f>
        <v>5034716.1759714065</v>
      </c>
      <c r="M54" s="110">
        <f t="shared" si="4"/>
        <v>7876025.8535799999</v>
      </c>
      <c r="N54" s="147">
        <f t="shared" si="5"/>
        <v>0.36075423448706601</v>
      </c>
      <c r="O54" s="147">
        <f t="shared" si="6"/>
        <v>0.63924576551293399</v>
      </c>
      <c r="P54" s="111">
        <f>+'[2]51. ATAHUALPA'!I24+'[2]51. ATAHUALPA'!I25+'[2]51. ATAHUALPA'!I46+'[2]51. ATAHUALPA'!I47</f>
        <v>72699.03</v>
      </c>
      <c r="Q54" s="111">
        <f>+'[2]51. ATAHUALPA'!I67</f>
        <v>403000</v>
      </c>
      <c r="R54" s="111"/>
      <c r="S54" s="111">
        <f>+'[2]51. ATAHUALPA'!E64</f>
        <v>124100.9192886961</v>
      </c>
      <c r="T54" s="111">
        <f>+'[2]51. ATAHUALPA'!F64</f>
        <v>69863.301124073158</v>
      </c>
      <c r="U54" s="111">
        <f>+'[2]51. ATAHUALPA'!G64</f>
        <v>23186.15</v>
      </c>
      <c r="V54" s="111">
        <f>+'[2]51. ATAHUALPA'!I27+'[2]51. ATAHUALPA'!I49</f>
        <v>30133.999999999996</v>
      </c>
      <c r="W54" s="111"/>
      <c r="X54" s="111">
        <f>SUM(S54:W54)</f>
        <v>247284.37041276923</v>
      </c>
      <c r="Y54" s="110">
        <f t="shared" si="1"/>
        <v>8599009.2539927699</v>
      </c>
      <c r="Z54" s="111"/>
      <c r="AA54" s="116"/>
      <c r="AB54" s="112" t="s">
        <v>450</v>
      </c>
      <c r="AC54" s="113"/>
      <c r="AD54" s="114" t="str">
        <f>IF(Y54&gt;2500000,"CONTRATISTA","NE")</f>
        <v>CONTRATISTA</v>
      </c>
      <c r="AE54" s="110">
        <v>8599009.2539927699</v>
      </c>
      <c r="AF54" s="113">
        <f>+AE54-Y54</f>
        <v>0</v>
      </c>
      <c r="AG54" s="115"/>
    </row>
    <row r="55" spans="1:33">
      <c r="A55" s="106">
        <f t="shared" si="7"/>
        <v>52</v>
      </c>
      <c r="B55" s="135"/>
      <c r="C55" s="135">
        <v>289523</v>
      </c>
      <c r="D55" s="107" t="s">
        <v>501</v>
      </c>
      <c r="E55" s="120" t="s">
        <v>503</v>
      </c>
      <c r="F55" s="131" t="s">
        <v>449</v>
      </c>
      <c r="G55" s="111">
        <f>+'[2]52. PIJUAYAL'!E40+'[2]52. PIJUAYAL'!F40</f>
        <v>1064422.1600000001</v>
      </c>
      <c r="H55" s="111">
        <f>+'[2]52. PIJUAYAL'!G40</f>
        <v>191595.98</v>
      </c>
      <c r="I55" s="110">
        <f>SUM(G55:H55)</f>
        <v>1256018.1400000001</v>
      </c>
      <c r="J55" s="110">
        <f>+'[2]52. PIJUAYAL'!I40+'[2]52. PIJUAYAL'!J40</f>
        <v>1226659.56</v>
      </c>
      <c r="K55" s="111">
        <f>+'[2]52. PIJUAYAL'!K40</f>
        <v>220798.71999999997</v>
      </c>
      <c r="L55" s="110">
        <f>SUM(J55:K55)</f>
        <v>1447458.28</v>
      </c>
      <c r="M55" s="110">
        <f t="shared" si="4"/>
        <v>2703476.42</v>
      </c>
      <c r="N55" s="147">
        <f t="shared" si="5"/>
        <v>0.46459371004981809</v>
      </c>
      <c r="O55" s="147">
        <f t="shared" si="6"/>
        <v>0.53540628995018202</v>
      </c>
      <c r="P55" s="111">
        <f>+'[2]52. PIJUAYAL'!D26+'[2]52. PIJUAYAL'!D27</f>
        <v>75349.01999999999</v>
      </c>
      <c r="Q55" s="111">
        <f>+'[2]52. PIJUAYAL'!D28</f>
        <v>162208.57999999999</v>
      </c>
      <c r="R55" s="111">
        <f>+'[2]52. PIJUAYAL'!D33</f>
        <v>32450</v>
      </c>
      <c r="S55" s="111">
        <f>+'[2]52. PIJUAYAL'!F45</f>
        <v>233000.30454545459</v>
      </c>
      <c r="T55" s="111">
        <f>+'[2]52. PIJUAYAL'!G45</f>
        <v>188506.59272727271</v>
      </c>
      <c r="U55" s="111">
        <f>+'[2]52. PIJUAYAL'!H45</f>
        <v>37170</v>
      </c>
      <c r="V55" s="111"/>
      <c r="W55" s="111"/>
      <c r="X55" s="111">
        <f>SUM(S55:W55)</f>
        <v>458676.89727272734</v>
      </c>
      <c r="Y55" s="110">
        <f t="shared" si="1"/>
        <v>3432160.9172727275</v>
      </c>
      <c r="Z55" s="111"/>
      <c r="AA55" s="116"/>
      <c r="AB55" s="112" t="s">
        <v>456</v>
      </c>
      <c r="AC55" s="113"/>
      <c r="AD55" s="114" t="str">
        <f>IF(Y55&gt;2500000,"CONTRATISTA","NE")</f>
        <v>CONTRATISTA</v>
      </c>
      <c r="AE55" s="110">
        <v>3432160.9072727282</v>
      </c>
      <c r="AF55" s="113">
        <f>+AE55-Y55</f>
        <v>-9.9999993108212948E-3</v>
      </c>
      <c r="AG55" s="115"/>
    </row>
    <row r="56" spans="1:33">
      <c r="A56" s="106">
        <f t="shared" si="7"/>
        <v>53</v>
      </c>
      <c r="B56" s="124"/>
      <c r="C56" s="124">
        <v>293849</v>
      </c>
      <c r="D56" s="107" t="s">
        <v>501</v>
      </c>
      <c r="E56" s="108" t="s">
        <v>504</v>
      </c>
      <c r="F56" s="123" t="s">
        <v>449</v>
      </c>
      <c r="G56" s="110">
        <f>+'[2]53. SACHAPAPA'!E5+'[2]53. SACHAPAPA'!F5+'[2]53. SACHAPAPA'!G5</f>
        <v>2654758.6850426579</v>
      </c>
      <c r="H56" s="110">
        <f>+'[2]53. SACHAPAPA'!I5</f>
        <v>477856.56330767833</v>
      </c>
      <c r="I56" s="110">
        <f>SUM(G56:H56)</f>
        <v>3132615.2483503362</v>
      </c>
      <c r="J56" s="110">
        <f>+'[2]53. SACHAPAPA'!E35+'[2]53. SACHAPAPA'!F35+'[2]53. SACHAPAPA'!G35</f>
        <v>3343014.8159573423</v>
      </c>
      <c r="K56" s="110">
        <f>+'[2]53. SACHAPAPA'!I35</f>
        <v>601742.66687232151</v>
      </c>
      <c r="L56" s="110">
        <f>SUM(J56:K56)</f>
        <v>3944757.4828296639</v>
      </c>
      <c r="M56" s="110">
        <f t="shared" si="4"/>
        <v>7077372.7311800001</v>
      </c>
      <c r="N56" s="147">
        <f t="shared" si="5"/>
        <v>0.44262403116757137</v>
      </c>
      <c r="O56" s="147">
        <f t="shared" si="6"/>
        <v>0.55737596883242857</v>
      </c>
      <c r="P56" s="110">
        <f>+'[2]53. SACHAPAPA'!J24+'[2]53. SACHAPAPA'!J25+'[2]53. SACHAPAPA'!J46+'[2]53. SACHAPAPA'!J47</f>
        <v>72699.03</v>
      </c>
      <c r="Q56" s="110">
        <f>+'[2]53. SACHAPAPA'!E55</f>
        <v>404250.00000000006</v>
      </c>
      <c r="R56" s="110"/>
      <c r="S56" s="110">
        <f>+'[2]53. SACHAPAPA'!G55</f>
        <v>122861.02003412374</v>
      </c>
      <c r="T56" s="110">
        <f>+'[2]53. SACHAPAPA'!H55</f>
        <v>69901.252378645513</v>
      </c>
      <c r="U56" s="110">
        <f>+'[2]53. SACHAPAPA'!I55</f>
        <v>17628.461538461543</v>
      </c>
      <c r="V56" s="111">
        <f>+'[2]53. SACHAPAPA'!J27+'[2]53. SACHAPAPA'!J49</f>
        <v>30134</v>
      </c>
      <c r="W56" s="111"/>
      <c r="X56" s="111">
        <f>SUM(S56:W56)</f>
        <v>240524.7339512308</v>
      </c>
      <c r="Y56" s="110">
        <f t="shared" si="1"/>
        <v>7794846.4951312309</v>
      </c>
      <c r="Z56" s="171"/>
      <c r="AA56" s="172"/>
      <c r="AB56" s="112" t="s">
        <v>450</v>
      </c>
      <c r="AC56" s="113"/>
      <c r="AD56" s="114" t="str">
        <f>IF(Y56&gt;2500000,"CONTRATISTA","NE")</f>
        <v>CONTRATISTA</v>
      </c>
      <c r="AE56" s="110">
        <v>7794846.4951312318</v>
      </c>
      <c r="AF56" s="113">
        <f>+AE56-Y56</f>
        <v>0</v>
      </c>
      <c r="AG56" s="115"/>
    </row>
    <row r="57" spans="1:33" ht="22.5">
      <c r="A57" s="106">
        <f t="shared" si="7"/>
        <v>54</v>
      </c>
      <c r="B57" s="129" t="s">
        <v>436</v>
      </c>
      <c r="C57" s="129">
        <v>284468</v>
      </c>
      <c r="D57" s="107" t="s">
        <v>481</v>
      </c>
      <c r="E57" s="108" t="s">
        <v>505</v>
      </c>
      <c r="F57" s="109" t="s">
        <v>506</v>
      </c>
      <c r="G57" s="111">
        <f>+'[2]54. SAN MARTIN DE PAJONAL'!F52+'[2]54. SAN MARTIN DE PAJONAL'!G52</f>
        <v>1630345.7415419959</v>
      </c>
      <c r="H57" s="111">
        <f>+'[2]54. SAN MARTIN DE PAJONAL'!H52</f>
        <v>293462.23347755923</v>
      </c>
      <c r="I57" s="110">
        <f t="shared" si="11"/>
        <v>1923807.9750195551</v>
      </c>
      <c r="J57" s="111">
        <f>+'[2]54. SAN MARTIN DE PAJONAL'!I52+'[2]54. SAN MARTIN DE PAJONAL'!J52</f>
        <v>1658558.3484580042</v>
      </c>
      <c r="K57" s="111">
        <f>+'[2]54. SAN MARTIN DE PAJONAL'!K52</f>
        <v>298540.50272244075</v>
      </c>
      <c r="L57" s="110">
        <f t="shared" si="12"/>
        <v>1957098.8511804449</v>
      </c>
      <c r="M57" s="110">
        <f t="shared" si="4"/>
        <v>3880906.8262</v>
      </c>
      <c r="N57" s="147">
        <f t="shared" si="5"/>
        <v>0.49571094106973362</v>
      </c>
      <c r="O57" s="147">
        <f t="shared" si="6"/>
        <v>0.50428905893026643</v>
      </c>
      <c r="P57" s="111"/>
      <c r="Q57" s="111">
        <f>+'[2]54. SAN MARTIN DE PAJONAL'!F16</f>
        <v>185269.91</v>
      </c>
      <c r="R57" s="111">
        <f>+'[2]54. SAN MARTIN DE PAJONAL'!F19</f>
        <v>22800</v>
      </c>
      <c r="S57" s="111">
        <f>+'[2]54. SAN MARTIN DE PAJONAL'!G57</f>
        <v>108099.27813507964</v>
      </c>
      <c r="T57" s="111">
        <f>+'[2]54. SAN MARTIN DE PAJONAL'!H57</f>
        <v>144319.51661068306</v>
      </c>
      <c r="U57" s="111">
        <f>+'[2]54. SAN MARTIN DE PAJONAL'!I57</f>
        <v>103394.55</v>
      </c>
      <c r="V57" s="111"/>
      <c r="W57" s="111"/>
      <c r="X57" s="111">
        <f t="shared" si="10"/>
        <v>355813.3447457627</v>
      </c>
      <c r="Y57" s="110">
        <f t="shared" si="1"/>
        <v>4444790.0809457628</v>
      </c>
      <c r="Z57" s="111"/>
      <c r="AA57" s="116"/>
      <c r="AB57" s="112" t="s">
        <v>440</v>
      </c>
      <c r="AC57" s="113"/>
      <c r="AD57" s="114" t="str">
        <f t="shared" si="2"/>
        <v>CONTRATISTA</v>
      </c>
      <c r="AE57" s="110">
        <v>4444790.0809457628</v>
      </c>
      <c r="AF57" s="113">
        <f t="shared" si="3"/>
        <v>0</v>
      </c>
      <c r="AG57" s="115"/>
    </row>
    <row r="58" spans="1:33">
      <c r="A58" s="106">
        <f t="shared" si="7"/>
        <v>55</v>
      </c>
      <c r="B58" s="129" t="s">
        <v>436</v>
      </c>
      <c r="C58" s="129">
        <v>285543</v>
      </c>
      <c r="D58" s="107" t="s">
        <v>481</v>
      </c>
      <c r="E58" s="108" t="s">
        <v>507</v>
      </c>
      <c r="F58" s="109" t="s">
        <v>459</v>
      </c>
      <c r="G58" s="111">
        <f>+'[2]55. SUCCHA'!F51+'[2]55. SUCCHA'!G51</f>
        <v>911174.01463145495</v>
      </c>
      <c r="H58" s="111">
        <f>+'[2]55. SUCCHA'!H51</f>
        <v>164011.32365046573</v>
      </c>
      <c r="I58" s="110">
        <f t="shared" si="11"/>
        <v>1075185.3382819206</v>
      </c>
      <c r="J58" s="111">
        <f>+'[2]55. SUCCHA'!I51+'[2]55. SUCCHA'!J51</f>
        <v>2100629.2557237847</v>
      </c>
      <c r="K58" s="111">
        <f>+'[2]55. SUCCHA'!K51</f>
        <v>378113.26837443048</v>
      </c>
      <c r="L58" s="110">
        <f t="shared" si="12"/>
        <v>2478742.5240982152</v>
      </c>
      <c r="M58" s="110">
        <f t="shared" si="4"/>
        <v>3553927.8623801358</v>
      </c>
      <c r="N58" s="147">
        <f t="shared" si="5"/>
        <v>0.30253437321089793</v>
      </c>
      <c r="O58" s="147">
        <f t="shared" si="6"/>
        <v>0.69746562678910207</v>
      </c>
      <c r="P58" s="111"/>
      <c r="Q58" s="111">
        <f>+'[2]55. SUCCHA'!F15</f>
        <v>158070.91</v>
      </c>
      <c r="R58" s="111">
        <f>+'[2]55. SUCCHA'!M51</f>
        <v>41288.907619864345</v>
      </c>
      <c r="S58" s="111">
        <f>+'[2]55. SUCCHA'!G56</f>
        <v>105323</v>
      </c>
      <c r="T58" s="111">
        <f>+'[2]55. SUCCHA'!H56</f>
        <v>115158.33</v>
      </c>
      <c r="U58" s="111">
        <f>+'[2]55. SUCCHA'!I56</f>
        <v>28332.31</v>
      </c>
      <c r="V58" s="111"/>
      <c r="W58" s="111"/>
      <c r="X58" s="111">
        <f t="shared" si="10"/>
        <v>248813.64</v>
      </c>
      <c r="Y58" s="110">
        <f t="shared" si="1"/>
        <v>4002101.3200000003</v>
      </c>
      <c r="Z58" s="111"/>
      <c r="AA58" s="116"/>
      <c r="AB58" s="112" t="s">
        <v>440</v>
      </c>
      <c r="AC58" s="113"/>
      <c r="AD58" s="114" t="str">
        <f t="shared" si="2"/>
        <v>CONTRATISTA</v>
      </c>
      <c r="AE58" s="110">
        <v>4002101.3200000003</v>
      </c>
      <c r="AF58" s="113">
        <f t="shared" si="3"/>
        <v>0</v>
      </c>
      <c r="AG58" s="115"/>
    </row>
    <row r="59" spans="1:33" ht="22.5">
      <c r="A59" s="106">
        <f t="shared" si="7"/>
        <v>56</v>
      </c>
      <c r="B59" s="129" t="s">
        <v>436</v>
      </c>
      <c r="C59" s="129">
        <v>284383</v>
      </c>
      <c r="D59" s="107" t="s">
        <v>481</v>
      </c>
      <c r="E59" s="108" t="s">
        <v>508</v>
      </c>
      <c r="F59" s="109" t="s">
        <v>459</v>
      </c>
      <c r="G59" s="111">
        <f>+'[2]56. MONTE GRANDE ALTO'!F52+'[2]56. MONTE GRANDE ALTO'!G52</f>
        <v>919894.19237565529</v>
      </c>
      <c r="H59" s="111">
        <f>+'[2]56. MONTE GRANDE ALTO'!H52</f>
        <v>165580.95462761793</v>
      </c>
      <c r="I59" s="110">
        <f t="shared" si="11"/>
        <v>1085475.1470032732</v>
      </c>
      <c r="J59" s="111">
        <f>+'[2]56. MONTE GRANDE ALTO'!I52+'[2]56. MONTE GRANDE ALTO'!J52</f>
        <v>1603218.9025208957</v>
      </c>
      <c r="K59" s="111">
        <f>+'[2]56. MONTE GRANDE ALTO'!K52</f>
        <v>288579.4024537612</v>
      </c>
      <c r="L59" s="110">
        <f t="shared" si="12"/>
        <v>1891798.304974657</v>
      </c>
      <c r="M59" s="110">
        <f t="shared" si="4"/>
        <v>2977273.45197793</v>
      </c>
      <c r="N59" s="147">
        <f t="shared" si="5"/>
        <v>0.3645869835309033</v>
      </c>
      <c r="O59" s="147">
        <f t="shared" si="6"/>
        <v>0.63541301646909676</v>
      </c>
      <c r="P59" s="111"/>
      <c r="Q59" s="111">
        <f>+'[2]56. MONTE GRANDE ALTO'!F16</f>
        <v>155120.91</v>
      </c>
      <c r="R59" s="111">
        <f>+'[2]56. MONTE GRANDE ALTO'!M52</f>
        <v>30166.55262206995</v>
      </c>
      <c r="S59" s="111">
        <f>+'[2]56. MONTE GRANDE ALTO'!G57</f>
        <v>95282.46</v>
      </c>
      <c r="T59" s="111">
        <f>+'[2]56. MONTE GRANDE ALTO'!H57</f>
        <v>111122.73</v>
      </c>
      <c r="U59" s="111">
        <f>+'[2]56. MONTE GRANDE ALTO'!I57</f>
        <v>24035.01</v>
      </c>
      <c r="V59" s="111"/>
      <c r="W59" s="111"/>
      <c r="X59" s="111">
        <f t="shared" si="10"/>
        <v>230440.2</v>
      </c>
      <c r="Y59" s="110">
        <f t="shared" si="1"/>
        <v>3393001.1146000004</v>
      </c>
      <c r="Z59" s="111"/>
      <c r="AA59" s="116"/>
      <c r="AB59" s="112" t="s">
        <v>440</v>
      </c>
      <c r="AC59" s="113"/>
      <c r="AD59" s="114" t="str">
        <f t="shared" si="2"/>
        <v>CONTRATISTA</v>
      </c>
      <c r="AE59" s="110">
        <v>3393001.1146000009</v>
      </c>
      <c r="AF59" s="113">
        <f t="shared" si="3"/>
        <v>0</v>
      </c>
      <c r="AG59" s="115"/>
    </row>
    <row r="60" spans="1:33">
      <c r="A60" s="106">
        <f t="shared" si="7"/>
        <v>57</v>
      </c>
      <c r="B60" s="129" t="s">
        <v>436</v>
      </c>
      <c r="C60" s="129">
        <v>285556</v>
      </c>
      <c r="D60" s="107" t="s">
        <v>481</v>
      </c>
      <c r="E60" s="108" t="s">
        <v>509</v>
      </c>
      <c r="F60" s="109" t="s">
        <v>459</v>
      </c>
      <c r="G60" s="111">
        <f>+'[2]57. TRIGAL'!F52+'[2]57. TRIGAL'!G52</f>
        <v>1454090.2177079031</v>
      </c>
      <c r="H60" s="111">
        <f>+'[2]57. TRIGAL'!H52</f>
        <v>261736.23918742256</v>
      </c>
      <c r="I60" s="110">
        <f t="shared" si="11"/>
        <v>1715826.4568953258</v>
      </c>
      <c r="J60" s="111">
        <f>+'[2]57. TRIGAL'!I52+'[2]57. TRIGAL'!J52</f>
        <v>1991326.9622920968</v>
      </c>
      <c r="K60" s="111">
        <f>+'[2]57. TRIGAL'!K52</f>
        <v>358438.85321257741</v>
      </c>
      <c r="L60" s="110">
        <f t="shared" si="12"/>
        <v>2349765.8155046743</v>
      </c>
      <c r="M60" s="110">
        <f t="shared" si="4"/>
        <v>4065592.2724000001</v>
      </c>
      <c r="N60" s="147">
        <f t="shared" si="5"/>
        <v>0.42203603852346938</v>
      </c>
      <c r="O60" s="147">
        <f t="shared" si="6"/>
        <v>0.57796396147653062</v>
      </c>
      <c r="P60" s="111"/>
      <c r="Q60" s="111">
        <f>+'[2]57. TRIGAL'!F15</f>
        <v>185269.91</v>
      </c>
      <c r="R60" s="111">
        <f>+'[2]57. TRIGAL'!F20</f>
        <v>35807.5</v>
      </c>
      <c r="S60" s="111">
        <f>+'[2]57. TRIGAL'!G57</f>
        <v>116755.7</v>
      </c>
      <c r="T60" s="111">
        <f>+'[2]57. TRIGAL'!H57</f>
        <v>119641.48</v>
      </c>
      <c r="U60" s="111">
        <f>+'[2]57. TRIGAL'!I57</f>
        <v>113150.2</v>
      </c>
      <c r="V60" s="111"/>
      <c r="W60" s="111"/>
      <c r="X60" s="111">
        <f t="shared" si="10"/>
        <v>349547.38</v>
      </c>
      <c r="Y60" s="110">
        <f t="shared" si="1"/>
        <v>4636217.0624000002</v>
      </c>
      <c r="Z60" s="111"/>
      <c r="AA60" s="116"/>
      <c r="AB60" s="112" t="s">
        <v>440</v>
      </c>
      <c r="AC60" s="113"/>
      <c r="AD60" s="114" t="str">
        <f t="shared" si="2"/>
        <v>CONTRATISTA</v>
      </c>
      <c r="AE60" s="110">
        <v>4636217.0624000002</v>
      </c>
      <c r="AF60" s="113">
        <f t="shared" si="3"/>
        <v>0</v>
      </c>
      <c r="AG60" s="115"/>
    </row>
    <row r="61" spans="1:33">
      <c r="A61" s="106">
        <f t="shared" si="7"/>
        <v>58</v>
      </c>
      <c r="B61" s="129" t="s">
        <v>436</v>
      </c>
      <c r="C61" s="129">
        <v>283838</v>
      </c>
      <c r="D61" s="107" t="s">
        <v>481</v>
      </c>
      <c r="E61" s="108" t="s">
        <v>510</v>
      </c>
      <c r="F61" s="109" t="s">
        <v>459</v>
      </c>
      <c r="G61" s="111">
        <f>+'[2]58. SAHUATIRCA'!F52+'[2]58. SAHUATIRCA'!G52</f>
        <v>1257384.2480690039</v>
      </c>
      <c r="H61" s="111">
        <f>+'[2]58. SAHUATIRCA'!H52</f>
        <v>226329.16458455878</v>
      </c>
      <c r="I61" s="110">
        <f t="shared" si="11"/>
        <v>1483713.4126535626</v>
      </c>
      <c r="J61" s="111">
        <f>+'[2]58. SAHUATIRCA'!I52+'[2]58. SAHUATIRCA'!J52</f>
        <v>2406931.2422584589</v>
      </c>
      <c r="K61" s="111">
        <f>+'[2]58. SAHUATIRCA'!K52</f>
        <v>433247.62347661878</v>
      </c>
      <c r="L61" s="110">
        <f t="shared" si="12"/>
        <v>2840178.8657350778</v>
      </c>
      <c r="M61" s="110">
        <f t="shared" si="4"/>
        <v>4323892.2783886399</v>
      </c>
      <c r="N61" s="147">
        <f t="shared" si="5"/>
        <v>0.34314301030794631</v>
      </c>
      <c r="O61" s="147">
        <f t="shared" si="6"/>
        <v>0.65685698969205375</v>
      </c>
      <c r="P61" s="111"/>
      <c r="Q61" s="111">
        <f>+'[2]58. SAHUATIRCA'!F16</f>
        <v>185269.91</v>
      </c>
      <c r="R61" s="111">
        <f>+'[2]58. SAHUATIRCA'!M52</f>
        <v>48849.521611359509</v>
      </c>
      <c r="S61" s="111">
        <f>+'[2]58. SAHUATIRCA'!G57</f>
        <v>108910.14</v>
      </c>
      <c r="T61" s="111">
        <f>+'[2]58. SAHUATIRCA'!H57</f>
        <v>117736.65</v>
      </c>
      <c r="U61" s="111">
        <f>+'[2]58. SAHUATIRCA'!I57</f>
        <v>30019.69</v>
      </c>
      <c r="V61" s="111"/>
      <c r="W61" s="111"/>
      <c r="X61" s="111">
        <f t="shared" si="10"/>
        <v>256666.47999999998</v>
      </c>
      <c r="Y61" s="110">
        <f t="shared" si="1"/>
        <v>4814678.1899999995</v>
      </c>
      <c r="Z61" s="111"/>
      <c r="AA61" s="116"/>
      <c r="AB61" s="112" t="s">
        <v>440</v>
      </c>
      <c r="AC61" s="113"/>
      <c r="AD61" s="114" t="str">
        <f t="shared" si="2"/>
        <v>CONTRATISTA</v>
      </c>
      <c r="AE61" s="110">
        <v>4814678.1900000013</v>
      </c>
      <c r="AF61" s="113">
        <f t="shared" si="3"/>
        <v>0</v>
      </c>
      <c r="AG61" s="115"/>
    </row>
    <row r="62" spans="1:33">
      <c r="A62" s="106">
        <f t="shared" si="7"/>
        <v>59</v>
      </c>
      <c r="B62" s="129" t="s">
        <v>436</v>
      </c>
      <c r="C62" s="129">
        <v>284520</v>
      </c>
      <c r="D62" s="107" t="s">
        <v>481</v>
      </c>
      <c r="E62" s="108" t="s">
        <v>511</v>
      </c>
      <c r="F62" s="109" t="s">
        <v>459</v>
      </c>
      <c r="G62" s="111">
        <f>+'[2]59. PIRGA'!F52+'[2]59. PIRGA'!G52</f>
        <v>1021649.9047008352</v>
      </c>
      <c r="H62" s="111">
        <f>+'[2]59. PIRGA'!H52</f>
        <v>183896.98284615035</v>
      </c>
      <c r="I62" s="110">
        <f t="shared" si="11"/>
        <v>1205546.8875469856</v>
      </c>
      <c r="J62" s="111">
        <f>+'[2]59. PIRGA'!I52+'[2]59. PIRGA'!J52</f>
        <v>1669172.2452991647</v>
      </c>
      <c r="K62" s="111">
        <f>+'[2]59. PIRGA'!K52</f>
        <v>300451.00415384962</v>
      </c>
      <c r="L62" s="110">
        <f t="shared" si="12"/>
        <v>1969623.2494530142</v>
      </c>
      <c r="M62" s="110">
        <f t="shared" si="4"/>
        <v>3175170.1370000001</v>
      </c>
      <c r="N62" s="147">
        <f t="shared" si="5"/>
        <v>0.37967946142439596</v>
      </c>
      <c r="O62" s="147">
        <f t="shared" si="6"/>
        <v>0.62032053857560399</v>
      </c>
      <c r="P62" s="111"/>
      <c r="Q62" s="111">
        <f>+'[2]59. PIRGA'!F16</f>
        <v>185269.91</v>
      </c>
      <c r="R62" s="111">
        <f>+'[2]59. PIRGA'!F19</f>
        <v>22800</v>
      </c>
      <c r="S62" s="111">
        <f>+'[2]59. PIRGA'!G57</f>
        <v>103842.34757954991</v>
      </c>
      <c r="T62" s="111">
        <f>+'[2]59. PIRGA'!H57</f>
        <v>138603.20530180607</v>
      </c>
      <c r="U62" s="111">
        <f>+'[2]59. PIRGA'!I57</f>
        <v>106286.292</v>
      </c>
      <c r="V62" s="111"/>
      <c r="W62" s="111"/>
      <c r="X62" s="111">
        <f t="shared" ref="X62:X92" si="13">SUM(S62:W62)</f>
        <v>348731.844881356</v>
      </c>
      <c r="Y62" s="110">
        <f t="shared" si="1"/>
        <v>3731971.891881356</v>
      </c>
      <c r="Z62" s="111"/>
      <c r="AA62" s="116"/>
      <c r="AB62" s="112" t="s">
        <v>440</v>
      </c>
      <c r="AC62" s="113"/>
      <c r="AD62" s="114" t="str">
        <f t="shared" si="2"/>
        <v>CONTRATISTA</v>
      </c>
      <c r="AE62" s="110">
        <v>3731971.891881356</v>
      </c>
      <c r="AF62" s="113">
        <f t="shared" si="3"/>
        <v>0</v>
      </c>
      <c r="AG62" s="115"/>
    </row>
    <row r="63" spans="1:33">
      <c r="A63" s="106">
        <f t="shared" si="7"/>
        <v>60</v>
      </c>
      <c r="B63" s="129" t="s">
        <v>436</v>
      </c>
      <c r="C63" s="129">
        <v>285725</v>
      </c>
      <c r="D63" s="107" t="s">
        <v>481</v>
      </c>
      <c r="E63" s="108" t="s">
        <v>512</v>
      </c>
      <c r="F63" s="109" t="s">
        <v>459</v>
      </c>
      <c r="G63" s="111">
        <f>+'[2]60. TIERRA NEGRA'!F52+'[2]60. TIERRA NEGRA'!G52</f>
        <v>1157399.1842685642</v>
      </c>
      <c r="H63" s="111">
        <f>+'[2]60. TIERRA NEGRA'!H52</f>
        <v>208331.85316834156</v>
      </c>
      <c r="I63" s="110">
        <f t="shared" si="11"/>
        <v>1365731.0374369058</v>
      </c>
      <c r="J63" s="111">
        <f>+'[2]60. TIERRA NEGRA'!I52+'[2]60. TIERRA NEGRA'!J52</f>
        <v>1360283.6425597495</v>
      </c>
      <c r="K63" s="111">
        <f>+'[2]60. TIERRA NEGRA'!K52</f>
        <v>244851.05566075491</v>
      </c>
      <c r="L63" s="110">
        <f t="shared" si="12"/>
        <v>1605134.6982205044</v>
      </c>
      <c r="M63" s="110">
        <f t="shared" si="4"/>
        <v>2970865.7356574102</v>
      </c>
      <c r="N63" s="147">
        <f t="shared" si="5"/>
        <v>0.4597080982303931</v>
      </c>
      <c r="O63" s="147">
        <f t="shared" si="6"/>
        <v>0.54029190176960695</v>
      </c>
      <c r="P63" s="111"/>
      <c r="Q63" s="111">
        <f>+'[2]60. TIERRA NEGRA'!F16</f>
        <v>148512.91</v>
      </c>
      <c r="R63" s="111">
        <f>+'[2]60. TIERRA NEGRA'!M52</f>
        <v>41779.756342589972</v>
      </c>
      <c r="S63" s="111">
        <f>+'[2]60. TIERRA NEGRA'!G57</f>
        <v>104871.83</v>
      </c>
      <c r="T63" s="111">
        <f>+'[2]60. TIERRA NEGRA'!H57</f>
        <v>123618.13</v>
      </c>
      <c r="U63" s="111">
        <f>+'[2]60. TIERRA NEGRA'!I57</f>
        <v>28171.33</v>
      </c>
      <c r="V63" s="111"/>
      <c r="W63" s="111"/>
      <c r="X63" s="111">
        <f t="shared" si="13"/>
        <v>256661.29000000004</v>
      </c>
      <c r="Y63" s="110">
        <f t="shared" si="1"/>
        <v>3417819.6920000003</v>
      </c>
      <c r="Z63" s="111"/>
      <c r="AA63" s="116"/>
      <c r="AB63" s="112" t="s">
        <v>440</v>
      </c>
      <c r="AC63" s="113"/>
      <c r="AD63" s="114" t="str">
        <f t="shared" si="2"/>
        <v>CONTRATISTA</v>
      </c>
      <c r="AE63" s="110">
        <v>3417819.6920000003</v>
      </c>
      <c r="AF63" s="113">
        <f t="shared" si="3"/>
        <v>0</v>
      </c>
      <c r="AG63" s="115"/>
    </row>
    <row r="64" spans="1:33">
      <c r="A64" s="106">
        <f t="shared" si="7"/>
        <v>61</v>
      </c>
      <c r="B64" s="129" t="s">
        <v>436</v>
      </c>
      <c r="C64" s="129">
        <v>285504</v>
      </c>
      <c r="D64" s="107" t="s">
        <v>481</v>
      </c>
      <c r="E64" s="108" t="s">
        <v>513</v>
      </c>
      <c r="F64" s="109" t="s">
        <v>459</v>
      </c>
      <c r="G64" s="111">
        <f>+'[2]61. CRUZ DE PIEDRA'!F52+'[2]61. CRUZ DE PIEDRA'!G52</f>
        <v>807801.05905591475</v>
      </c>
      <c r="H64" s="111">
        <f>+'[2]61. CRUZ DE PIEDRA'!H52</f>
        <v>145404.19063006464</v>
      </c>
      <c r="I64" s="110">
        <f t="shared" si="11"/>
        <v>953205.24968597945</v>
      </c>
      <c r="J64" s="111">
        <f>+'[2]61. CRUZ DE PIEDRA'!I52+'[2]61. CRUZ DE PIEDRA'!J52</f>
        <v>1229362.3809440853</v>
      </c>
      <c r="K64" s="111">
        <f>+'[2]61. CRUZ DE PIEDRA'!K52</f>
        <v>221285.22856993534</v>
      </c>
      <c r="L64" s="110">
        <f t="shared" si="12"/>
        <v>1450647.6095140206</v>
      </c>
      <c r="M64" s="110">
        <f t="shared" si="4"/>
        <v>2403852.8591999998</v>
      </c>
      <c r="N64" s="147">
        <f t="shared" si="5"/>
        <v>0.39653227777144617</v>
      </c>
      <c r="O64" s="147">
        <f t="shared" si="6"/>
        <v>0.60346772222855394</v>
      </c>
      <c r="P64" s="111"/>
      <c r="Q64" s="111">
        <f>+'[2]61. CRUZ DE PIEDRA'!F16</f>
        <v>179900.91</v>
      </c>
      <c r="R64" s="111">
        <f>+'[2]61. CRUZ DE PIEDRA'!F19</f>
        <v>12600</v>
      </c>
      <c r="S64" s="111">
        <f>+'[2]61. CRUZ DE PIEDRA'!G57</f>
        <v>76864.72636605009</v>
      </c>
      <c r="T64" s="111">
        <f>+'[2]61. CRUZ DE PIEDRA'!H57</f>
        <v>90476.187681913696</v>
      </c>
      <c r="U64" s="111">
        <f>+'[2]61. CRUZ DE PIEDRA'!I57</f>
        <v>88382</v>
      </c>
      <c r="V64" s="111"/>
      <c r="W64" s="111"/>
      <c r="X64" s="111">
        <f t="shared" si="13"/>
        <v>255722.9140479638</v>
      </c>
      <c r="Y64" s="110">
        <f t="shared" si="1"/>
        <v>2852076.6832479639</v>
      </c>
      <c r="Z64" s="111"/>
      <c r="AA64" s="116"/>
      <c r="AB64" s="112" t="s">
        <v>440</v>
      </c>
      <c r="AC64" s="113"/>
      <c r="AD64" s="114" t="str">
        <f t="shared" si="2"/>
        <v>CONTRATISTA</v>
      </c>
      <c r="AE64" s="110">
        <v>2852076.6832479644</v>
      </c>
      <c r="AF64" s="113">
        <f t="shared" si="3"/>
        <v>0</v>
      </c>
      <c r="AG64" s="115"/>
    </row>
    <row r="65" spans="1:33">
      <c r="A65" s="106">
        <f t="shared" si="7"/>
        <v>62</v>
      </c>
      <c r="B65" s="129" t="s">
        <v>436</v>
      </c>
      <c r="C65" s="129">
        <v>287681</v>
      </c>
      <c r="D65" s="107" t="s">
        <v>461</v>
      </c>
      <c r="E65" s="108" t="s">
        <v>514</v>
      </c>
      <c r="F65" s="109" t="s">
        <v>459</v>
      </c>
      <c r="G65" s="111">
        <v>1048226.8833475555</v>
      </c>
      <c r="H65" s="111">
        <v>188680.83892564717</v>
      </c>
      <c r="I65" s="110">
        <v>1236907.7222732026</v>
      </c>
      <c r="J65" s="111">
        <v>1677527.0066524448</v>
      </c>
      <c r="K65" s="111">
        <v>301954.86107435287</v>
      </c>
      <c r="L65" s="110">
        <v>1979481.8677267977</v>
      </c>
      <c r="M65" s="110">
        <f>+I65+L65</f>
        <v>3216389.5900000003</v>
      </c>
      <c r="N65" s="147">
        <f>+I65/M65</f>
        <v>0.38456402362414138</v>
      </c>
      <c r="O65" s="147">
        <f>+L65/M65</f>
        <v>0.61543597637585856</v>
      </c>
      <c r="P65" s="111"/>
      <c r="Q65" s="111">
        <v>183384.98</v>
      </c>
      <c r="R65" s="111">
        <v>30550</v>
      </c>
      <c r="S65" s="221">
        <v>114210.13144067797</v>
      </c>
      <c r="T65" s="221">
        <v>129335.23737288135</v>
      </c>
      <c r="U65" s="221">
        <v>94379.199999999997</v>
      </c>
      <c r="V65" s="221"/>
      <c r="W65" s="111">
        <v>0</v>
      </c>
      <c r="X65" s="111">
        <f t="shared" si="13"/>
        <v>337924.56881355931</v>
      </c>
      <c r="Y65" s="110">
        <f t="shared" si="1"/>
        <v>3768249.1388135594</v>
      </c>
      <c r="Z65" s="111"/>
      <c r="AA65" s="116"/>
      <c r="AB65" s="112"/>
      <c r="AC65" s="113"/>
      <c r="AD65" s="114" t="str">
        <f t="shared" si="2"/>
        <v>CONTRATISTA</v>
      </c>
      <c r="AE65" s="110">
        <v>3768437.5872000009</v>
      </c>
      <c r="AF65" s="113">
        <f t="shared" si="3"/>
        <v>188.44838644145057</v>
      </c>
      <c r="AG65" s="115"/>
    </row>
    <row r="66" spans="1:33">
      <c r="A66" s="106">
        <f t="shared" si="7"/>
        <v>63</v>
      </c>
      <c r="B66" s="136"/>
      <c r="C66" s="136">
        <v>285655</v>
      </c>
      <c r="D66" s="107" t="s">
        <v>481</v>
      </c>
      <c r="E66" s="108" t="s">
        <v>515</v>
      </c>
      <c r="F66" s="109" t="s">
        <v>459</v>
      </c>
      <c r="G66" s="111">
        <f>+'[2]63. YANGUA'!G12+'[2]63. YANGUA'!G13+'[2]63. YANGUA'!G14</f>
        <v>1974687.5769999574</v>
      </c>
      <c r="H66" s="111">
        <f>+'[2]63. YANGUA'!G16</f>
        <v>355443.76385999232</v>
      </c>
      <c r="I66" s="110">
        <f t="shared" si="11"/>
        <v>2330131.3408599496</v>
      </c>
      <c r="J66" s="111">
        <f>+'[2]63. YANGUA'!G40+'[2]63. YANGUA'!G41+'[2]63. YANGUA'!G42</f>
        <v>2023049.3519918146</v>
      </c>
      <c r="K66" s="111">
        <f>+'[2]63. YANGUA'!G44</f>
        <v>364148.88335852663</v>
      </c>
      <c r="L66" s="110">
        <f t="shared" si="12"/>
        <v>2387198.2353503411</v>
      </c>
      <c r="M66" s="110">
        <f t="shared" si="4"/>
        <v>4717329.5762102902</v>
      </c>
      <c r="N66" s="147">
        <f t="shared" si="5"/>
        <v>0.49395135599829804</v>
      </c>
      <c r="O66" s="147">
        <f t="shared" si="6"/>
        <v>0.50604864400170202</v>
      </c>
      <c r="P66" s="111">
        <f>+'[2]63. YANGUA'!G19+'[2]63. YANGUA'!G47</f>
        <v>165106.54</v>
      </c>
      <c r="Q66" s="111">
        <f>+'[2]63. YANGUA'!G18+'[2]63. YANGUA'!G46</f>
        <v>270456.00031123782</v>
      </c>
      <c r="R66" s="111"/>
      <c r="S66" s="111">
        <f>+'[2]63. YANGUA'!G20+'[2]63. YANGUA'!G48</f>
        <v>50349.42</v>
      </c>
      <c r="T66" s="111">
        <f>+'[2]63. YANGUA'!G21+'[2]63. YANGUA'!G49</f>
        <v>52430.96</v>
      </c>
      <c r="U66" s="170"/>
      <c r="V66" s="111"/>
      <c r="W66" s="111"/>
      <c r="X66" s="111">
        <f t="shared" si="13"/>
        <v>102780.38</v>
      </c>
      <c r="Y66" s="110">
        <f t="shared" si="1"/>
        <v>5255672.4965215279</v>
      </c>
      <c r="Z66" s="111">
        <f>+'[2]63. YANGUA'!$G$26+'[2]63. YANGUA'!G54</f>
        <v>3569385.0366534274</v>
      </c>
      <c r="AA66" s="116">
        <f>+Z66/Y66</f>
        <v>0.67914906018512922</v>
      </c>
      <c r="AB66" s="119" t="s">
        <v>450</v>
      </c>
      <c r="AC66" s="113"/>
      <c r="AD66" s="114" t="str">
        <f t="shared" si="2"/>
        <v>CONTRATISTA</v>
      </c>
      <c r="AE66" s="110">
        <v>5255672.4965215288</v>
      </c>
      <c r="AF66" s="113">
        <f t="shared" si="3"/>
        <v>0</v>
      </c>
      <c r="AG66" s="115"/>
    </row>
    <row r="67" spans="1:33">
      <c r="A67" s="106">
        <f t="shared" si="7"/>
        <v>64</v>
      </c>
      <c r="B67" s="129"/>
      <c r="C67" s="129">
        <v>284528</v>
      </c>
      <c r="D67" s="107" t="s">
        <v>481</v>
      </c>
      <c r="E67" s="108" t="s">
        <v>516</v>
      </c>
      <c r="F67" s="109" t="s">
        <v>459</v>
      </c>
      <c r="G67" s="111">
        <f>+'[2]64. CATALUCO'!D99+'[2]64. CATALUCO'!E99</f>
        <v>885547.01801256055</v>
      </c>
      <c r="H67" s="111">
        <f>+'[2]64. CATALUCO'!F99</f>
        <v>159398.46420534811</v>
      </c>
      <c r="I67" s="110">
        <f t="shared" si="11"/>
        <v>1044945.4822179086</v>
      </c>
      <c r="J67" s="111">
        <f>+'[2]64. CATALUCO'!H99+'[2]64. CATALUCO'!I99</f>
        <v>1505121.4119874395</v>
      </c>
      <c r="K67" s="111">
        <f>+'[2]64. CATALUCO'!J99</f>
        <v>270921.85579465184</v>
      </c>
      <c r="L67" s="110">
        <f t="shared" si="12"/>
        <v>1776043.2677820914</v>
      </c>
      <c r="M67" s="110">
        <f t="shared" si="4"/>
        <v>2820988.75</v>
      </c>
      <c r="N67" s="147">
        <f t="shared" si="5"/>
        <v>0.37041816711176484</v>
      </c>
      <c r="O67" s="147">
        <f t="shared" si="6"/>
        <v>0.62958183288823522</v>
      </c>
      <c r="P67" s="111"/>
      <c r="Q67" s="111">
        <f>+'[2]64. CATALUCO'!C43</f>
        <v>224164.6</v>
      </c>
      <c r="R67" s="111">
        <f>+'[2]64. CATALUCO'!C71</f>
        <v>12600</v>
      </c>
      <c r="S67" s="111">
        <f>+'[2]64. CATALUCO'!E104</f>
        <v>90774.191197371751</v>
      </c>
      <c r="T67" s="111">
        <f>+'[2]64. CATALUCO'!F104</f>
        <v>85600.488802628242</v>
      </c>
      <c r="U67" s="111">
        <f>+'[2]64. CATALUCO'!G104</f>
        <v>94631.87</v>
      </c>
      <c r="V67" s="111"/>
      <c r="W67" s="111"/>
      <c r="X67" s="111">
        <f t="shared" si="13"/>
        <v>271006.55</v>
      </c>
      <c r="Y67" s="110">
        <f t="shared" si="1"/>
        <v>3328759.9</v>
      </c>
      <c r="Z67" s="111"/>
      <c r="AA67" s="116"/>
      <c r="AB67" s="112" t="s">
        <v>440</v>
      </c>
      <c r="AC67" s="113"/>
      <c r="AD67" s="114" t="str">
        <f t="shared" si="2"/>
        <v>CONTRATISTA</v>
      </c>
      <c r="AE67" s="110">
        <v>3328759.9</v>
      </c>
      <c r="AF67" s="113">
        <f t="shared" si="3"/>
        <v>0</v>
      </c>
      <c r="AG67" s="115"/>
    </row>
    <row r="68" spans="1:33" ht="22.5">
      <c r="A68" s="106">
        <f t="shared" si="7"/>
        <v>65</v>
      </c>
      <c r="B68" s="136"/>
      <c r="C68" s="136">
        <v>294386</v>
      </c>
      <c r="D68" s="130" t="s">
        <v>481</v>
      </c>
      <c r="E68" s="120" t="s">
        <v>517</v>
      </c>
      <c r="F68" s="131" t="s">
        <v>506</v>
      </c>
      <c r="G68" s="111">
        <f>+'[2]66. PAMPA DE LOS SILVA'!O19+'[2]66. PAMPA DE LOS SILVA'!P19</f>
        <v>2290124.676</v>
      </c>
      <c r="H68" s="111">
        <f>+'[2]66. PAMPA DE LOS SILVA'!Q19</f>
        <v>412222.44167999999</v>
      </c>
      <c r="I68" s="110">
        <f t="shared" ref="I68:I73" si="14">SUM(G68:H68)</f>
        <v>2702347.1176800001</v>
      </c>
      <c r="J68" s="111">
        <f>+'[2]66. PAMPA DE LOS SILVA'!R19+'[2]66. PAMPA DE LOS SILVA'!S19</f>
        <v>1556308.2599999998</v>
      </c>
      <c r="K68" s="111">
        <f>+'[2]66. PAMPA DE LOS SILVA'!T19</f>
        <v>280135.48679999996</v>
      </c>
      <c r="L68" s="110">
        <f t="shared" ref="L68:L73" si="15">SUM(J68:K68)</f>
        <v>1836443.7467999998</v>
      </c>
      <c r="M68" s="110">
        <f t="shared" ref="M68:M102" si="16">+L68+I68</f>
        <v>4538790.86448</v>
      </c>
      <c r="N68" s="147">
        <f t="shared" ref="N68:N102" si="17">+I68/M68</f>
        <v>0.59538921231824649</v>
      </c>
      <c r="O68" s="147">
        <f t="shared" ref="O68:O102" si="18">+L68/M68</f>
        <v>0.40461078768175351</v>
      </c>
      <c r="P68" s="111">
        <f>+'[2]66. PAMPA DE LOS SILVA'!J42+'[2]66. PAMPA DE LOS SILVA'!J43+'[2]66. PAMPA DE LOS SILVA'!J73+'[2]66. PAMPA DE LOS SILVA'!J74</f>
        <v>59460.015000000007</v>
      </c>
      <c r="Q68" s="111">
        <f>+'[2]66. PAMPA DE LOS SILVA'!J35+'[2]66. PAMPA DE LOS SILVA'!J68</f>
        <v>363039.54915839992</v>
      </c>
      <c r="R68" s="111">
        <f>+'[2]66. PAMPA DE LOS SILVA'!J41+'[2]66. PAMPA DE LOS SILVA'!J72</f>
        <v>110683.99999999999</v>
      </c>
      <c r="S68" s="111">
        <f>+'[2]66. PAMPA DE LOS SILVA'!S39</f>
        <v>140248.07400000002</v>
      </c>
      <c r="T68" s="111">
        <f>+'[2]66. PAMPA DE LOS SILVA'!T39</f>
        <v>129636.20183999999</v>
      </c>
      <c r="U68" s="111">
        <f>+'[2]66. PAMPA DE LOS SILVA'!U39</f>
        <v>48613.878832000002</v>
      </c>
      <c r="V68" s="111"/>
      <c r="W68" s="111"/>
      <c r="X68" s="111">
        <f t="shared" si="13"/>
        <v>318498.15467200003</v>
      </c>
      <c r="Y68" s="110">
        <f t="shared" ref="Y68:Y103" si="19">+I68+L68+P68+Q68+R68+X68</f>
        <v>5390472.5833103992</v>
      </c>
      <c r="Z68" s="111">
        <f>+'[2]66. PAMPA DE LOS SILVA'!L46+'[2]66. PAMPA DE LOS SILVA'!L75</f>
        <v>4590529.3359534247</v>
      </c>
      <c r="AA68" s="116">
        <f>+Z68/Y68</f>
        <v>0.85160053501919253</v>
      </c>
      <c r="AB68" s="119" t="s">
        <v>450</v>
      </c>
      <c r="AC68" s="113"/>
      <c r="AD68" s="114" t="str">
        <f t="shared" ref="AD68:AD102" si="20">IF(Y68&gt;2500000,"CONTRATISTA","NE")</f>
        <v>CONTRATISTA</v>
      </c>
      <c r="AE68" s="110">
        <v>5390472.5833103983</v>
      </c>
      <c r="AF68" s="113">
        <f t="shared" si="3"/>
        <v>0</v>
      </c>
      <c r="AG68" s="115"/>
    </row>
    <row r="69" spans="1:33">
      <c r="A69" s="106">
        <f t="shared" si="7"/>
        <v>66</v>
      </c>
      <c r="B69" s="129" t="s">
        <v>436</v>
      </c>
      <c r="C69" s="129">
        <v>298146</v>
      </c>
      <c r="D69" s="107" t="s">
        <v>518</v>
      </c>
      <c r="E69" s="108" t="s">
        <v>519</v>
      </c>
      <c r="F69" s="109" t="s">
        <v>459</v>
      </c>
      <c r="G69" s="111">
        <f>+'[2]67. TUPAC AMARU II'!F52+'[2]67. TUPAC AMARU II'!G52</f>
        <v>3141401.2657750472</v>
      </c>
      <c r="H69" s="111">
        <f>+'[2]67. TUPAC AMARU II'!H52</f>
        <v>565452.22783950844</v>
      </c>
      <c r="I69" s="110">
        <f t="shared" si="14"/>
        <v>3706853.4936145558</v>
      </c>
      <c r="J69" s="111">
        <f>+'[2]67. TUPAC AMARU II'!I52+'[2]67. TUPAC AMARU II'!J52</f>
        <v>1959084.994224953</v>
      </c>
      <c r="K69" s="111">
        <f>+'[2]67. TUPAC AMARU II'!K52</f>
        <v>352635.29896049155</v>
      </c>
      <c r="L69" s="110">
        <f t="shared" si="15"/>
        <v>2311720.2931854445</v>
      </c>
      <c r="M69" s="110">
        <f t="shared" si="16"/>
        <v>6018573.7868000008</v>
      </c>
      <c r="N69" s="147">
        <f t="shared" si="17"/>
        <v>0.61590230923885414</v>
      </c>
      <c r="O69" s="147">
        <f t="shared" si="18"/>
        <v>0.38409769076114575</v>
      </c>
      <c r="P69" s="111"/>
      <c r="Q69" s="111">
        <f>+'[2]67. TUPAC AMARU II'!F16</f>
        <v>196954.98</v>
      </c>
      <c r="R69" s="111">
        <f>+'[2]67. TUPAC AMARU II'!F17</f>
        <v>27300</v>
      </c>
      <c r="S69" s="111">
        <f>+'[2]67. TUPAC AMARU II'!G57</f>
        <v>154378.34</v>
      </c>
      <c r="T69" s="111">
        <f>+'[2]67. TUPAC AMARU II'!H57</f>
        <v>160775.85</v>
      </c>
      <c r="U69" s="111">
        <f>+'[2]67. TUPAC AMARU II'!I57</f>
        <v>113883.28</v>
      </c>
      <c r="V69" s="111"/>
      <c r="W69" s="111"/>
      <c r="X69" s="111">
        <f t="shared" si="13"/>
        <v>429037.47</v>
      </c>
      <c r="Y69" s="110">
        <f t="shared" si="19"/>
        <v>6671866.236800001</v>
      </c>
      <c r="Z69" s="111"/>
      <c r="AA69" s="116"/>
      <c r="AB69" s="112" t="s">
        <v>440</v>
      </c>
      <c r="AC69" s="113"/>
      <c r="AD69" s="114" t="str">
        <f t="shared" si="20"/>
        <v>CONTRATISTA</v>
      </c>
      <c r="AE69" s="110">
        <v>6671866.236800001</v>
      </c>
      <c r="AF69" s="113">
        <f t="shared" si="3"/>
        <v>0</v>
      </c>
      <c r="AG69" s="115"/>
    </row>
    <row r="70" spans="1:33">
      <c r="A70" s="106">
        <f t="shared" ref="A70:A103" si="21">+A69+1</f>
        <v>67</v>
      </c>
      <c r="B70" s="136"/>
      <c r="C70" s="136">
        <v>298317</v>
      </c>
      <c r="D70" s="107" t="s">
        <v>518</v>
      </c>
      <c r="E70" s="108" t="s">
        <v>520</v>
      </c>
      <c r="F70" s="109" t="s">
        <v>459</v>
      </c>
      <c r="G70" s="111">
        <f>+'[2]68. PHUSCA'!O21+'[2]68. PHUSCA'!P21</f>
        <v>839396.83000000007</v>
      </c>
      <c r="H70" s="111">
        <f>+'[2]68. PHUSCA'!Q21</f>
        <v>151091.44</v>
      </c>
      <c r="I70" s="110">
        <f t="shared" si="14"/>
        <v>990488.27</v>
      </c>
      <c r="J70" s="111">
        <f>+'[2]68. PHUSCA'!R21+'[2]68. PHUSCA'!S21</f>
        <v>1990164.2</v>
      </c>
      <c r="K70" s="111">
        <f>+'[2]68. PHUSCA'!T21</f>
        <v>358229.56</v>
      </c>
      <c r="L70" s="110">
        <f t="shared" si="15"/>
        <v>2348393.7599999998</v>
      </c>
      <c r="M70" s="110">
        <f t="shared" si="16"/>
        <v>3338882.03</v>
      </c>
      <c r="N70" s="147">
        <f t="shared" si="17"/>
        <v>0.29665267029515269</v>
      </c>
      <c r="O70" s="147">
        <f t="shared" si="18"/>
        <v>0.70334732970484737</v>
      </c>
      <c r="P70" s="111">
        <f>+'[2]68. PHUSCA'!M57+'[2]68. PHUSCA'!M59</f>
        <v>78266.01999999999</v>
      </c>
      <c r="Q70" s="111">
        <f>+'[2]68. PHUSCA'!M61</f>
        <v>278794.51</v>
      </c>
      <c r="R70" s="111">
        <f>+'[2]68. PHUSCA'!M65</f>
        <v>110684</v>
      </c>
      <c r="S70" s="111">
        <f>+'[2]68. PHUSCA'!S34</f>
        <v>108100.27000000002</v>
      </c>
      <c r="T70" s="111">
        <f>+'[2]68. PHUSCA'!T34</f>
        <v>37948.800000000003</v>
      </c>
      <c r="U70" s="170"/>
      <c r="V70" s="111">
        <f>+'[2]68. PHUSCA'!M63</f>
        <v>20909.579999999998</v>
      </c>
      <c r="W70" s="111"/>
      <c r="X70" s="111">
        <f t="shared" si="13"/>
        <v>166958.65</v>
      </c>
      <c r="Y70" s="110">
        <f t="shared" si="19"/>
        <v>3973585.2099999995</v>
      </c>
      <c r="Z70" s="111"/>
      <c r="AA70" s="116"/>
      <c r="AB70" s="119" t="s">
        <v>450</v>
      </c>
      <c r="AC70" s="113"/>
      <c r="AD70" s="114" t="str">
        <f t="shared" si="20"/>
        <v>CONTRATISTA</v>
      </c>
      <c r="AE70" s="110">
        <v>3973585.21</v>
      </c>
      <c r="AF70" s="113">
        <f t="shared" ref="AF70:AF102" si="22">+AE70-Y70</f>
        <v>0</v>
      </c>
      <c r="AG70" s="115"/>
    </row>
    <row r="71" spans="1:33">
      <c r="A71" s="106">
        <f t="shared" si="21"/>
        <v>68</v>
      </c>
      <c r="B71" s="136"/>
      <c r="C71" s="136">
        <v>298444</v>
      </c>
      <c r="D71" s="107" t="s">
        <v>518</v>
      </c>
      <c r="E71" s="118" t="s">
        <v>521</v>
      </c>
      <c r="F71" s="109" t="s">
        <v>459</v>
      </c>
      <c r="G71" s="111">
        <f>+'[2]69. CARACARA'!O12+'[2]69. CARACARA'!P12</f>
        <v>3755313.02</v>
      </c>
      <c r="H71" s="111">
        <f>+'[2]69. CARACARA'!Q12</f>
        <v>675956.34000000008</v>
      </c>
      <c r="I71" s="110">
        <f t="shared" si="14"/>
        <v>4431269.3600000003</v>
      </c>
      <c r="J71" s="111">
        <f>+'[2]69. CARACARA'!R12+'[2]69. CARACARA'!S12</f>
        <v>3313640.78</v>
      </c>
      <c r="K71" s="111">
        <f>+'[2]69. CARACARA'!T12</f>
        <v>596455.34000000008</v>
      </c>
      <c r="L71" s="110">
        <f t="shared" si="15"/>
        <v>3910096.12</v>
      </c>
      <c r="M71" s="110">
        <f t="shared" si="16"/>
        <v>8341365.4800000004</v>
      </c>
      <c r="N71" s="147">
        <f t="shared" si="17"/>
        <v>0.53124028321559646</v>
      </c>
      <c r="O71" s="147">
        <f t="shared" si="18"/>
        <v>0.46875971678440348</v>
      </c>
      <c r="P71" s="111">
        <f>+'[2]69. CARACARA'!J32+'[2]69. CARACARA'!J33+'[2]69. CARACARA'!J59+'[2]69. CARACARA'!J60</f>
        <v>58479.83</v>
      </c>
      <c r="Q71" s="111">
        <f>+'[2]69. CARACARA'!J34+'[2]69. CARACARA'!J61</f>
        <v>508952.7699999999</v>
      </c>
      <c r="R71" s="111">
        <f>+'[2]69. CARACARA'!J36+'[2]69. CARACARA'!J64</f>
        <v>52982</v>
      </c>
      <c r="S71" s="111">
        <f>+'[2]69. CARACARA'!S25</f>
        <v>104496.91</v>
      </c>
      <c r="T71" s="111">
        <f>+'[2]69. CARACARA'!T25</f>
        <v>36683.839999999997</v>
      </c>
      <c r="U71" s="170"/>
      <c r="V71" s="111">
        <f>+'[2]69. CARACARA'!J35+'[2]69. CARACARA'!J63</f>
        <v>25447.65</v>
      </c>
      <c r="W71" s="111"/>
      <c r="X71" s="111">
        <f t="shared" si="13"/>
        <v>166628.4</v>
      </c>
      <c r="Y71" s="110">
        <f t="shared" si="19"/>
        <v>9128408.4800000004</v>
      </c>
      <c r="Z71" s="111">
        <f>+'[2]69. CARACARA'!L69+'[2]69. CARACARA'!L41</f>
        <v>7531522.4503000006</v>
      </c>
      <c r="AA71" s="116">
        <f>+Z71/Y71</f>
        <v>0.82506413541870771</v>
      </c>
      <c r="AB71" s="119" t="s">
        <v>450</v>
      </c>
      <c r="AC71" s="113"/>
      <c r="AD71" s="114" t="str">
        <f t="shared" si="20"/>
        <v>CONTRATISTA</v>
      </c>
      <c r="AE71" s="110">
        <v>9128408.4800000004</v>
      </c>
      <c r="AF71" s="113">
        <f t="shared" si="22"/>
        <v>0</v>
      </c>
      <c r="AG71" s="115"/>
    </row>
    <row r="72" spans="1:33">
      <c r="A72" s="106">
        <f t="shared" si="21"/>
        <v>69</v>
      </c>
      <c r="B72" s="129"/>
      <c r="C72" s="129">
        <v>298362</v>
      </c>
      <c r="D72" s="107" t="s">
        <v>518</v>
      </c>
      <c r="E72" s="108" t="s">
        <v>522</v>
      </c>
      <c r="F72" s="109" t="s">
        <v>459</v>
      </c>
      <c r="G72" s="111">
        <f>+'[2]70. CENTRAL SORAPA'!D87+'[2]70. CENTRAL SORAPA'!E87</f>
        <v>3036000.3618833208</v>
      </c>
      <c r="H72" s="111">
        <f>+'[2]70. CENTRAL SORAPA'!F87</f>
        <v>546480.06604864437</v>
      </c>
      <c r="I72" s="110">
        <f t="shared" si="14"/>
        <v>3582480.4279319653</v>
      </c>
      <c r="J72" s="111">
        <f>+'[2]70. CENTRAL SORAPA'!H87+'[2]70. CENTRAL SORAPA'!I87</f>
        <v>3639120.7381166792</v>
      </c>
      <c r="K72" s="111">
        <f>+'[2]70. CENTRAL SORAPA'!J87</f>
        <v>655041.7339513558</v>
      </c>
      <c r="L72" s="110">
        <f t="shared" si="15"/>
        <v>4294162.472068035</v>
      </c>
      <c r="M72" s="110">
        <f t="shared" si="16"/>
        <v>7876642.9000000004</v>
      </c>
      <c r="N72" s="147">
        <f t="shared" si="17"/>
        <v>0.45482326333874618</v>
      </c>
      <c r="O72" s="147">
        <f t="shared" si="18"/>
        <v>0.54517673666125388</v>
      </c>
      <c r="P72" s="111"/>
      <c r="Q72" s="111">
        <f>+'[2]70. CENTRAL SORAPA'!C29</f>
        <v>222877.36</v>
      </c>
      <c r="R72" s="111">
        <f>+'[2]70. CENTRAL SORAPA'!C59</f>
        <v>27300</v>
      </c>
      <c r="S72" s="111">
        <f>+'[2]70. CENTRAL SORAPA'!E92</f>
        <v>108775.24</v>
      </c>
      <c r="T72" s="111">
        <f>+'[2]70. CENTRAL SORAPA'!F92</f>
        <v>99673.61</v>
      </c>
      <c r="U72" s="111">
        <f>+'[2]70. CENTRAL SORAPA'!G92</f>
        <v>107131.61</v>
      </c>
      <c r="V72" s="111"/>
      <c r="W72" s="111"/>
      <c r="X72" s="111">
        <f t="shared" si="13"/>
        <v>315580.46000000002</v>
      </c>
      <c r="Y72" s="110">
        <f t="shared" si="19"/>
        <v>8442400.7200000007</v>
      </c>
      <c r="Z72" s="111"/>
      <c r="AA72" s="116"/>
      <c r="AB72" s="112" t="s">
        <v>440</v>
      </c>
      <c r="AC72" s="113"/>
      <c r="AD72" s="114" t="str">
        <f t="shared" si="20"/>
        <v>CONTRATISTA</v>
      </c>
      <c r="AE72" s="110">
        <v>8442400.7200000007</v>
      </c>
      <c r="AF72" s="113">
        <f t="shared" si="22"/>
        <v>0</v>
      </c>
      <c r="AG72" s="115"/>
    </row>
    <row r="73" spans="1:33" ht="22.5">
      <c r="A73" s="106">
        <f t="shared" si="21"/>
        <v>70</v>
      </c>
      <c r="B73" s="129"/>
      <c r="C73" s="129">
        <v>298939</v>
      </c>
      <c r="D73" s="107" t="s">
        <v>518</v>
      </c>
      <c r="E73" s="108" t="s">
        <v>523</v>
      </c>
      <c r="F73" s="109" t="s">
        <v>459</v>
      </c>
      <c r="G73" s="111">
        <f>+'[2]71. CASCADA MUÑANI CHICO'!D82+'[2]71. CASCADA MUÑANI CHICO'!E82</f>
        <v>1999086.6328203939</v>
      </c>
      <c r="H73" s="111">
        <f>+'[2]71. CASCADA MUÑANI CHICO'!F82</f>
        <v>359835.59234907042</v>
      </c>
      <c r="I73" s="110">
        <f t="shared" si="14"/>
        <v>2358922.2251694645</v>
      </c>
      <c r="J73" s="111">
        <f>+'[2]71. CASCADA MUÑANI CHICO'!H82+'[2]71. CASCADA MUÑANI CHICO'!I82</f>
        <v>2105286.1071796059</v>
      </c>
      <c r="K73" s="111">
        <f>+'[2]71. CASCADA MUÑANI CHICO'!J82</f>
        <v>378951.49765092949</v>
      </c>
      <c r="L73" s="110">
        <f t="shared" si="15"/>
        <v>2484237.6048305351</v>
      </c>
      <c r="M73" s="110">
        <f t="shared" si="16"/>
        <v>4843159.83</v>
      </c>
      <c r="N73" s="147">
        <f t="shared" si="17"/>
        <v>0.4870626425660341</v>
      </c>
      <c r="O73" s="147">
        <f t="shared" si="18"/>
        <v>0.51293735743396585</v>
      </c>
      <c r="P73" s="111"/>
      <c r="Q73" s="111">
        <f>+'[2]71. CASCADA MUÑANI CHICO'!C27</f>
        <v>196172.75</v>
      </c>
      <c r="R73" s="111">
        <f>+'[2]71. CASCADA MUÑANI CHICO'!C57</f>
        <v>27300</v>
      </c>
      <c r="S73" s="111">
        <f>+'[2]71. CASCADA MUÑANI CHICO'!E87</f>
        <v>93009.1</v>
      </c>
      <c r="T73" s="111">
        <f>+'[2]71. CASCADA MUÑANI CHICO'!F87</f>
        <v>98977.75</v>
      </c>
      <c r="U73" s="111">
        <f>+'[2]71. CASCADA MUÑANI CHICO'!G87</f>
        <v>100881.74</v>
      </c>
      <c r="V73" s="111"/>
      <c r="W73" s="111"/>
      <c r="X73" s="111">
        <f t="shared" si="13"/>
        <v>292868.59000000003</v>
      </c>
      <c r="Y73" s="110">
        <f t="shared" si="19"/>
        <v>5359501.17</v>
      </c>
      <c r="Z73" s="111"/>
      <c r="AA73" s="116"/>
      <c r="AB73" s="112" t="s">
        <v>440</v>
      </c>
      <c r="AC73" s="113"/>
      <c r="AD73" s="114" t="str">
        <f t="shared" si="20"/>
        <v>CONTRATISTA</v>
      </c>
      <c r="AE73" s="110">
        <v>5359501.169999999</v>
      </c>
      <c r="AF73" s="113">
        <f t="shared" si="22"/>
        <v>0</v>
      </c>
      <c r="AG73" s="115"/>
    </row>
    <row r="74" spans="1:33">
      <c r="A74" s="106">
        <f t="shared" si="21"/>
        <v>71</v>
      </c>
      <c r="B74" s="129"/>
      <c r="C74" s="129">
        <v>302292</v>
      </c>
      <c r="D74" s="107" t="s">
        <v>518</v>
      </c>
      <c r="E74" s="108" t="s">
        <v>524</v>
      </c>
      <c r="F74" s="109" t="s">
        <v>439</v>
      </c>
      <c r="G74" s="111"/>
      <c r="H74" s="111"/>
      <c r="I74" s="110">
        <f>+'[2]72. IGUARA'!G84</f>
        <v>1791020.79</v>
      </c>
      <c r="J74" s="111"/>
      <c r="K74" s="111"/>
      <c r="L74" s="110">
        <f>+'[2]72. IGUARA'!K84</f>
        <v>4775581.45</v>
      </c>
      <c r="M74" s="110">
        <f t="shared" si="16"/>
        <v>6566602.2400000002</v>
      </c>
      <c r="N74" s="147">
        <f t="shared" si="17"/>
        <v>0.27274695870721721</v>
      </c>
      <c r="O74" s="147">
        <f t="shared" si="18"/>
        <v>0.72725304129278279</v>
      </c>
      <c r="P74" s="111"/>
      <c r="Q74" s="111">
        <f>+'[2]72. IGUARA'!C51</f>
        <v>328330.11</v>
      </c>
      <c r="R74" s="111">
        <f>+'[2]72. IGUARA'!C52</f>
        <v>18450</v>
      </c>
      <c r="S74" s="111">
        <f>+'[2]72. IGUARA'!E89</f>
        <v>156813.28</v>
      </c>
      <c r="T74" s="111">
        <f>+'[2]72. IGUARA'!F89</f>
        <v>52783.65</v>
      </c>
      <c r="U74" s="111">
        <f>+'[2]72. IGUARA'!G89</f>
        <v>92927.360000000001</v>
      </c>
      <c r="V74" s="111"/>
      <c r="W74" s="111"/>
      <c r="X74" s="111">
        <f t="shared" si="13"/>
        <v>302524.28999999998</v>
      </c>
      <c r="Y74" s="110">
        <f t="shared" si="19"/>
        <v>7215906.6400000006</v>
      </c>
      <c r="Z74" s="111"/>
      <c r="AA74" s="116"/>
      <c r="AB74" s="112" t="s">
        <v>440</v>
      </c>
      <c r="AC74" s="113"/>
      <c r="AD74" s="114" t="str">
        <f t="shared" si="20"/>
        <v>CONTRATISTA</v>
      </c>
      <c r="AE74" s="110">
        <v>7215906.6400000006</v>
      </c>
      <c r="AF74" s="113">
        <f t="shared" si="22"/>
        <v>0</v>
      </c>
      <c r="AG74" s="115"/>
    </row>
    <row r="75" spans="1:33">
      <c r="A75" s="106">
        <f t="shared" si="21"/>
        <v>72</v>
      </c>
      <c r="B75" s="136"/>
      <c r="C75" s="136">
        <v>302276</v>
      </c>
      <c r="D75" s="107" t="s">
        <v>518</v>
      </c>
      <c r="E75" s="108" t="s">
        <v>525</v>
      </c>
      <c r="F75" s="109" t="s">
        <v>459</v>
      </c>
      <c r="G75" s="111">
        <f>+'[2]73. UMACHULLO'!E5+'[2]73. UMACHULLO'!F5+'[2]73. UMACHULLO'!G5</f>
        <v>512536.6592706932</v>
      </c>
      <c r="H75" s="111">
        <f>+'[2]73. UMACHULLO'!I5</f>
        <v>92256.598668724764</v>
      </c>
      <c r="I75" s="110">
        <f t="shared" ref="I75:I83" si="23">SUM(G75:H75)</f>
        <v>604793.25793941796</v>
      </c>
      <c r="J75" s="111">
        <f>+'[2]73. UMACHULLO'!E48+'[2]73. UMACHULLO'!F48+'[2]73. UMACHULLO'!G48</f>
        <v>856281.56946426153</v>
      </c>
      <c r="K75" s="111">
        <f>+'[2]73. UMACHULLO'!I48</f>
        <v>154130.68250356708</v>
      </c>
      <c r="L75" s="110">
        <f t="shared" ref="L75:L83" si="24">SUM(J75:K75)</f>
        <v>1010412.2519678286</v>
      </c>
      <c r="M75" s="110">
        <f t="shared" si="16"/>
        <v>1615205.5099072466</v>
      </c>
      <c r="N75" s="147">
        <f t="shared" si="17"/>
        <v>0.37443734201609324</v>
      </c>
      <c r="O75" s="147">
        <f t="shared" si="18"/>
        <v>0.62556265798390676</v>
      </c>
      <c r="P75" s="111">
        <f>+'[2]73. UMACHULLO'!J37+'[2]73. UMACHULLO'!J38+'[2]73. UMACHULLO'!J78+'[2]73. UMACHULLO'!J79</f>
        <v>57155.250000000007</v>
      </c>
      <c r="Q75" s="111">
        <f>+'[2]73. UMACHULLO'!E91</f>
        <v>140895.9117</v>
      </c>
      <c r="R75" s="111"/>
      <c r="S75" s="111">
        <f>+'[2]73. UMACHULLO'!J20+'[2]73. UMACHULLO'!J72</f>
        <v>126576.24080773155</v>
      </c>
      <c r="T75" s="111">
        <f>+'[2]73. UMACHULLO'!J30+'[2]73. UMACHULLO'!J75</f>
        <v>107346.96068502218</v>
      </c>
      <c r="U75" s="111">
        <f>+'[2]73. UMACHULLO'!E92</f>
        <v>45890</v>
      </c>
      <c r="V75" s="111">
        <f>+'[2]73. UMACHULLO'!J40+'[2]73. UMACHULLO'!J81</f>
        <v>38650</v>
      </c>
      <c r="W75" s="111"/>
      <c r="X75" s="111">
        <f t="shared" si="13"/>
        <v>318463.20149275369</v>
      </c>
      <c r="Y75" s="110">
        <f t="shared" si="19"/>
        <v>2131719.8731000004</v>
      </c>
      <c r="Z75" s="111">
        <f>+'[2]73. UMACHULLO'!$L$41+'[2]73. UMACHULLO'!$L$82</f>
        <v>1734708.7324867221</v>
      </c>
      <c r="AA75" s="116">
        <f>+Z75/Y75</f>
        <v>0.81376017288991409</v>
      </c>
      <c r="AB75" s="119" t="s">
        <v>450</v>
      </c>
      <c r="AC75" s="113"/>
      <c r="AD75" s="114" t="str">
        <f t="shared" si="20"/>
        <v>NE</v>
      </c>
      <c r="AE75" s="110">
        <v>2131719.8731000004</v>
      </c>
      <c r="AF75" s="113">
        <f t="shared" si="22"/>
        <v>0</v>
      </c>
      <c r="AG75" s="115"/>
    </row>
    <row r="76" spans="1:33">
      <c r="A76" s="106">
        <f t="shared" si="21"/>
        <v>73</v>
      </c>
      <c r="B76" s="106" t="s">
        <v>436</v>
      </c>
      <c r="C76" s="129">
        <v>300046</v>
      </c>
      <c r="D76" s="107" t="s">
        <v>526</v>
      </c>
      <c r="E76" s="108" t="s">
        <v>527</v>
      </c>
      <c r="F76" s="109" t="s">
        <v>439</v>
      </c>
      <c r="G76" s="111">
        <f>+'[2]74. URCOPATA'!D43+'[2]74. URCOPATA'!E43</f>
        <v>411604.5689814802</v>
      </c>
      <c r="H76" s="111"/>
      <c r="I76" s="110">
        <f t="shared" si="23"/>
        <v>411604.5689814802</v>
      </c>
      <c r="J76" s="111">
        <f>+'[2]74. URCOPATA'!F43+'[2]74. URCOPATA'!G43</f>
        <v>840268.72533488018</v>
      </c>
      <c r="K76" s="111"/>
      <c r="L76" s="110">
        <f t="shared" si="24"/>
        <v>840268.72533488018</v>
      </c>
      <c r="M76" s="110">
        <f t="shared" si="16"/>
        <v>1251873.2943163603</v>
      </c>
      <c r="N76" s="147">
        <f t="shared" si="17"/>
        <v>0.32879091745962574</v>
      </c>
      <c r="O76" s="147">
        <f t="shared" si="18"/>
        <v>0.67120908254037437</v>
      </c>
      <c r="P76" s="111"/>
      <c r="Q76" s="111">
        <f>+'[2]74. URCOPATA'!C31</f>
        <v>68400</v>
      </c>
      <c r="R76" s="111">
        <f>+'[2]74. URCOPATA'!C35</f>
        <v>7800</v>
      </c>
      <c r="S76" s="111">
        <f>+'[2]74. URCOPATA'!E49</f>
        <v>60554.2</v>
      </c>
      <c r="T76" s="111">
        <f>+'[2]74. URCOPATA'!F49</f>
        <v>69995.873464658172</v>
      </c>
      <c r="U76" s="111">
        <f>+'[2]74. URCOPATA'!G49</f>
        <v>62300</v>
      </c>
      <c r="V76" s="111"/>
      <c r="W76" s="111">
        <f>+'[2]74. URCOPATA'!C70</f>
        <v>63150.122698178238</v>
      </c>
      <c r="X76" s="111">
        <f t="shared" si="13"/>
        <v>256000.19616283639</v>
      </c>
      <c r="Y76" s="110">
        <f t="shared" si="19"/>
        <v>1584073.4904791967</v>
      </c>
      <c r="Z76" s="111"/>
      <c r="AA76" s="116"/>
      <c r="AB76" s="112" t="s">
        <v>440</v>
      </c>
      <c r="AC76" s="113"/>
      <c r="AD76" s="114" t="str">
        <f t="shared" si="20"/>
        <v>NE</v>
      </c>
      <c r="AE76" s="110">
        <v>1584073.4904791967</v>
      </c>
      <c r="AF76" s="113">
        <f t="shared" si="22"/>
        <v>0</v>
      </c>
      <c r="AG76" s="115"/>
    </row>
    <row r="77" spans="1:33">
      <c r="A77" s="106">
        <f t="shared" si="21"/>
        <v>74</v>
      </c>
      <c r="B77" s="106" t="s">
        <v>436</v>
      </c>
      <c r="C77" s="129">
        <v>292988</v>
      </c>
      <c r="D77" s="107" t="s">
        <v>526</v>
      </c>
      <c r="E77" s="108" t="s">
        <v>528</v>
      </c>
      <c r="F77" s="109" t="s">
        <v>449</v>
      </c>
      <c r="G77" s="111">
        <f>+'[2]75. MACHUNGO'!D43+'[2]75. MACHUNGO'!E43</f>
        <v>398422.09487990348</v>
      </c>
      <c r="H77" s="111"/>
      <c r="I77" s="110">
        <f t="shared" si="23"/>
        <v>398422.09487990348</v>
      </c>
      <c r="J77" s="111">
        <f>+'[2]75. MACHUNGO'!F43+'[2]75. MACHUNGO'!G43</f>
        <v>991535.89639098896</v>
      </c>
      <c r="K77" s="111"/>
      <c r="L77" s="110">
        <f t="shared" si="24"/>
        <v>991535.89639098896</v>
      </c>
      <c r="M77" s="110">
        <f t="shared" si="16"/>
        <v>1389957.9912708923</v>
      </c>
      <c r="N77" s="147">
        <f t="shared" si="17"/>
        <v>0.28664326359648523</v>
      </c>
      <c r="O77" s="147">
        <f t="shared" si="18"/>
        <v>0.71335673640351482</v>
      </c>
      <c r="P77" s="111"/>
      <c r="Q77" s="111">
        <f>+'[2]75. MACHUNGO'!C27</f>
        <v>68400</v>
      </c>
      <c r="R77" s="111">
        <f>+'[2]75. MACHUNGO'!C31</f>
        <v>7800</v>
      </c>
      <c r="S77" s="111">
        <f>+'[2]75. MACHUNGO'!E49</f>
        <v>61938.1</v>
      </c>
      <c r="T77" s="111">
        <f>+'[2]75. MACHUNGO'!F49</f>
        <v>70039.07346465817</v>
      </c>
      <c r="U77" s="111">
        <f>+'[2]75. MACHUNGO'!G49</f>
        <v>62300</v>
      </c>
      <c r="V77" s="111"/>
      <c r="W77" s="111">
        <f>+'[2]75. MACHUNGO'!C71</f>
        <v>65787.022698178247</v>
      </c>
      <c r="X77" s="111">
        <f t="shared" si="13"/>
        <v>260064.19616283642</v>
      </c>
      <c r="Y77" s="110">
        <f t="shared" si="19"/>
        <v>1726222.1874337287</v>
      </c>
      <c r="Z77" s="111"/>
      <c r="AA77" s="116"/>
      <c r="AB77" s="112" t="s">
        <v>440</v>
      </c>
      <c r="AC77" s="113"/>
      <c r="AD77" s="114" t="str">
        <f t="shared" si="20"/>
        <v>NE</v>
      </c>
      <c r="AE77" s="110">
        <v>1726222.1874337289</v>
      </c>
      <c r="AF77" s="113">
        <f t="shared" si="22"/>
        <v>0</v>
      </c>
      <c r="AG77" s="115"/>
    </row>
    <row r="78" spans="1:33" ht="22.5">
      <c r="A78" s="106">
        <f t="shared" si="21"/>
        <v>75</v>
      </c>
      <c r="B78" s="129" t="s">
        <v>436</v>
      </c>
      <c r="C78" s="129">
        <v>292051</v>
      </c>
      <c r="D78" s="107" t="s">
        <v>526</v>
      </c>
      <c r="E78" s="108" t="s">
        <v>529</v>
      </c>
      <c r="F78" s="109" t="s">
        <v>439</v>
      </c>
      <c r="G78" s="111">
        <f>+'[2]76. NUEVO HORIZONTE'!D111+'[2]76. NUEVO HORIZONTE'!E111</f>
        <v>831317.87232823949</v>
      </c>
      <c r="H78" s="111">
        <f>+'[2]76. NUEVO HORIZONTE'!F111</f>
        <v>149637.22209849718</v>
      </c>
      <c r="I78" s="110">
        <f t="shared" si="23"/>
        <v>980955.0944267367</v>
      </c>
      <c r="J78" s="111">
        <f>+'[2]76. NUEVO HORIZONTE'!H111+'[2]76. NUEVO HORIZONTE'!I111</f>
        <v>1754575.3176717605</v>
      </c>
      <c r="K78" s="111">
        <f>+'[2]76. NUEVO HORIZONTE'!J111</f>
        <v>315823.56790150265</v>
      </c>
      <c r="L78" s="110">
        <f t="shared" si="24"/>
        <v>2070398.885573263</v>
      </c>
      <c r="M78" s="110">
        <f t="shared" si="16"/>
        <v>3051353.9799999995</v>
      </c>
      <c r="N78" s="147">
        <f t="shared" si="17"/>
        <v>0.32148190634596147</v>
      </c>
      <c r="O78" s="147">
        <f t="shared" si="18"/>
        <v>0.67851809365403859</v>
      </c>
      <c r="P78" s="111"/>
      <c r="Q78" s="111">
        <f>+'[2]76. NUEVO HORIZONTE'!C31</f>
        <v>110060.37</v>
      </c>
      <c r="R78" s="111">
        <f>+'[2]76. NUEVO HORIZONTE'!C86</f>
        <v>17800</v>
      </c>
      <c r="S78" s="111">
        <f>+'[2]76. NUEVO HORIZONTE'!E116</f>
        <v>85036.31</v>
      </c>
      <c r="T78" s="111">
        <f>+'[2]76. NUEVO HORIZONTE'!F116</f>
        <v>90096.29</v>
      </c>
      <c r="U78" s="111">
        <f>+'[2]76. NUEVO HORIZONTE'!G116</f>
        <v>93684.92</v>
      </c>
      <c r="V78" s="111"/>
      <c r="W78" s="111"/>
      <c r="X78" s="111">
        <f t="shared" si="13"/>
        <v>268817.51999999996</v>
      </c>
      <c r="Y78" s="110">
        <f t="shared" si="19"/>
        <v>3448031.8699999996</v>
      </c>
      <c r="Z78" s="111"/>
      <c r="AA78" s="116"/>
      <c r="AB78" s="112" t="s">
        <v>440</v>
      </c>
      <c r="AC78" s="113"/>
      <c r="AD78" s="114" t="str">
        <f t="shared" si="20"/>
        <v>CONTRATISTA</v>
      </c>
      <c r="AE78" s="110">
        <v>3448031.87</v>
      </c>
      <c r="AF78" s="113">
        <f t="shared" si="22"/>
        <v>0</v>
      </c>
      <c r="AG78" s="115"/>
    </row>
    <row r="79" spans="1:33">
      <c r="A79" s="106">
        <f t="shared" si="21"/>
        <v>76</v>
      </c>
      <c r="B79" s="129" t="s">
        <v>436</v>
      </c>
      <c r="C79" s="129">
        <v>292368</v>
      </c>
      <c r="D79" s="107" t="s">
        <v>526</v>
      </c>
      <c r="E79" s="108" t="s">
        <v>530</v>
      </c>
      <c r="F79" s="109" t="s">
        <v>439</v>
      </c>
      <c r="G79" s="111">
        <f>+'[2]77. VISTA ALEGRE'!H62+'[2]77. VISTA ALEGRE'!I62</f>
        <v>806837.10666630231</v>
      </c>
      <c r="H79" s="111">
        <f>+'[2]77. VISTA ALEGRE'!J62</f>
        <v>145230.67919993441</v>
      </c>
      <c r="I79" s="110">
        <f t="shared" si="23"/>
        <v>952067.78586623678</v>
      </c>
      <c r="J79" s="111">
        <f>+'[2]77. VISTA ALEGRE'!K62+'[2]77. VISTA ALEGRE'!L62</f>
        <v>1626303.2592453244</v>
      </c>
      <c r="K79" s="111">
        <f>+'[2]77. VISTA ALEGRE'!M62</f>
        <v>292734.58666415839</v>
      </c>
      <c r="L79" s="110">
        <f t="shared" si="24"/>
        <v>1919037.8459094828</v>
      </c>
      <c r="M79" s="110">
        <f t="shared" si="16"/>
        <v>2871105.6317757196</v>
      </c>
      <c r="N79" s="147">
        <f t="shared" si="17"/>
        <v>0.33160318984063381</v>
      </c>
      <c r="O79" s="147">
        <f t="shared" si="18"/>
        <v>0.66839681015936625</v>
      </c>
      <c r="P79" s="111"/>
      <c r="Q79" s="111">
        <f>+'[2]77. VISTA ALEGRE'!E37</f>
        <v>110060.37</v>
      </c>
      <c r="R79" s="111">
        <f>+'[2]77. VISTA ALEGRE'!E38</f>
        <v>17800</v>
      </c>
      <c r="S79" s="111">
        <f>+'[2]77. VISTA ALEGRE'!I68</f>
        <v>84716.744999999995</v>
      </c>
      <c r="T79" s="111">
        <f>+'[2]77. VISTA ALEGRE'!J68</f>
        <v>90050.111499999999</v>
      </c>
      <c r="U79" s="111">
        <f>+'[2]77. VISTA ALEGRE'!K68</f>
        <v>93684.92</v>
      </c>
      <c r="V79" s="111"/>
      <c r="W79" s="111"/>
      <c r="X79" s="111">
        <f t="shared" si="13"/>
        <v>268451.77649999998</v>
      </c>
      <c r="Y79" s="110">
        <f t="shared" si="19"/>
        <v>3267417.7782757198</v>
      </c>
      <c r="Z79" s="111"/>
      <c r="AA79" s="116"/>
      <c r="AB79" s="112" t="s">
        <v>440</v>
      </c>
      <c r="AC79" s="113"/>
      <c r="AD79" s="114" t="str">
        <f t="shared" si="20"/>
        <v>CONTRATISTA</v>
      </c>
      <c r="AE79" s="110">
        <v>3267417.7782757198</v>
      </c>
      <c r="AF79" s="113">
        <f t="shared" si="22"/>
        <v>0</v>
      </c>
      <c r="AG79" s="115"/>
    </row>
    <row r="80" spans="1:33">
      <c r="A80" s="106">
        <f t="shared" si="21"/>
        <v>77</v>
      </c>
      <c r="B80" s="129" t="s">
        <v>436</v>
      </c>
      <c r="C80" s="129">
        <v>292010</v>
      </c>
      <c r="D80" s="107" t="s">
        <v>526</v>
      </c>
      <c r="E80" s="108" t="s">
        <v>531</v>
      </c>
      <c r="F80" s="109" t="s">
        <v>439</v>
      </c>
      <c r="G80" s="111">
        <f>+'[2]78. ALTO CUTERVO'!F51+'[2]78. ALTO CUTERVO'!G51</f>
        <v>1459318.5684609949</v>
      </c>
      <c r="H80" s="111">
        <f>+'[2]78. ALTO CUTERVO'!H51</f>
        <v>262677.34232297906</v>
      </c>
      <c r="I80" s="110">
        <f t="shared" si="23"/>
        <v>1721995.910783974</v>
      </c>
      <c r="J80" s="111">
        <f>+'[2]78. ALTO CUTERVO'!I51+'[2]78. ALTO CUTERVO'!J51</f>
        <v>1560738.9146872617</v>
      </c>
      <c r="K80" s="111">
        <f>+'[2]78. ALTO CUTERVO'!K51</f>
        <v>280933.00464370707</v>
      </c>
      <c r="L80" s="110">
        <f t="shared" si="24"/>
        <v>1841671.9193309688</v>
      </c>
      <c r="M80" s="110">
        <f t="shared" si="16"/>
        <v>3563667.830114943</v>
      </c>
      <c r="N80" s="147">
        <f t="shared" si="17"/>
        <v>0.48320887155423586</v>
      </c>
      <c r="O80" s="147">
        <f t="shared" si="18"/>
        <v>0.51679112844576403</v>
      </c>
      <c r="P80" s="111"/>
      <c r="Q80" s="111">
        <f>+'[2]78. ALTO CUTERVO'!E32</f>
        <v>110060.37</v>
      </c>
      <c r="R80" s="111">
        <f>+'[2]78. ALTO CUTERVO'!E38</f>
        <v>17800</v>
      </c>
      <c r="S80" s="111">
        <f>+'[2]78. ALTO CUTERVO'!G57</f>
        <v>83459.073305084734</v>
      </c>
      <c r="T80" s="111">
        <f>+'[2]78. ALTO CUTERVO'!H57</f>
        <v>89871.361440677967</v>
      </c>
      <c r="U80" s="111">
        <f>+'[2]78. ALTO CUTERVO'!I57</f>
        <v>93684.92</v>
      </c>
      <c r="V80" s="111"/>
      <c r="W80" s="111"/>
      <c r="X80" s="111">
        <f t="shared" si="13"/>
        <v>267015.35474576271</v>
      </c>
      <c r="Y80" s="110">
        <f t="shared" si="19"/>
        <v>3958543.554860706</v>
      </c>
      <c r="Z80" s="111"/>
      <c r="AA80" s="116"/>
      <c r="AB80" s="112" t="s">
        <v>440</v>
      </c>
      <c r="AC80" s="113"/>
      <c r="AD80" s="114" t="str">
        <f t="shared" si="20"/>
        <v>CONTRATISTA</v>
      </c>
      <c r="AE80" s="110">
        <v>3958543.5548607055</v>
      </c>
      <c r="AF80" s="113">
        <f t="shared" si="22"/>
        <v>0</v>
      </c>
      <c r="AG80" s="115"/>
    </row>
    <row r="81" spans="1:33" ht="22.5">
      <c r="A81" s="106">
        <f t="shared" si="21"/>
        <v>78</v>
      </c>
      <c r="B81" s="129"/>
      <c r="C81" s="129">
        <v>292111</v>
      </c>
      <c r="D81" s="108" t="s">
        <v>526</v>
      </c>
      <c r="E81" s="108" t="s">
        <v>532</v>
      </c>
      <c r="F81" s="137" t="s">
        <v>439</v>
      </c>
      <c r="G81" s="111">
        <f>+'[2]79. NUEVA ESPERANZA'!D113+'[2]79. NUEVA ESPERANZA'!E113</f>
        <v>739330.46180695971</v>
      </c>
      <c r="H81" s="111">
        <f>+'[2]79. NUEVA ESPERANZA'!F113</f>
        <v>133079.48405637921</v>
      </c>
      <c r="I81" s="110">
        <f t="shared" si="23"/>
        <v>872409.94586333889</v>
      </c>
      <c r="J81" s="111">
        <f>+'[2]79. NUEVA ESPERANZA'!H113+'[2]79. NUEVA ESPERANZA'!I113</f>
        <v>1642721.1881930402</v>
      </c>
      <c r="K81" s="111">
        <f>+'[2]79. NUEVA ESPERANZA'!J113</f>
        <v>295689.81594362069</v>
      </c>
      <c r="L81" s="110">
        <f t="shared" si="24"/>
        <v>1938411.0041366608</v>
      </c>
      <c r="M81" s="110">
        <f t="shared" si="16"/>
        <v>2810820.9499999997</v>
      </c>
      <c r="N81" s="147">
        <f t="shared" si="17"/>
        <v>0.31037549576515677</v>
      </c>
      <c r="O81" s="147">
        <f t="shared" si="18"/>
        <v>0.68962450423484323</v>
      </c>
      <c r="P81" s="111"/>
      <c r="Q81" s="111">
        <f>+'[2]79. NUEVA ESPERANZA'!C32</f>
        <v>110060.37</v>
      </c>
      <c r="R81" s="111">
        <f>+'[2]79. NUEVA ESPERANZA'!C87</f>
        <v>17800</v>
      </c>
      <c r="S81" s="111">
        <f>+'[2]79. NUEVA ESPERANZA'!E118</f>
        <v>83777.25</v>
      </c>
      <c r="T81" s="111">
        <f>+'[2]79. NUEVA ESPERANZA'!F118</f>
        <v>89913.84</v>
      </c>
      <c r="U81" s="111">
        <f>+'[2]79. NUEVA ESPERANZA'!G118</f>
        <v>93684.92</v>
      </c>
      <c r="V81" s="111"/>
      <c r="W81" s="111"/>
      <c r="X81" s="111">
        <f t="shared" si="13"/>
        <v>267376.01</v>
      </c>
      <c r="Y81" s="110">
        <f t="shared" si="19"/>
        <v>3206057.33</v>
      </c>
      <c r="Z81" s="111"/>
      <c r="AA81" s="116"/>
      <c r="AB81" s="112" t="s">
        <v>440</v>
      </c>
      <c r="AC81" s="113"/>
      <c r="AD81" s="114" t="str">
        <f t="shared" si="20"/>
        <v>CONTRATISTA</v>
      </c>
      <c r="AE81" s="110">
        <v>3206057.33</v>
      </c>
      <c r="AF81" s="113">
        <f t="shared" si="22"/>
        <v>0</v>
      </c>
      <c r="AG81" s="115"/>
    </row>
    <row r="82" spans="1:33">
      <c r="A82" s="106">
        <f t="shared" si="21"/>
        <v>79</v>
      </c>
      <c r="B82" s="129"/>
      <c r="C82" s="129">
        <v>289548</v>
      </c>
      <c r="D82" s="107" t="s">
        <v>526</v>
      </c>
      <c r="E82" s="108" t="s">
        <v>475</v>
      </c>
      <c r="F82" s="109" t="s">
        <v>439</v>
      </c>
      <c r="G82" s="111">
        <f>+'[2]80. BUENOS AIRES'!D118+'[2]80. BUENOS AIRES'!E118</f>
        <v>403317.80905715056</v>
      </c>
      <c r="H82" s="111">
        <f>+'[2]80. BUENOS AIRES'!F118</f>
        <v>27633.254934352568</v>
      </c>
      <c r="I82" s="110">
        <f t="shared" si="23"/>
        <v>430951.06399150315</v>
      </c>
      <c r="J82" s="111">
        <f>+'[2]80. BUENOS AIRES'!H118+'[2]80. BUENOS AIRES'!I118</f>
        <v>732540.94250962965</v>
      </c>
      <c r="K82" s="111">
        <f>+'[2]80. BUENOS AIRES'!J118</f>
        <v>50189.925065647476</v>
      </c>
      <c r="L82" s="110">
        <f t="shared" si="24"/>
        <v>782730.86757527711</v>
      </c>
      <c r="M82" s="110">
        <f t="shared" si="16"/>
        <v>1213681.9315667802</v>
      </c>
      <c r="N82" s="147">
        <f t="shared" si="17"/>
        <v>0.3550774323839318</v>
      </c>
      <c r="O82" s="147">
        <f t="shared" si="18"/>
        <v>0.64492256761606825</v>
      </c>
      <c r="P82" s="111"/>
      <c r="Q82" s="111">
        <f>+'[2]80. BUENOS AIRES'!C33</f>
        <v>68400</v>
      </c>
      <c r="R82" s="111">
        <f>+'[2]80. BUENOS AIRES'!C89</f>
        <v>7800</v>
      </c>
      <c r="S82" s="111">
        <f>+'[2]80. BUENOS AIRES'!E123</f>
        <v>59941.599999999999</v>
      </c>
      <c r="T82" s="111">
        <f>+'[2]80. BUENOS AIRES'!F123</f>
        <v>69967.070000000007</v>
      </c>
      <c r="U82" s="111">
        <f>+'[2]80. BUENOS AIRES'!G123</f>
        <v>62300</v>
      </c>
      <c r="V82" s="111"/>
      <c r="W82" s="111">
        <f>+'[2]80. BUENOS AIRES'!C138</f>
        <v>63125.520000000004</v>
      </c>
      <c r="X82" s="111">
        <f t="shared" si="13"/>
        <v>255334.19</v>
      </c>
      <c r="Y82" s="110">
        <f t="shared" si="19"/>
        <v>1545216.1215667801</v>
      </c>
      <c r="Z82" s="111"/>
      <c r="AA82" s="116"/>
      <c r="AB82" s="112" t="s">
        <v>440</v>
      </c>
      <c r="AC82" s="113"/>
      <c r="AD82" s="114" t="str">
        <f t="shared" si="20"/>
        <v>NE</v>
      </c>
      <c r="AE82" s="110">
        <v>1545216.1215667804</v>
      </c>
      <c r="AF82" s="113">
        <f t="shared" si="22"/>
        <v>0</v>
      </c>
      <c r="AG82" s="115"/>
    </row>
    <row r="83" spans="1:33" ht="22.5">
      <c r="A83" s="106">
        <f t="shared" si="21"/>
        <v>80</v>
      </c>
      <c r="B83" s="135"/>
      <c r="C83" s="135">
        <v>294039</v>
      </c>
      <c r="D83" s="107" t="s">
        <v>526</v>
      </c>
      <c r="E83" s="108" t="s">
        <v>533</v>
      </c>
      <c r="F83" s="109" t="s">
        <v>439</v>
      </c>
      <c r="G83" s="111">
        <f>+'[2]81. SANTA ROSILLO DE UPAQUIHUA'!D97+'[2]81. SANTA ROSILLO DE UPAQUIHUA'!E97</f>
        <v>1219107.540267301</v>
      </c>
      <c r="H83" s="111">
        <f>+'[2]81. SANTA ROSILLO DE UPAQUIHUA'!F97</f>
        <v>219439.35732746695</v>
      </c>
      <c r="I83" s="110">
        <f t="shared" si="23"/>
        <v>1438546.8975947681</v>
      </c>
      <c r="J83" s="111">
        <f>+'[2]81. SANTA ROSILLO DE UPAQUIHUA'!H97+'[2]81. SANTA ROSILLO DE UPAQUIHUA'!I97</f>
        <v>1853521.0697326991</v>
      </c>
      <c r="K83" s="111">
        <f>+'[2]81. SANTA ROSILLO DE UPAQUIHUA'!J97</f>
        <v>333633.79267253313</v>
      </c>
      <c r="L83" s="110">
        <f t="shared" si="24"/>
        <v>2187154.8624052322</v>
      </c>
      <c r="M83" s="110">
        <f t="shared" si="16"/>
        <v>3625701.7600000002</v>
      </c>
      <c r="N83" s="147">
        <f t="shared" si="17"/>
        <v>0.39676371439739377</v>
      </c>
      <c r="O83" s="147">
        <f t="shared" si="18"/>
        <v>0.60323628560260623</v>
      </c>
      <c r="P83" s="111">
        <f>+'[2]81. SANTA ROSILLO DE UPAQUIHUA'!C70</f>
        <v>43428.62</v>
      </c>
      <c r="Q83" s="111">
        <f>+'[2]81. SANTA ROSILLO DE UPAQUIHUA'!C34</f>
        <v>122749.19</v>
      </c>
      <c r="R83" s="111">
        <f>+'[2]81. SANTA ROSILLO DE UPAQUIHUA'!C72</f>
        <v>24300</v>
      </c>
      <c r="S83" s="111">
        <f>+'[2]81. SANTA ROSILLO DE UPAQUIHUA'!E102</f>
        <v>112363.49</v>
      </c>
      <c r="T83" s="111">
        <f>+'[2]81. SANTA ROSILLO DE UPAQUIHUA'!F102</f>
        <v>132769.67000000001</v>
      </c>
      <c r="U83" s="111">
        <f>+'[2]81. SANTA ROSILLO DE UPAQUIHUA'!G102</f>
        <v>94379.199999999997</v>
      </c>
      <c r="V83" s="111"/>
      <c r="W83" s="111"/>
      <c r="X83" s="111">
        <f t="shared" si="13"/>
        <v>339512.36000000004</v>
      </c>
      <c r="Y83" s="110">
        <f t="shared" si="19"/>
        <v>4155691.93</v>
      </c>
      <c r="Z83" s="111"/>
      <c r="AA83" s="116"/>
      <c r="AB83" s="112" t="s">
        <v>492</v>
      </c>
      <c r="AC83" s="113"/>
      <c r="AD83" s="114" t="str">
        <f t="shared" si="20"/>
        <v>CONTRATISTA</v>
      </c>
      <c r="AE83" s="110">
        <v>4155691.93</v>
      </c>
      <c r="AF83" s="113">
        <f t="shared" si="22"/>
        <v>0</v>
      </c>
      <c r="AG83" s="115"/>
    </row>
    <row r="84" spans="1:33" ht="22.5">
      <c r="A84" s="106">
        <f t="shared" si="21"/>
        <v>81</v>
      </c>
      <c r="B84" s="135"/>
      <c r="C84" s="135">
        <v>294020</v>
      </c>
      <c r="D84" s="107" t="s">
        <v>526</v>
      </c>
      <c r="E84" s="108" t="s">
        <v>534</v>
      </c>
      <c r="F84" s="109" t="s">
        <v>449</v>
      </c>
      <c r="G84" s="111"/>
      <c r="H84" s="111"/>
      <c r="I84" s="110">
        <f>+'[2]82. SANTA ANA DEL RIO MAYO'!G85</f>
        <v>1580009.4</v>
      </c>
      <c r="J84" s="111"/>
      <c r="K84" s="111"/>
      <c r="L84" s="110">
        <f>+'[2]82. SANTA ANA DEL RIO MAYO'!K85</f>
        <v>2090002.81</v>
      </c>
      <c r="M84" s="110">
        <f t="shared" si="16"/>
        <v>3670012.21</v>
      </c>
      <c r="N84" s="147">
        <f t="shared" si="17"/>
        <v>0.43051884015394049</v>
      </c>
      <c r="O84" s="147">
        <f t="shared" si="18"/>
        <v>0.56948115984605951</v>
      </c>
      <c r="P84" s="111">
        <f>+'[2]82. SANTA ANA DEL RIO MAYO'!C55</f>
        <v>43428.62</v>
      </c>
      <c r="Q84" s="111">
        <f>+'[2]82. SANTA ANA DEL RIO MAYO'!C22</f>
        <v>122749.19</v>
      </c>
      <c r="R84" s="111">
        <f>+'[2]82. SANTA ANA DEL RIO MAYO'!C56</f>
        <v>24300</v>
      </c>
      <c r="S84" s="111">
        <f>+'[2]82. SANTA ANA DEL RIO MAYO'!D90</f>
        <v>121048.1</v>
      </c>
      <c r="T84" s="111">
        <f>+'[2]82. SANTA ANA DEL RIO MAYO'!E90</f>
        <v>124059.91</v>
      </c>
      <c r="U84" s="111">
        <f>+'[2]82. SANTA ANA DEL RIO MAYO'!F90</f>
        <v>94379.199999999997</v>
      </c>
      <c r="V84" s="111"/>
      <c r="W84" s="111"/>
      <c r="X84" s="111">
        <f t="shared" si="13"/>
        <v>339487.21</v>
      </c>
      <c r="Y84" s="110">
        <f t="shared" si="19"/>
        <v>4199977.2300000004</v>
      </c>
      <c r="Z84" s="111"/>
      <c r="AA84" s="116"/>
      <c r="AB84" s="112" t="s">
        <v>492</v>
      </c>
      <c r="AC84" s="113"/>
      <c r="AD84" s="114" t="str">
        <f t="shared" si="20"/>
        <v>CONTRATISTA</v>
      </c>
      <c r="AE84" s="110">
        <v>4199977.2300000004</v>
      </c>
      <c r="AF84" s="113">
        <f t="shared" si="22"/>
        <v>0</v>
      </c>
      <c r="AG84" s="115"/>
    </row>
    <row r="85" spans="1:33">
      <c r="A85" s="106">
        <f t="shared" si="21"/>
        <v>82</v>
      </c>
      <c r="B85" s="135"/>
      <c r="C85" s="135">
        <v>294024</v>
      </c>
      <c r="D85" s="107" t="s">
        <v>526</v>
      </c>
      <c r="E85" s="108" t="s">
        <v>535</v>
      </c>
      <c r="F85" s="109" t="s">
        <v>439</v>
      </c>
      <c r="G85" s="111">
        <f>+'[2]83. BAGAZAN'!D92+'[2]83. BAGAZAN'!E92</f>
        <v>760233.05327785201</v>
      </c>
      <c r="H85" s="111"/>
      <c r="I85" s="110">
        <f t="shared" ref="I85:I90" si="25">SUM(G85:H85)</f>
        <v>760233.05327785201</v>
      </c>
      <c r="J85" s="111">
        <f>+'[2]83. BAGAZAN'!H92+'[2]83. BAGAZAN'!I92</f>
        <v>1080630.6184943938</v>
      </c>
      <c r="K85" s="111"/>
      <c r="L85" s="110">
        <f t="shared" ref="L85:L90" si="26">SUM(J85:K85)</f>
        <v>1080630.6184943938</v>
      </c>
      <c r="M85" s="110">
        <f t="shared" si="16"/>
        <v>1840863.6717722458</v>
      </c>
      <c r="N85" s="147">
        <f t="shared" si="17"/>
        <v>0.41297629201729891</v>
      </c>
      <c r="O85" s="147">
        <f t="shared" si="18"/>
        <v>0.58702370798270109</v>
      </c>
      <c r="P85" s="111">
        <f>+'[2]83. BAGAZAN'!F17+'[2]83. BAGAZAN'!F46+'[2]83. BAGAZAN'!F24+'[2]83. BAGAZAN'!F53</f>
        <v>45553.614999999998</v>
      </c>
      <c r="Q85" s="111">
        <f>+'[2]83. BAGAZAN'!F19+'[2]83. BAGAZAN'!F48</f>
        <v>92400</v>
      </c>
      <c r="R85" s="111">
        <f>+'[2]83. BAGAZAN'!F23+'[2]83. BAGAZAN'!F52</f>
        <v>18300</v>
      </c>
      <c r="S85" s="111">
        <f>+'[2]83. BAGAZAN'!D96</f>
        <v>39038.783988150586</v>
      </c>
      <c r="T85" s="111">
        <f>+'[2]83. BAGAZAN'!E96</f>
        <v>52882.9</v>
      </c>
      <c r="U85" s="111">
        <f>+'[2]83. BAGAZAN'!F96</f>
        <v>48000</v>
      </c>
      <c r="V85" s="111"/>
      <c r="W85" s="111">
        <f>+'[2]83. BAGAZAN'!F18+'[2]83. BAGAZAN'!F47</f>
        <v>29118</v>
      </c>
      <c r="X85" s="111">
        <f t="shared" si="13"/>
        <v>169039.68398815059</v>
      </c>
      <c r="Y85" s="110">
        <f t="shared" si="19"/>
        <v>2166156.9707603962</v>
      </c>
      <c r="Z85" s="111"/>
      <c r="AA85" s="116"/>
      <c r="AB85" s="132" t="s">
        <v>536</v>
      </c>
      <c r="AC85" s="113"/>
      <c r="AD85" s="114" t="str">
        <f t="shared" si="20"/>
        <v>NE</v>
      </c>
      <c r="AE85" s="110">
        <v>2166156.9707603962</v>
      </c>
      <c r="AF85" s="113">
        <f t="shared" si="22"/>
        <v>0</v>
      </c>
      <c r="AG85" s="115"/>
    </row>
    <row r="86" spans="1:33">
      <c r="A86" s="106">
        <f t="shared" si="21"/>
        <v>83</v>
      </c>
      <c r="B86" s="136"/>
      <c r="C86" s="136">
        <v>292134</v>
      </c>
      <c r="D86" s="107" t="s">
        <v>526</v>
      </c>
      <c r="E86" s="108" t="s">
        <v>537</v>
      </c>
      <c r="F86" s="109" t="s">
        <v>439</v>
      </c>
      <c r="G86" s="111">
        <f>+'[2]84. LIMABAMBA'!G7+'[2]84. LIMABAMBA'!H7+'[2]84. LIMABAMBA'!I7</f>
        <v>1068131.9738026676</v>
      </c>
      <c r="H86" s="111">
        <f>+'[2]84. LIMABAMBA'!K7</f>
        <v>192263.75528448017</v>
      </c>
      <c r="I86" s="110">
        <f t="shared" si="25"/>
        <v>1260395.7290871479</v>
      </c>
      <c r="J86" s="111">
        <f>+'[2]84. LIMABAMBA'!G37+'[2]84. LIMABAMBA'!H37+'[2]84. LIMABAMBA'!I37</f>
        <v>1292206.7076973321</v>
      </c>
      <c r="K86" s="111">
        <f>+'[2]84. LIMABAMBA'!K37</f>
        <v>232597.20738551981</v>
      </c>
      <c r="L86" s="110">
        <f t="shared" si="26"/>
        <v>1524803.9150828519</v>
      </c>
      <c r="M86" s="110">
        <f t="shared" si="16"/>
        <v>2785199.6441699998</v>
      </c>
      <c r="N86" s="147">
        <f t="shared" si="17"/>
        <v>0.45253335132561051</v>
      </c>
      <c r="O86" s="147">
        <f t="shared" si="18"/>
        <v>0.54746664867438954</v>
      </c>
      <c r="P86" s="111">
        <f>+'[2]84. LIMABAMBA'!L34+'[2]84. LIMABAMBA'!L46</f>
        <v>40692.25</v>
      </c>
      <c r="Q86" s="111">
        <f>+'[2]84. LIMABAMBA'!L32+'[2]84. LIMABAMBA'!L44</f>
        <v>139032.43800000002</v>
      </c>
      <c r="R86" s="111"/>
      <c r="S86" s="111">
        <f>+'[2]84. LIMABAMBA'!O56</f>
        <v>79427.220844210533</v>
      </c>
      <c r="T86" s="111">
        <f>+'[2]84. LIMABAMBA'!P56</f>
        <v>64413.96105868421</v>
      </c>
      <c r="U86" s="111">
        <f>+'[2]84. LIMABAMBA'!Q56</f>
        <v>29695.351124653746</v>
      </c>
      <c r="V86" s="111"/>
      <c r="W86" s="111"/>
      <c r="X86" s="111">
        <f t="shared" si="13"/>
        <v>173536.53302754849</v>
      </c>
      <c r="Y86" s="110">
        <f t="shared" si="19"/>
        <v>3138460.8651975482</v>
      </c>
      <c r="Z86" s="111">
        <f>+'[2]84. LIMABAMBA'!$V$50</f>
        <v>2338093.6007421878</v>
      </c>
      <c r="AA86" s="116">
        <f>+Z86/Y86</f>
        <v>0.74498096397165625</v>
      </c>
      <c r="AB86" s="119" t="s">
        <v>450</v>
      </c>
      <c r="AC86" s="113"/>
      <c r="AD86" s="114" t="str">
        <f t="shared" si="20"/>
        <v>CONTRATISTA</v>
      </c>
      <c r="AE86" s="110">
        <v>3138460.8651975477</v>
      </c>
      <c r="AF86" s="113">
        <f t="shared" si="22"/>
        <v>0</v>
      </c>
      <c r="AG86" s="115"/>
    </row>
    <row r="87" spans="1:33">
      <c r="A87" s="106">
        <f t="shared" si="21"/>
        <v>84</v>
      </c>
      <c r="B87" s="135"/>
      <c r="C87" s="135">
        <v>292030</v>
      </c>
      <c r="D87" s="107" t="s">
        <v>526</v>
      </c>
      <c r="E87" s="108" t="s">
        <v>538</v>
      </c>
      <c r="F87" s="109" t="s">
        <v>439</v>
      </c>
      <c r="G87" s="111">
        <f>+'[2]85. DONCEL'!D115+'[2]85. DONCEL'!E115</f>
        <v>1703275.6942562819</v>
      </c>
      <c r="H87" s="111">
        <f>+'[2]85. DONCEL'!F115</f>
        <v>306589.62606140465</v>
      </c>
      <c r="I87" s="110">
        <f t="shared" si="25"/>
        <v>2009865.3203176865</v>
      </c>
      <c r="J87" s="111">
        <f>+'[2]85. DONCEL'!H115+'[2]85. DONCEL'!I115</f>
        <v>2028997.6257437181</v>
      </c>
      <c r="K87" s="111">
        <f>+'[2]85. DONCEL'!J115</f>
        <v>365219.57393859531</v>
      </c>
      <c r="L87" s="110">
        <f t="shared" si="26"/>
        <v>2394217.1996823135</v>
      </c>
      <c r="M87" s="110">
        <f t="shared" si="16"/>
        <v>4404082.5199999996</v>
      </c>
      <c r="N87" s="147">
        <f t="shared" si="17"/>
        <v>0.45636413740896181</v>
      </c>
      <c r="O87" s="147">
        <f t="shared" si="18"/>
        <v>0.54363586259103835</v>
      </c>
      <c r="P87" s="111">
        <f>+'[2]85. DONCEL'!C86</f>
        <v>43390.55</v>
      </c>
      <c r="Q87" s="111">
        <f>+'[2]85. DONCEL'!C32</f>
        <v>119972.37</v>
      </c>
      <c r="R87" s="111">
        <f>+'[2]85. DONCEL'!C89</f>
        <v>17800</v>
      </c>
      <c r="S87" s="111">
        <f>+'[2]85. DONCEL'!E120</f>
        <v>99805.18</v>
      </c>
      <c r="T87" s="111">
        <f>+'[2]85. DONCEL'!F120</f>
        <v>101431.93</v>
      </c>
      <c r="U87" s="111">
        <f>+'[2]85. DONCEL'!G120</f>
        <v>112245.14</v>
      </c>
      <c r="V87" s="111"/>
      <c r="W87" s="111"/>
      <c r="X87" s="111">
        <f t="shared" si="13"/>
        <v>313482.25</v>
      </c>
      <c r="Y87" s="110">
        <f t="shared" si="19"/>
        <v>4898727.6899999995</v>
      </c>
      <c r="Z87" s="111"/>
      <c r="AA87" s="116"/>
      <c r="AB87" s="112" t="s">
        <v>492</v>
      </c>
      <c r="AC87" s="113"/>
      <c r="AD87" s="114" t="str">
        <f t="shared" si="20"/>
        <v>CONTRATISTA</v>
      </c>
      <c r="AE87" s="110">
        <v>4898727.6900000004</v>
      </c>
      <c r="AF87" s="113">
        <f t="shared" si="22"/>
        <v>0</v>
      </c>
      <c r="AG87" s="115"/>
    </row>
    <row r="88" spans="1:33">
      <c r="A88" s="106">
        <f t="shared" si="21"/>
        <v>85</v>
      </c>
      <c r="B88" s="129"/>
      <c r="C88" s="129">
        <v>289678</v>
      </c>
      <c r="D88" s="107" t="s">
        <v>526</v>
      </c>
      <c r="E88" s="108" t="s">
        <v>539</v>
      </c>
      <c r="F88" s="109" t="s">
        <v>449</v>
      </c>
      <c r="G88" s="111">
        <f>+'[2]86. NUEVA VIDA'!D102+'[2]86. NUEVA VIDA'!E102</f>
        <v>1204944.5228228681</v>
      </c>
      <c r="H88" s="111">
        <f>+'[2]86. NUEVA VIDA'!F102</f>
        <v>216890.01269522196</v>
      </c>
      <c r="I88" s="110">
        <f t="shared" si="25"/>
        <v>1421834.53551809</v>
      </c>
      <c r="J88" s="111">
        <f>+'[2]86. NUEVA VIDA'!H102+'[2]86. NUEVA VIDA'!I102</f>
        <v>3229719.6171771321</v>
      </c>
      <c r="K88" s="111">
        <f>+'[2]86. NUEVA VIDA'!J102</f>
        <v>581349.52730477799</v>
      </c>
      <c r="L88" s="110">
        <f t="shared" si="26"/>
        <v>3811069.1444819099</v>
      </c>
      <c r="M88" s="110">
        <f t="shared" si="16"/>
        <v>5232903.68</v>
      </c>
      <c r="N88" s="147">
        <f t="shared" si="17"/>
        <v>0.27171043505965892</v>
      </c>
      <c r="O88" s="147">
        <f t="shared" si="18"/>
        <v>0.72828956494034114</v>
      </c>
      <c r="P88" s="111"/>
      <c r="Q88" s="111">
        <f>+'[2]86. NUEVA VIDA'!C29</f>
        <v>182275.21</v>
      </c>
      <c r="R88" s="111">
        <f>+'[2]86. NUEVA VIDA'!C75</f>
        <v>24300</v>
      </c>
      <c r="S88" s="111">
        <f>+'[2]86. NUEVA VIDA'!E107</f>
        <v>110408.06</v>
      </c>
      <c r="T88" s="111">
        <f>+'[2]86. NUEVA VIDA'!F107</f>
        <v>96833.04</v>
      </c>
      <c r="U88" s="111">
        <f>+'[2]86. NUEVA VIDA'!G107</f>
        <v>99871.66</v>
      </c>
      <c r="V88" s="111"/>
      <c r="W88" s="111"/>
      <c r="X88" s="111">
        <f t="shared" si="13"/>
        <v>307112.76</v>
      </c>
      <c r="Y88" s="110">
        <f t="shared" si="19"/>
        <v>5746591.6499999994</v>
      </c>
      <c r="Z88" s="111"/>
      <c r="AA88" s="116"/>
      <c r="AB88" s="112" t="s">
        <v>440</v>
      </c>
      <c r="AC88" s="113"/>
      <c r="AD88" s="114" t="str">
        <f t="shared" si="20"/>
        <v>CONTRATISTA</v>
      </c>
      <c r="AE88" s="110">
        <v>5746591.6500000004</v>
      </c>
      <c r="AF88" s="113">
        <f t="shared" si="22"/>
        <v>0</v>
      </c>
      <c r="AG88" s="115"/>
    </row>
    <row r="89" spans="1:33">
      <c r="A89" s="106">
        <f t="shared" si="21"/>
        <v>86</v>
      </c>
      <c r="B89" s="135"/>
      <c r="C89" s="135">
        <v>289676</v>
      </c>
      <c r="D89" s="107" t="s">
        <v>526</v>
      </c>
      <c r="E89" s="108" t="s">
        <v>540</v>
      </c>
      <c r="F89" s="109" t="s">
        <v>449</v>
      </c>
      <c r="G89" s="111">
        <f>+'[2]87. NUEVA FLORIDA'!D72+'[2]87. NUEVA FLORIDA'!E72</f>
        <v>771819.40008841152</v>
      </c>
      <c r="H89" s="111">
        <f>+'[2]87. NUEVA FLORIDA'!F72</f>
        <v>138927.49145094445</v>
      </c>
      <c r="I89" s="110">
        <f t="shared" si="25"/>
        <v>910746.89153935597</v>
      </c>
      <c r="J89" s="111">
        <f>+'[2]87. NUEVA FLORIDA'!H72+'[2]87. NUEVA FLORIDA'!I72</f>
        <v>1960431.5099115886</v>
      </c>
      <c r="K89" s="111">
        <f>+'[2]87. NUEVA FLORIDA'!J72</f>
        <v>352877.67034905561</v>
      </c>
      <c r="L89" s="110">
        <f t="shared" si="26"/>
        <v>2313309.1802606443</v>
      </c>
      <c r="M89" s="110">
        <f t="shared" si="16"/>
        <v>3224056.0718</v>
      </c>
      <c r="N89" s="147">
        <f t="shared" si="17"/>
        <v>0.28248481765110345</v>
      </c>
      <c r="O89" s="147">
        <f t="shared" si="18"/>
        <v>0.71751518234889655</v>
      </c>
      <c r="P89" s="111">
        <f>+'[2]87. NUEVA FLORIDA'!C35+'[2]87. NUEVA FLORIDA'!C38</f>
        <v>44318.73</v>
      </c>
      <c r="Q89" s="111">
        <f>+'[2]87. NUEVA FLORIDA'!C32</f>
        <v>135930.69</v>
      </c>
      <c r="R89" s="111">
        <f>+'[2]87. NUEVA FLORIDA'!C37</f>
        <v>21550</v>
      </c>
      <c r="S89" s="111">
        <f>+'[2]87. NUEVA FLORIDA'!E77</f>
        <v>93956.76</v>
      </c>
      <c r="T89" s="111">
        <f>+'[2]87. NUEVA FLORIDA'!F77</f>
        <v>91390.38</v>
      </c>
      <c r="U89" s="111">
        <f>+'[2]87. NUEVA FLORIDA'!G77</f>
        <v>93684.92</v>
      </c>
      <c r="V89" s="111"/>
      <c r="W89" s="111"/>
      <c r="X89" s="111">
        <f t="shared" si="13"/>
        <v>279032.06</v>
      </c>
      <c r="Y89" s="110">
        <f t="shared" si="19"/>
        <v>3704887.5518</v>
      </c>
      <c r="Z89" s="111"/>
      <c r="AA89" s="116"/>
      <c r="AB89" s="112" t="s">
        <v>492</v>
      </c>
      <c r="AC89" s="113"/>
      <c r="AD89" s="114" t="str">
        <f t="shared" si="20"/>
        <v>CONTRATISTA</v>
      </c>
      <c r="AE89" s="110">
        <v>3704887.5518</v>
      </c>
      <c r="AF89" s="113">
        <f t="shared" si="22"/>
        <v>0</v>
      </c>
      <c r="AG89" s="115"/>
    </row>
    <row r="90" spans="1:33">
      <c r="A90" s="106">
        <f t="shared" si="21"/>
        <v>87</v>
      </c>
      <c r="B90" s="135"/>
      <c r="C90" s="135">
        <v>292365</v>
      </c>
      <c r="D90" s="107" t="s">
        <v>526</v>
      </c>
      <c r="E90" s="108" t="s">
        <v>541</v>
      </c>
      <c r="F90" s="109" t="s">
        <v>439</v>
      </c>
      <c r="G90" s="111">
        <f>+'[2]88. SAN ANDRES'!D132+'[2]88. SAN ANDRES'!E132</f>
        <v>761583.90767471516</v>
      </c>
      <c r="H90" s="111"/>
      <c r="I90" s="110">
        <f t="shared" si="25"/>
        <v>761583.90767471516</v>
      </c>
      <c r="J90" s="111">
        <f>+'[2]88. SAN ANDRES'!G132+'[2]88. SAN ANDRES'!H132</f>
        <v>829734.81499150977</v>
      </c>
      <c r="K90" s="111"/>
      <c r="L90" s="110">
        <f t="shared" si="26"/>
        <v>829734.81499150977</v>
      </c>
      <c r="M90" s="110">
        <f t="shared" si="16"/>
        <v>1591318.7226662249</v>
      </c>
      <c r="N90" s="147">
        <f t="shared" si="17"/>
        <v>0.47858665698264108</v>
      </c>
      <c r="O90" s="147">
        <f t="shared" si="18"/>
        <v>0.52141334301735887</v>
      </c>
      <c r="P90" s="111">
        <f>+'[2]88. SAN ANDRES'!E95</f>
        <v>43390.55</v>
      </c>
      <c r="Q90" s="111">
        <f>+'[2]88. SAN ANDRES'!E41</f>
        <v>79800</v>
      </c>
      <c r="R90" s="111">
        <f>+'[2]88. SAN ANDRES'!E99</f>
        <v>22800</v>
      </c>
      <c r="S90" s="111">
        <f>+'[2]88. SAN ANDRES'!E137</f>
        <v>63027.899999999994</v>
      </c>
      <c r="T90" s="111">
        <f>+'[2]88. SAN ANDRES'!F137</f>
        <v>72706.47</v>
      </c>
      <c r="U90" s="111">
        <f>+'[2]88. SAN ANDRES'!G137</f>
        <v>66700</v>
      </c>
      <c r="V90" s="111"/>
      <c r="W90" s="111">
        <f>+'[2]88. SAN ANDRES'!C152</f>
        <v>62840.9</v>
      </c>
      <c r="X90" s="111">
        <f t="shared" si="13"/>
        <v>265275.27</v>
      </c>
      <c r="Y90" s="110">
        <f t="shared" si="19"/>
        <v>2002584.542666225</v>
      </c>
      <c r="Z90" s="111"/>
      <c r="AA90" s="116"/>
      <c r="AB90" s="112" t="s">
        <v>492</v>
      </c>
      <c r="AC90" s="113"/>
      <c r="AD90" s="114" t="str">
        <f t="shared" si="20"/>
        <v>NE</v>
      </c>
      <c r="AE90" s="110">
        <v>2002584.542666225</v>
      </c>
      <c r="AF90" s="113">
        <f t="shared" si="22"/>
        <v>0</v>
      </c>
      <c r="AG90" s="115"/>
    </row>
    <row r="91" spans="1:33">
      <c r="A91" s="106">
        <f t="shared" si="21"/>
        <v>88</v>
      </c>
      <c r="B91" s="135"/>
      <c r="C91" s="135">
        <v>292352</v>
      </c>
      <c r="D91" s="107" t="s">
        <v>526</v>
      </c>
      <c r="E91" s="108" t="s">
        <v>542</v>
      </c>
      <c r="F91" s="109" t="s">
        <v>439</v>
      </c>
      <c r="G91" s="111"/>
      <c r="H91" s="111"/>
      <c r="I91" s="110">
        <v>661127.46673653589</v>
      </c>
      <c r="J91" s="111"/>
      <c r="K91" s="111"/>
      <c r="L91" s="110">
        <v>1084705.8457585224</v>
      </c>
      <c r="M91" s="110">
        <f t="shared" si="16"/>
        <v>1745833.3124950584</v>
      </c>
      <c r="N91" s="147">
        <f t="shared" si="17"/>
        <v>0.37868876828320186</v>
      </c>
      <c r="O91" s="147">
        <f t="shared" si="18"/>
        <v>0.62131123171679814</v>
      </c>
      <c r="P91" s="111">
        <v>43390.55</v>
      </c>
      <c r="Q91" s="111">
        <v>79799.999999999985</v>
      </c>
      <c r="R91" s="111">
        <v>22800</v>
      </c>
      <c r="S91" s="111">
        <v>39095.18</v>
      </c>
      <c r="T91" s="111">
        <v>51798.1</v>
      </c>
      <c r="U91" s="111">
        <v>48000</v>
      </c>
      <c r="V91" s="111"/>
      <c r="W91" s="111">
        <v>31619</v>
      </c>
      <c r="X91" s="111">
        <v>170512.28</v>
      </c>
      <c r="Y91" s="110">
        <f t="shared" si="19"/>
        <v>2062336.1424950585</v>
      </c>
      <c r="Z91" s="111"/>
      <c r="AA91" s="116"/>
      <c r="AB91" s="132" t="s">
        <v>543</v>
      </c>
      <c r="AC91" s="113"/>
      <c r="AD91" s="114" t="str">
        <f t="shared" si="20"/>
        <v>NE</v>
      </c>
      <c r="AE91" s="110">
        <v>2689204.5999999996</v>
      </c>
      <c r="AF91" s="113">
        <f t="shared" si="22"/>
        <v>626868.45750494115</v>
      </c>
      <c r="AG91" s="115"/>
    </row>
    <row r="92" spans="1:33">
      <c r="A92" s="106">
        <f t="shared" si="21"/>
        <v>89</v>
      </c>
      <c r="B92" s="129"/>
      <c r="C92" s="129">
        <v>293722</v>
      </c>
      <c r="D92" s="107" t="s">
        <v>526</v>
      </c>
      <c r="E92" s="108" t="s">
        <v>544</v>
      </c>
      <c r="F92" s="109" t="s">
        <v>439</v>
      </c>
      <c r="G92" s="111">
        <f>+'[2]90. EL MIRADOR'!D105+'[2]90. EL MIRADOR'!E105</f>
        <v>443191.15670145652</v>
      </c>
      <c r="H92" s="111"/>
      <c r="I92" s="110">
        <f>SUM(G92:H92)</f>
        <v>443191.15670145652</v>
      </c>
      <c r="J92" s="111">
        <f>+'[2]90. EL MIRADOR'!H105+'[2]90. EL MIRADOR'!I105</f>
        <v>1179149.9387632061</v>
      </c>
      <c r="K92" s="111"/>
      <c r="L92" s="110">
        <f>SUM(J92:K92)</f>
        <v>1179149.9387632061</v>
      </c>
      <c r="M92" s="110">
        <f t="shared" si="16"/>
        <v>1622341.0954646626</v>
      </c>
      <c r="N92" s="147">
        <f t="shared" si="17"/>
        <v>0.27318001001171704</v>
      </c>
      <c r="O92" s="147">
        <f t="shared" si="18"/>
        <v>0.72681998998828301</v>
      </c>
      <c r="P92" s="111"/>
      <c r="Q92" s="111">
        <f>+'[2]90. EL MIRADOR'!B24+'[2]90. EL MIRADOR'!B40</f>
        <v>69300</v>
      </c>
      <c r="R92" s="111">
        <f>+'[2]90. EL MIRADOR'!F28+'[2]90. EL MIRADOR'!F44</f>
        <v>18300</v>
      </c>
      <c r="S92" s="111">
        <f>+'[2]90. EL MIRADOR'!D109</f>
        <v>87552.461666666684</v>
      </c>
      <c r="T92" s="111">
        <f>+'[2]90. EL MIRADOR'!E109</f>
        <v>94311.497666666692</v>
      </c>
      <c r="U92" s="111">
        <f>+'[2]90. EL MIRADOR'!F109</f>
        <v>79240</v>
      </c>
      <c r="V92" s="111">
        <f>+'[2]90. EL MIRADOR'!B118</f>
        <v>23642</v>
      </c>
      <c r="W92" s="111"/>
      <c r="X92" s="111">
        <f t="shared" si="13"/>
        <v>284745.95933333336</v>
      </c>
      <c r="Y92" s="110">
        <f t="shared" si="19"/>
        <v>1994687.0547979961</v>
      </c>
      <c r="Z92" s="111"/>
      <c r="AA92" s="116"/>
      <c r="AB92" s="112" t="s">
        <v>440</v>
      </c>
      <c r="AC92" s="113"/>
      <c r="AD92" s="114" t="str">
        <f t="shared" si="20"/>
        <v>NE</v>
      </c>
      <c r="AE92" s="110">
        <v>1994687.0547979961</v>
      </c>
      <c r="AF92" s="113">
        <f t="shared" si="22"/>
        <v>0</v>
      </c>
      <c r="AG92" s="115"/>
    </row>
    <row r="93" spans="1:33">
      <c r="A93" s="106">
        <f t="shared" si="21"/>
        <v>90</v>
      </c>
      <c r="B93" s="135"/>
      <c r="C93" s="135">
        <v>291525</v>
      </c>
      <c r="D93" s="107" t="s">
        <v>526</v>
      </c>
      <c r="E93" s="108" t="s">
        <v>482</v>
      </c>
      <c r="F93" s="109" t="s">
        <v>439</v>
      </c>
      <c r="G93" s="111"/>
      <c r="H93" s="111"/>
      <c r="I93" s="110">
        <v>565572.54170555295</v>
      </c>
      <c r="J93" s="111"/>
      <c r="K93" s="111"/>
      <c r="L93" s="110">
        <v>1183776.2097938</v>
      </c>
      <c r="M93" s="110">
        <f t="shared" si="16"/>
        <v>1749348.751499353</v>
      </c>
      <c r="N93" s="147">
        <f t="shared" si="17"/>
        <v>0.32330462477582311</v>
      </c>
      <c r="O93" s="147">
        <f t="shared" si="18"/>
        <v>0.67669537522417689</v>
      </c>
      <c r="P93" s="111">
        <v>43390.55</v>
      </c>
      <c r="Q93" s="111">
        <v>79800</v>
      </c>
      <c r="R93" s="111">
        <v>22800</v>
      </c>
      <c r="S93" s="111">
        <v>39093.12113846049</v>
      </c>
      <c r="T93" s="111">
        <v>51791.7</v>
      </c>
      <c r="U93" s="111">
        <v>48000</v>
      </c>
      <c r="V93" s="111">
        <v>31619</v>
      </c>
      <c r="W93" s="111">
        <v>31619</v>
      </c>
      <c r="X93" s="111">
        <v>170503.82113846048</v>
      </c>
      <c r="Y93" s="110">
        <f t="shared" si="19"/>
        <v>2065843.1226378134</v>
      </c>
      <c r="Z93" s="111"/>
      <c r="AA93" s="116"/>
      <c r="AB93" s="132" t="s">
        <v>545</v>
      </c>
      <c r="AC93" s="113"/>
      <c r="AD93" s="114" t="str">
        <f t="shared" si="20"/>
        <v>NE</v>
      </c>
      <c r="AE93" s="110">
        <v>2530347.3099999996</v>
      </c>
      <c r="AF93" s="113">
        <f t="shared" si="22"/>
        <v>464504.18736218615</v>
      </c>
      <c r="AG93" s="115"/>
    </row>
    <row r="94" spans="1:33" ht="22.5">
      <c r="A94" s="106">
        <f t="shared" si="21"/>
        <v>91</v>
      </c>
      <c r="B94" s="135"/>
      <c r="C94" s="135">
        <v>289379</v>
      </c>
      <c r="D94" s="130" t="s">
        <v>526</v>
      </c>
      <c r="E94" s="120" t="s">
        <v>546</v>
      </c>
      <c r="F94" s="131" t="s">
        <v>449</v>
      </c>
      <c r="G94" s="111">
        <f>+'[2]92. PUERTO BERMUDEZ'!E47+'[2]92. PUERTO BERMUDEZ'!F47</f>
        <v>1300272.409</v>
      </c>
      <c r="H94" s="111">
        <f>+'[2]92. PUERTO BERMUDEZ'!G47</f>
        <v>234049.03361999997</v>
      </c>
      <c r="I94" s="110">
        <f t="shared" ref="I94:I100" si="27">SUM(G94:H94)</f>
        <v>1534321.4426199999</v>
      </c>
      <c r="J94" s="111">
        <f>+'[2]92. PUERTO BERMUDEZ'!I47+'[2]92. PUERTO BERMUDEZ'!J47</f>
        <v>1633907.8214999998</v>
      </c>
      <c r="K94" s="111">
        <f>+'[2]92. PUERTO BERMUDEZ'!K47</f>
        <v>294103.40787</v>
      </c>
      <c r="L94" s="110">
        <f t="shared" ref="L94:L102" si="28">SUM(J94:K94)</f>
        <v>1928011.2293699998</v>
      </c>
      <c r="M94" s="110">
        <f t="shared" si="16"/>
        <v>3462332.6719899997</v>
      </c>
      <c r="N94" s="147">
        <f t="shared" si="17"/>
        <v>0.44314674179998365</v>
      </c>
      <c r="O94" s="147">
        <f t="shared" si="18"/>
        <v>0.5568532582000163</v>
      </c>
      <c r="P94" s="111">
        <f>+'[2]92. PUERTO BERMUDEZ'!G86+'[2]92. PUERTO BERMUDEZ'!G100+'[2]92. PUERTO BERMUDEZ'!D30</f>
        <v>58014.559999999998</v>
      </c>
      <c r="Q94" s="111">
        <f>+'[2]92. PUERTO BERMUDEZ'!G83+'[2]92. PUERTO BERMUDEZ'!G97</f>
        <v>173116.6335995</v>
      </c>
      <c r="R94" s="111"/>
      <c r="S94" s="111">
        <f>+'[2]92. PUERTO BERMUDEZ'!F52</f>
        <v>12880</v>
      </c>
      <c r="T94" s="111">
        <f>+'[2]92. PUERTO BERMUDEZ'!G52</f>
        <v>10350</v>
      </c>
      <c r="U94" s="170"/>
      <c r="V94" s="111"/>
      <c r="W94" s="111"/>
      <c r="X94" s="111">
        <f t="shared" ref="X94:X103" si="29">SUM(S94:W94)</f>
        <v>23230</v>
      </c>
      <c r="Y94" s="110">
        <f t="shared" si="19"/>
        <v>3716693.8655894999</v>
      </c>
      <c r="Z94" s="111">
        <f>+'[2]92. PUERTO BERMUDEZ'!I109</f>
        <v>2968874.7941126255</v>
      </c>
      <c r="AA94" s="116">
        <f>+Z94/Y94</f>
        <v>0.79879454737974132</v>
      </c>
      <c r="AB94" s="112" t="s">
        <v>456</v>
      </c>
      <c r="AC94" s="113"/>
      <c r="AD94" s="114" t="str">
        <f t="shared" si="20"/>
        <v>CONTRATISTA</v>
      </c>
      <c r="AE94" s="110">
        <v>3716693.8655894999</v>
      </c>
      <c r="AF94" s="113">
        <f t="shared" si="22"/>
        <v>0</v>
      </c>
      <c r="AG94" s="115"/>
    </row>
    <row r="95" spans="1:33" ht="22.5">
      <c r="A95" s="106">
        <f t="shared" si="21"/>
        <v>92</v>
      </c>
      <c r="B95" s="129" t="s">
        <v>436</v>
      </c>
      <c r="C95" s="129">
        <v>288790</v>
      </c>
      <c r="D95" s="107" t="s">
        <v>547</v>
      </c>
      <c r="E95" s="108" t="s">
        <v>548</v>
      </c>
      <c r="F95" s="109" t="s">
        <v>449</v>
      </c>
      <c r="G95" s="111">
        <f>+'[2]93. LAS AMERICAS'!F46+'[2]93. LAS AMERICAS'!G46</f>
        <v>1474220.7031474311</v>
      </c>
      <c r="H95" s="111">
        <f>+'[2]93. LAS AMERICAS'!H46</f>
        <v>265359.72656653757</v>
      </c>
      <c r="I95" s="110">
        <f t="shared" si="27"/>
        <v>1739580.4297139687</v>
      </c>
      <c r="J95" s="110">
        <f>+'[2]93. LAS AMERICAS'!I46+'[2]93. LAS AMERICAS'!J46</f>
        <v>907630.316852569</v>
      </c>
      <c r="K95" s="111">
        <f>+'[2]93. LAS AMERICAS'!K46</f>
        <v>163373.45703346241</v>
      </c>
      <c r="L95" s="110">
        <f t="shared" si="28"/>
        <v>1071003.7738860315</v>
      </c>
      <c r="M95" s="110">
        <f t="shared" si="16"/>
        <v>2810584.2036000001</v>
      </c>
      <c r="N95" s="147">
        <f t="shared" si="17"/>
        <v>0.61893909013143522</v>
      </c>
      <c r="O95" s="147">
        <f t="shared" si="18"/>
        <v>0.38106090986856472</v>
      </c>
      <c r="P95" s="111"/>
      <c r="Q95" s="111">
        <f>+'[2]93. LAS AMERICAS'!D31</f>
        <v>140529.21000000002</v>
      </c>
      <c r="R95" s="111">
        <f>+'[2]93. LAS AMERICAS'!D33</f>
        <v>50850</v>
      </c>
      <c r="S95" s="111">
        <f>+'[2]93. LAS AMERICAS'!G52</f>
        <v>102128</v>
      </c>
      <c r="T95" s="111">
        <f>+'[2]93. LAS AMERICAS'!H52</f>
        <v>122712.63</v>
      </c>
      <c r="U95" s="111">
        <f>+'[2]93. LAS AMERICAS'!I52</f>
        <v>94200.78</v>
      </c>
      <c r="V95" s="111"/>
      <c r="W95" s="111"/>
      <c r="X95" s="111">
        <f t="shared" si="29"/>
        <v>319041.41000000003</v>
      </c>
      <c r="Y95" s="110">
        <f t="shared" si="19"/>
        <v>3321004.8236000002</v>
      </c>
      <c r="Z95" s="111"/>
      <c r="AA95" s="116"/>
      <c r="AB95" s="112" t="s">
        <v>440</v>
      </c>
      <c r="AC95" s="113"/>
      <c r="AD95" s="114" t="str">
        <f t="shared" si="20"/>
        <v>CONTRATISTA</v>
      </c>
      <c r="AE95" s="110">
        <v>3321004.8236000002</v>
      </c>
      <c r="AF95" s="113">
        <f t="shared" si="22"/>
        <v>0</v>
      </c>
      <c r="AG95" s="115"/>
    </row>
    <row r="96" spans="1:33" ht="22.5">
      <c r="A96" s="106">
        <f t="shared" si="21"/>
        <v>93</v>
      </c>
      <c r="B96" s="129" t="s">
        <v>436</v>
      </c>
      <c r="C96" s="129">
        <v>289601</v>
      </c>
      <c r="D96" s="107" t="s">
        <v>547</v>
      </c>
      <c r="E96" s="108" t="s">
        <v>549</v>
      </c>
      <c r="F96" s="109" t="s">
        <v>449</v>
      </c>
      <c r="G96" s="111">
        <f>+'[2]94. TIERRA BUENA'!F51+'[2]94. TIERRA BUENA'!G51</f>
        <v>2594490.6863219189</v>
      </c>
      <c r="H96" s="111">
        <f>+'[2]94. TIERRA BUENA'!H51</f>
        <v>467008.3235379454</v>
      </c>
      <c r="I96" s="110">
        <f t="shared" si="27"/>
        <v>3061499.0098598641</v>
      </c>
      <c r="J96" s="110">
        <f>+'[2]94. TIERRA BUENA'!I51+'[2]94. TIERRA BUENA'!J51</f>
        <v>3662897.423678081</v>
      </c>
      <c r="K96" s="111">
        <f>+'[2]94. TIERRA BUENA'!K51</f>
        <v>659321.53626205458</v>
      </c>
      <c r="L96" s="110">
        <f t="shared" si="28"/>
        <v>4322218.9599401355</v>
      </c>
      <c r="M96" s="110">
        <f t="shared" si="16"/>
        <v>7383717.9697999991</v>
      </c>
      <c r="N96" s="147">
        <f t="shared" si="17"/>
        <v>0.4146283786002718</v>
      </c>
      <c r="O96" s="147">
        <f t="shared" si="18"/>
        <v>0.58537162139972831</v>
      </c>
      <c r="P96" s="111"/>
      <c r="Q96" s="111">
        <f>+'[2]94. TIERRA BUENA'!D41</f>
        <v>369185.89850000001</v>
      </c>
      <c r="R96" s="111">
        <f>+'[2]94. TIERRA BUENA'!D43</f>
        <v>67050</v>
      </c>
      <c r="S96" s="111">
        <f>+'[2]94. TIERRA BUENA'!G57</f>
        <v>143973.44500000001</v>
      </c>
      <c r="T96" s="111">
        <f>+'[2]94. TIERRA BUENA'!H57</f>
        <v>139039.33499999999</v>
      </c>
      <c r="U96" s="111">
        <f>+'[2]94. TIERRA BUENA'!I57</f>
        <v>94200.78</v>
      </c>
      <c r="V96" s="111"/>
      <c r="W96" s="111"/>
      <c r="X96" s="111">
        <f t="shared" si="29"/>
        <v>377213.56000000006</v>
      </c>
      <c r="Y96" s="110">
        <f t="shared" si="19"/>
        <v>8197167.4282999989</v>
      </c>
      <c r="Z96" s="111"/>
      <c r="AA96" s="116"/>
      <c r="AB96" s="112" t="s">
        <v>440</v>
      </c>
      <c r="AC96" s="113"/>
      <c r="AD96" s="114" t="str">
        <f t="shared" si="20"/>
        <v>CONTRATISTA</v>
      </c>
      <c r="AE96" s="110">
        <v>8197167.4282999998</v>
      </c>
      <c r="AF96" s="113">
        <f t="shared" si="22"/>
        <v>0</v>
      </c>
      <c r="AG96" s="115"/>
    </row>
    <row r="97" spans="1:33" ht="22.5">
      <c r="A97" s="106">
        <f t="shared" si="21"/>
        <v>94</v>
      </c>
      <c r="B97" s="129" t="s">
        <v>436</v>
      </c>
      <c r="C97" s="129">
        <v>284255</v>
      </c>
      <c r="D97" s="107" t="s">
        <v>547</v>
      </c>
      <c r="E97" s="108" t="s">
        <v>550</v>
      </c>
      <c r="F97" s="109" t="s">
        <v>449</v>
      </c>
      <c r="G97" s="111">
        <f>+'[2]95. VIRGEN DEL CARMEN'!F43+'[2]95. VIRGEN DEL CARMEN'!G43</f>
        <v>862966.60658952943</v>
      </c>
      <c r="H97" s="111">
        <f>+'[2]95. VIRGEN DEL CARMEN'!H43</f>
        <v>155333.9891861153</v>
      </c>
      <c r="I97" s="110">
        <f t="shared" si="27"/>
        <v>1018300.5957756448</v>
      </c>
      <c r="J97" s="110">
        <f>+'[2]95. VIRGEN DEL CARMEN'!I43+'[2]95. VIRGEN DEL CARMEN'!J43</f>
        <v>1502191.1534104706</v>
      </c>
      <c r="K97" s="110">
        <f>+'[2]95. VIRGEN DEL CARMEN'!K43</f>
        <v>270394.40761388472</v>
      </c>
      <c r="L97" s="110">
        <f t="shared" si="28"/>
        <v>1772585.5610243552</v>
      </c>
      <c r="M97" s="110">
        <f t="shared" si="16"/>
        <v>2790886.1568</v>
      </c>
      <c r="N97" s="147">
        <f t="shared" si="17"/>
        <v>0.36486640391782132</v>
      </c>
      <c r="O97" s="147">
        <f t="shared" si="18"/>
        <v>0.63513359608217868</v>
      </c>
      <c r="P97" s="111"/>
      <c r="Q97" s="110">
        <f>+'[2]95. VIRGEN DEL CARMEN'!D28</f>
        <v>139544.30800000002</v>
      </c>
      <c r="R97" s="111">
        <f>+'[2]95. VIRGEN DEL CARMEN'!D30</f>
        <v>50850</v>
      </c>
      <c r="S97" s="111">
        <f>+'[2]95. VIRGEN DEL CARMEN'!G49</f>
        <v>102828.95712000001</v>
      </c>
      <c r="T97" s="111">
        <f>+'[2]95. VIRGEN DEL CARMEN'!H49</f>
        <v>100412.15663999999</v>
      </c>
      <c r="U97" s="111">
        <f>+'[2]95. VIRGEN DEL CARMEN'!I49</f>
        <v>48274.2</v>
      </c>
      <c r="V97" s="111"/>
      <c r="W97" s="111"/>
      <c r="X97" s="111">
        <f t="shared" si="29"/>
        <v>251515.31375999999</v>
      </c>
      <c r="Y97" s="110">
        <f t="shared" si="19"/>
        <v>3232795.77856</v>
      </c>
      <c r="Z97" s="111"/>
      <c r="AA97" s="116"/>
      <c r="AB97" s="112" t="s">
        <v>440</v>
      </c>
      <c r="AC97" s="113"/>
      <c r="AD97" s="114" t="str">
        <f t="shared" si="20"/>
        <v>CONTRATISTA</v>
      </c>
      <c r="AE97" s="110">
        <v>3232795.7785599995</v>
      </c>
      <c r="AF97" s="113">
        <f t="shared" si="22"/>
        <v>0</v>
      </c>
      <c r="AG97" s="115"/>
    </row>
    <row r="98" spans="1:33" ht="22.5">
      <c r="A98" s="106">
        <f t="shared" si="21"/>
        <v>95</v>
      </c>
      <c r="B98" s="129" t="s">
        <v>436</v>
      </c>
      <c r="C98" s="129">
        <v>288630</v>
      </c>
      <c r="D98" s="107" t="s">
        <v>547</v>
      </c>
      <c r="E98" s="108" t="s">
        <v>551</v>
      </c>
      <c r="F98" s="109" t="s">
        <v>449</v>
      </c>
      <c r="G98" s="111">
        <f>+'[2]96. ESPERANZA'!F51+'[2]96. ESPERANZA'!G51</f>
        <v>1111945.1907866609</v>
      </c>
      <c r="H98" s="111">
        <f>+'[2]96. ESPERANZA'!H51</f>
        <v>200150.13434159895</v>
      </c>
      <c r="I98" s="110">
        <f t="shared" si="27"/>
        <v>1312095.3251282598</v>
      </c>
      <c r="J98" s="110">
        <f>+'[2]96. ESPERANZA'!I51+'[2]96. ESPERANZA'!J51</f>
        <v>1763818.5492133393</v>
      </c>
      <c r="K98" s="110">
        <f>+'[2]96. ESPERANZA'!K51</f>
        <v>317487.33885840105</v>
      </c>
      <c r="L98" s="110">
        <f t="shared" si="28"/>
        <v>2081305.8880717405</v>
      </c>
      <c r="M98" s="110">
        <f t="shared" si="16"/>
        <v>3393401.2132000001</v>
      </c>
      <c r="N98" s="147">
        <f t="shared" si="17"/>
        <v>0.38666082867664953</v>
      </c>
      <c r="O98" s="147">
        <f t="shared" si="18"/>
        <v>0.61333917132335058</v>
      </c>
      <c r="P98" s="111"/>
      <c r="Q98" s="111">
        <f>+'[2]96. ESPERANZA'!D37</f>
        <v>169670.060601</v>
      </c>
      <c r="R98" s="111">
        <f>+'[2]96. ESPERANZA'!D39</f>
        <v>18450</v>
      </c>
      <c r="S98" s="111">
        <f>+'[2]96. ESPERANZA'!G57</f>
        <v>104442.76763517562</v>
      </c>
      <c r="T98" s="111">
        <f>+'[2]96. ESPERANZA'!H57</f>
        <v>123393.23469136901</v>
      </c>
      <c r="U98" s="111">
        <f>+'[2]96. ESPERANZA'!I57</f>
        <v>94200.78</v>
      </c>
      <c r="V98" s="111"/>
      <c r="W98" s="111"/>
      <c r="X98" s="111">
        <f t="shared" si="29"/>
        <v>322036.78232654463</v>
      </c>
      <c r="Y98" s="110">
        <f t="shared" si="19"/>
        <v>3903558.056127545</v>
      </c>
      <c r="Z98" s="111"/>
      <c r="AA98" s="116"/>
      <c r="AB98" s="112" t="s">
        <v>440</v>
      </c>
      <c r="AC98" s="113"/>
      <c r="AD98" s="114" t="str">
        <f t="shared" si="20"/>
        <v>CONTRATISTA</v>
      </c>
      <c r="AE98" s="110">
        <v>3903558.0561275454</v>
      </c>
      <c r="AF98" s="113">
        <f t="shared" si="22"/>
        <v>0</v>
      </c>
      <c r="AG98" s="115"/>
    </row>
    <row r="99" spans="1:33" ht="22.5">
      <c r="A99" s="106">
        <f t="shared" si="21"/>
        <v>96</v>
      </c>
      <c r="B99" s="129" t="s">
        <v>436</v>
      </c>
      <c r="C99" s="129">
        <v>284364</v>
      </c>
      <c r="D99" s="107" t="s">
        <v>547</v>
      </c>
      <c r="E99" s="108" t="s">
        <v>552</v>
      </c>
      <c r="F99" s="109" t="s">
        <v>449</v>
      </c>
      <c r="G99" s="111">
        <f>+'[2]97. SANTA ISABEL DE BAHUANISHO'!F37+'[2]97. SANTA ISABEL DE BAHUANISHO'!G37</f>
        <v>1045166.9856816059</v>
      </c>
      <c r="H99" s="111">
        <f>+'[2]97. SANTA ISABEL DE BAHUANISHO'!H37</f>
        <v>188130.05742268905</v>
      </c>
      <c r="I99" s="110">
        <f t="shared" si="27"/>
        <v>1233297.0431042949</v>
      </c>
      <c r="J99" s="110">
        <f>+'[2]97. SANTA ISABEL DE BAHUANISHO'!I37+'[2]97. SANTA ISABEL DE BAHUANISHO'!J37</f>
        <v>2037693.1743183942</v>
      </c>
      <c r="K99" s="110">
        <f>+'[2]97. SANTA ISABEL DE BAHUANISHO'!K37</f>
        <v>366784.77137731091</v>
      </c>
      <c r="L99" s="110">
        <f t="shared" si="28"/>
        <v>2404477.9456957052</v>
      </c>
      <c r="M99" s="110">
        <f t="shared" si="16"/>
        <v>3637774.9888000004</v>
      </c>
      <c r="N99" s="147">
        <f t="shared" si="17"/>
        <v>0.33902510377947398</v>
      </c>
      <c r="O99" s="147">
        <f t="shared" si="18"/>
        <v>0.66097489622052596</v>
      </c>
      <c r="P99" s="111"/>
      <c r="Q99" s="111">
        <f>+'[2]97. SANTA ISABEL DE BAHUANISHO'!$D$20</f>
        <v>181888.75</v>
      </c>
      <c r="R99" s="111">
        <f>+'[2]97. SANTA ISABEL DE BAHUANISHO'!$D$22</f>
        <v>50850</v>
      </c>
      <c r="S99" s="111">
        <f>+'[2]97. SANTA ISABEL DE BAHUANISHO'!G43</f>
        <v>104071.49712</v>
      </c>
      <c r="T99" s="111">
        <f>+'[2]97. SANTA ISABEL DE BAHUANISHO'!H43</f>
        <v>100836.95664000009</v>
      </c>
      <c r="U99" s="111">
        <f>+'[2]97. SANTA ISABEL DE BAHUANISHO'!I43</f>
        <v>48274.196000000004</v>
      </c>
      <c r="V99" s="111"/>
      <c r="W99" s="111"/>
      <c r="X99" s="111">
        <f t="shared" si="29"/>
        <v>253182.64976000009</v>
      </c>
      <c r="Y99" s="110">
        <f t="shared" si="19"/>
        <v>4123696.3885600003</v>
      </c>
      <c r="Z99" s="111"/>
      <c r="AA99" s="116"/>
      <c r="AB99" s="112" t="s">
        <v>440</v>
      </c>
      <c r="AC99" s="113"/>
      <c r="AD99" s="114" t="str">
        <f t="shared" si="20"/>
        <v>CONTRATISTA</v>
      </c>
      <c r="AE99" s="110">
        <v>4123696.3885600003</v>
      </c>
      <c r="AF99" s="113">
        <f t="shared" si="22"/>
        <v>0</v>
      </c>
      <c r="AG99" s="115"/>
    </row>
    <row r="100" spans="1:33">
      <c r="A100" s="106">
        <f t="shared" si="21"/>
        <v>97</v>
      </c>
      <c r="B100" s="106" t="s">
        <v>436</v>
      </c>
      <c r="C100" s="129">
        <v>288653</v>
      </c>
      <c r="D100" s="107" t="s">
        <v>547</v>
      </c>
      <c r="E100" s="108" t="s">
        <v>553</v>
      </c>
      <c r="F100" s="109" t="s">
        <v>449</v>
      </c>
      <c r="G100" s="111">
        <f>+'[2]98. PAMPAS VERDES'!I69+'[2]98. PAMPAS VERDES'!J69</f>
        <v>462987.4804182243</v>
      </c>
      <c r="H100" s="111"/>
      <c r="I100" s="110">
        <f t="shared" si="27"/>
        <v>462987.4804182243</v>
      </c>
      <c r="J100" s="110">
        <f>+'[2]98. PAMPAS VERDES'!L69+'[2]98. PAMPAS VERDES'!M69</f>
        <v>695456.10653592041</v>
      </c>
      <c r="K100" s="111"/>
      <c r="L100" s="110">
        <f t="shared" si="28"/>
        <v>695456.10653592041</v>
      </c>
      <c r="M100" s="110">
        <f t="shared" si="16"/>
        <v>1158443.5869541448</v>
      </c>
      <c r="N100" s="147">
        <f t="shared" si="17"/>
        <v>0.39966338079141261</v>
      </c>
      <c r="O100" s="147">
        <f t="shared" si="18"/>
        <v>0.60033661920858727</v>
      </c>
      <c r="P100" s="111"/>
      <c r="Q100" s="111">
        <f>+'[2]98. PAMPAS VERDES'!M21</f>
        <v>69300</v>
      </c>
      <c r="R100" s="111">
        <f>+'[2]98. PAMPAS VERDES'!M32</f>
        <v>2250</v>
      </c>
      <c r="S100" s="111">
        <f>+'[2]98. PAMPAS VERDES'!J80</f>
        <v>69614.435816045196</v>
      </c>
      <c r="T100" s="111">
        <f>+'[2]98. PAMPAS VERDES'!K80</f>
        <v>91423.433248135596</v>
      </c>
      <c r="U100" s="111">
        <f>+'[2]98. PAMPAS VERDES'!L80</f>
        <v>123700</v>
      </c>
      <c r="V100" s="111"/>
      <c r="W100" s="111">
        <f>+'[2]98. PAMPAS VERDES'!M25</f>
        <v>22481</v>
      </c>
      <c r="X100" s="111">
        <f t="shared" si="29"/>
        <v>307218.86906418076</v>
      </c>
      <c r="Y100" s="110">
        <f t="shared" si="19"/>
        <v>1537212.4560183254</v>
      </c>
      <c r="Z100" s="111"/>
      <c r="AA100" s="116"/>
      <c r="AB100" s="112" t="s">
        <v>440</v>
      </c>
      <c r="AC100" s="113"/>
      <c r="AD100" s="114" t="str">
        <f t="shared" si="20"/>
        <v>NE</v>
      </c>
      <c r="AE100" s="110">
        <v>1537212.4560183254</v>
      </c>
      <c r="AF100" s="113">
        <f t="shared" si="22"/>
        <v>0</v>
      </c>
      <c r="AG100" s="115"/>
    </row>
    <row r="101" spans="1:33" ht="22.5">
      <c r="A101" s="106">
        <f t="shared" si="21"/>
        <v>98</v>
      </c>
      <c r="B101" s="106" t="s">
        <v>436</v>
      </c>
      <c r="C101" s="129">
        <v>291755</v>
      </c>
      <c r="D101" s="107" t="s">
        <v>547</v>
      </c>
      <c r="E101" s="108" t="s">
        <v>554</v>
      </c>
      <c r="F101" s="109" t="s">
        <v>449</v>
      </c>
      <c r="G101" s="111"/>
      <c r="H101" s="111"/>
      <c r="I101" s="110"/>
      <c r="J101" s="110">
        <f>+'[2]99. SAN PEDRO DE LAGARTO'!L69+'[2]99. SAN PEDRO DE LAGARTO'!M69</f>
        <v>1315278.7075484444</v>
      </c>
      <c r="K101" s="111"/>
      <c r="L101" s="110">
        <f t="shared" si="28"/>
        <v>1315278.7075484444</v>
      </c>
      <c r="M101" s="110">
        <f t="shared" si="16"/>
        <v>1315278.7075484444</v>
      </c>
      <c r="N101" s="147">
        <f t="shared" si="17"/>
        <v>0</v>
      </c>
      <c r="O101" s="147">
        <f t="shared" si="18"/>
        <v>1</v>
      </c>
      <c r="P101" s="111"/>
      <c r="Q101" s="111">
        <f>+'[2]99. SAN PEDRO DE LAGARTO'!L22</f>
        <v>57750</v>
      </c>
      <c r="R101" s="111">
        <f>+'[2]99. SAN PEDRO DE LAGARTO'!L33</f>
        <v>18300</v>
      </c>
      <c r="S101" s="111">
        <f>+'[2]99. SAN PEDRO DE LAGARTO'!J80</f>
        <v>60640.776949152547</v>
      </c>
      <c r="T101" s="111">
        <f>+'[2]99. SAN PEDRO DE LAGARTO'!K80</f>
        <v>97623.56</v>
      </c>
      <c r="U101" s="111">
        <f>+'[2]99. SAN PEDRO DE LAGARTO'!L80</f>
        <v>63950</v>
      </c>
      <c r="V101" s="111"/>
      <c r="W101" s="111">
        <f>+'[2]99. SAN PEDRO DE LAGARTO'!H93</f>
        <v>27469.88</v>
      </c>
      <c r="X101" s="111">
        <f t="shared" si="29"/>
        <v>249684.21694915256</v>
      </c>
      <c r="Y101" s="110">
        <f t="shared" si="19"/>
        <v>1641012.9244975969</v>
      </c>
      <c r="Z101" s="111"/>
      <c r="AA101" s="116"/>
      <c r="AB101" s="112" t="s">
        <v>440</v>
      </c>
      <c r="AC101" s="113"/>
      <c r="AD101" s="114" t="str">
        <f t="shared" si="20"/>
        <v>NE</v>
      </c>
      <c r="AE101" s="110">
        <v>1641012.9244975969</v>
      </c>
      <c r="AF101" s="113">
        <f t="shared" si="22"/>
        <v>0</v>
      </c>
      <c r="AG101" s="115"/>
    </row>
    <row r="102" spans="1:33" ht="33.75">
      <c r="A102" s="106">
        <f t="shared" si="21"/>
        <v>99</v>
      </c>
      <c r="B102" s="129" t="s">
        <v>436</v>
      </c>
      <c r="C102" s="129">
        <v>288784</v>
      </c>
      <c r="D102" s="107" t="s">
        <v>547</v>
      </c>
      <c r="E102" s="108" t="s">
        <v>555</v>
      </c>
      <c r="F102" s="109" t="s">
        <v>449</v>
      </c>
      <c r="G102" s="111">
        <f>+'[2]100. NUEVA ESPERANZA DE PANAILL'!I73+'[2]100. NUEVA ESPERANZA DE PANAILL'!J73</f>
        <v>1435722.9329966905</v>
      </c>
      <c r="H102" s="111">
        <f>+'[2]100. NUEVA ESPERANZA DE PANAILL'!K73</f>
        <v>258430.12793940428</v>
      </c>
      <c r="I102" s="110">
        <f>SUM(G102:H102)</f>
        <v>1694153.0609360947</v>
      </c>
      <c r="J102" s="110">
        <f>+'[2]100. NUEVA ESPERANZA DE PANAILL'!L73+'[2]100. NUEVA ESPERANZA DE PANAILL'!M73</f>
        <v>2388652.7470033094</v>
      </c>
      <c r="K102" s="110">
        <f>+'[2]100. NUEVA ESPERANZA DE PANAILL'!N73</f>
        <v>429957.49446059566</v>
      </c>
      <c r="L102" s="110">
        <f t="shared" si="28"/>
        <v>2818610.2414639052</v>
      </c>
      <c r="M102" s="110">
        <f t="shared" si="16"/>
        <v>4512763.3024000004</v>
      </c>
      <c r="N102" s="147">
        <f t="shared" si="17"/>
        <v>0.37541367614718496</v>
      </c>
      <c r="O102" s="147">
        <f t="shared" si="18"/>
        <v>0.62458632385281487</v>
      </c>
      <c r="P102" s="111"/>
      <c r="Q102" s="111">
        <f>+'[2]100. NUEVA ESPERANZA DE PANAILL'!E62</f>
        <v>225638.16500000001</v>
      </c>
      <c r="R102" s="111">
        <f>+'[2]100. NUEVA ESPERANZA DE PANAILL'!E64</f>
        <v>18450</v>
      </c>
      <c r="S102" s="111">
        <f>+'[2]100. NUEVA ESPERANZA DE PANAILL'!J84</f>
        <v>100448.27918680693</v>
      </c>
      <c r="T102" s="111">
        <f>+'[2]100. NUEVA ESPERANZA DE PANAILL'!K84</f>
        <v>99769.70641072726</v>
      </c>
      <c r="U102" s="111">
        <f>+'[2]100. NUEVA ESPERANZA DE PANAILL'!L84</f>
        <v>99467.63</v>
      </c>
      <c r="V102" s="111"/>
      <c r="W102" s="111"/>
      <c r="X102" s="111">
        <f t="shared" si="29"/>
        <v>299685.61559753423</v>
      </c>
      <c r="Y102" s="110">
        <f t="shared" si="19"/>
        <v>5056537.0829975344</v>
      </c>
      <c r="Z102" s="111"/>
      <c r="AA102" s="116"/>
      <c r="AB102" s="112" t="s">
        <v>440</v>
      </c>
      <c r="AC102" s="113"/>
      <c r="AD102" s="114" t="str">
        <f t="shared" si="20"/>
        <v>CONTRATISTA</v>
      </c>
      <c r="AE102" s="110">
        <v>5056537.0829975344</v>
      </c>
      <c r="AF102" s="113">
        <f t="shared" si="22"/>
        <v>0</v>
      </c>
      <c r="AG102" s="115"/>
    </row>
    <row r="103" spans="1:33" s="222" customFormat="1">
      <c r="A103" s="106">
        <f t="shared" si="21"/>
        <v>100</v>
      </c>
      <c r="B103" s="229"/>
      <c r="C103" s="223">
        <v>289451</v>
      </c>
      <c r="D103" s="224" t="s">
        <v>461</v>
      </c>
      <c r="E103" s="225" t="s">
        <v>514</v>
      </c>
      <c r="F103" s="226" t="s">
        <v>439</v>
      </c>
      <c r="G103" s="221">
        <v>1326361.8755999999</v>
      </c>
      <c r="H103" s="221">
        <v>238745.14</v>
      </c>
      <c r="I103" s="227">
        <v>1565107.0156</v>
      </c>
      <c r="J103" s="221">
        <v>1252668.0036000002</v>
      </c>
      <c r="K103" s="221">
        <v>225480.24</v>
      </c>
      <c r="L103" s="227">
        <v>1478148.2436000002</v>
      </c>
      <c r="M103" s="229"/>
      <c r="N103" s="229"/>
      <c r="O103" s="229"/>
      <c r="P103" s="230">
        <v>44951.141199999998</v>
      </c>
      <c r="Q103" s="230">
        <v>152162.76396000001</v>
      </c>
      <c r="R103" s="229">
        <v>0</v>
      </c>
      <c r="S103" s="230">
        <v>103221.4488</v>
      </c>
      <c r="T103" s="230">
        <v>83864.160799999998</v>
      </c>
      <c r="U103" s="230">
        <v>36997.164000000004</v>
      </c>
      <c r="V103" s="229">
        <v>0</v>
      </c>
      <c r="W103" s="229">
        <v>0</v>
      </c>
      <c r="X103" s="111">
        <f t="shared" si="29"/>
        <v>224082.77360000001</v>
      </c>
      <c r="Y103" s="110">
        <f t="shared" si="19"/>
        <v>3464451.9379600002</v>
      </c>
      <c r="Z103" s="229"/>
      <c r="AA103" s="229"/>
      <c r="AB103" s="229"/>
      <c r="AC103" s="228"/>
      <c r="AD103" s="228"/>
      <c r="AE103" s="228"/>
      <c r="AF103" s="228"/>
    </row>
    <row r="104" spans="1:33">
      <c r="A104" s="103"/>
      <c r="B104" s="103"/>
    </row>
    <row r="105" spans="1:33">
      <c r="A105" s="139"/>
      <c r="B105" s="139"/>
      <c r="C105" s="103" t="s">
        <v>556</v>
      </c>
      <c r="I105" s="140">
        <f>SUM(I4:I102)</f>
        <v>132600796.55146649</v>
      </c>
      <c r="L105" s="140">
        <f>SUM(L4:L102)</f>
        <v>191480332.02064449</v>
      </c>
      <c r="M105" s="140"/>
      <c r="N105" s="140"/>
      <c r="O105" s="140"/>
      <c r="P105" s="140">
        <f t="shared" ref="P105:Y105" si="30">SUM(P4:P102)</f>
        <v>2174369.3491144003</v>
      </c>
      <c r="Q105" s="140">
        <f t="shared" si="30"/>
        <v>15287628.537397034</v>
      </c>
      <c r="R105" s="140">
        <f t="shared" si="30"/>
        <v>2461999.2546941265</v>
      </c>
      <c r="S105" s="140">
        <f t="shared" si="30"/>
        <v>9142633.6459280532</v>
      </c>
      <c r="T105" s="140">
        <f t="shared" si="30"/>
        <v>8313156.3261998799</v>
      </c>
      <c r="U105" s="140">
        <f t="shared" si="30"/>
        <v>6307553.5898880409</v>
      </c>
      <c r="V105" s="140">
        <f t="shared" si="30"/>
        <v>324794.29425892851</v>
      </c>
      <c r="W105" s="140">
        <f t="shared" si="30"/>
        <v>1201850.8513713628</v>
      </c>
      <c r="X105" s="140">
        <f t="shared" si="30"/>
        <v>25258369.707646269</v>
      </c>
      <c r="Y105" s="140">
        <f t="shared" si="30"/>
        <v>369263495.42096275</v>
      </c>
    </row>
    <row r="106" spans="1:33">
      <c r="A106" s="141"/>
      <c r="B106" s="141"/>
      <c r="C106" s="103" t="s">
        <v>557</v>
      </c>
      <c r="I106" s="142">
        <f>+I105/$Y$105</f>
        <v>0.35909532947550293</v>
      </c>
      <c r="L106" s="142">
        <f>+L105/$Y$105</f>
        <v>0.51854660532408081</v>
      </c>
      <c r="M106" s="142"/>
      <c r="N106" s="142"/>
      <c r="O106" s="142"/>
      <c r="P106" s="142">
        <f>+P105/$Y$105</f>
        <v>5.8883950785213832E-3</v>
      </c>
      <c r="Q106" s="142">
        <f>+Q105/$Y$105</f>
        <v>4.1400324502613071E-2</v>
      </c>
      <c r="R106" s="142">
        <f>+R105/$Y$105</f>
        <v>6.6673237003496153E-3</v>
      </c>
      <c r="S106" s="143">
        <f t="shared" ref="S106:V106" si="31">+S105/$Y$105</f>
        <v>2.4759104973280373E-2</v>
      </c>
      <c r="T106" s="143">
        <f>+T105/$Y$105</f>
        <v>2.2512802996469575E-2</v>
      </c>
      <c r="U106" s="143">
        <f>+U105/$Y$105</f>
        <v>1.7081443652309552E-2</v>
      </c>
      <c r="V106" s="143">
        <f t="shared" si="31"/>
        <v>8.7957325402193069E-4</v>
      </c>
      <c r="W106" s="143">
        <f>+W105/$Y$105</f>
        <v>3.2547242450847872E-3</v>
      </c>
      <c r="X106" s="142">
        <f t="shared" ref="X106" si="32">+X105/$Y$105</f>
        <v>6.8402021918932354E-2</v>
      </c>
      <c r="Y106" s="144">
        <f>+X106+R106+Q106+P106+L106+I106</f>
        <v>1.0000000000000002</v>
      </c>
    </row>
    <row r="107" spans="1:33">
      <c r="A107" s="145"/>
      <c r="B107" s="145"/>
      <c r="C107" s="103" t="s">
        <v>558</v>
      </c>
    </row>
    <row r="108" spans="1:33">
      <c r="A108" s="103"/>
      <c r="B108" s="103"/>
    </row>
    <row r="109" spans="1:33">
      <c r="A109" s="103"/>
      <c r="B109" s="103"/>
    </row>
    <row r="110" spans="1:33">
      <c r="A110" s="103"/>
      <c r="B110" s="103"/>
      <c r="Y110" s="140">
        <v>415332891.91947007</v>
      </c>
    </row>
    <row r="111" spans="1:33">
      <c r="A111" s="103"/>
      <c r="B111" s="103"/>
      <c r="J111" s="134"/>
      <c r="K111" s="134"/>
      <c r="L111" s="134"/>
      <c r="M111" s="134"/>
      <c r="N111" s="134"/>
      <c r="O111" s="134"/>
      <c r="P111" s="134"/>
      <c r="R111" s="134"/>
      <c r="S111" s="134"/>
      <c r="T111" s="134"/>
      <c r="U111" s="134"/>
    </row>
    <row r="112" spans="1:33">
      <c r="A112" s="103"/>
      <c r="B112" s="103"/>
    </row>
    <row r="113" spans="1:2">
      <c r="A113" s="103"/>
      <c r="B113" s="103"/>
    </row>
    <row r="114" spans="1:2">
      <c r="A114" s="103"/>
      <c r="B114" s="103"/>
    </row>
    <row r="115" spans="1:2">
      <c r="A115" s="103"/>
      <c r="B115" s="103"/>
    </row>
    <row r="116" spans="1:2">
      <c r="A116" s="103"/>
      <c r="B116" s="103"/>
    </row>
    <row r="117" spans="1:2">
      <c r="A117" s="103"/>
      <c r="B117" s="103"/>
    </row>
    <row r="118" spans="1:2">
      <c r="A118" s="103"/>
      <c r="B118" s="103"/>
    </row>
    <row r="119" spans="1:2">
      <c r="A119" s="103"/>
      <c r="B119" s="103"/>
    </row>
    <row r="120" spans="1:2">
      <c r="A120" s="103"/>
      <c r="B120" s="103"/>
    </row>
    <row r="121" spans="1:2">
      <c r="A121" s="103"/>
      <c r="B121" s="103"/>
    </row>
    <row r="122" spans="1:2">
      <c r="A122" s="103"/>
      <c r="B122" s="103"/>
    </row>
    <row r="124" spans="1:2">
      <c r="A124" s="173"/>
      <c r="B124" s="173"/>
    </row>
    <row r="125" spans="1:2">
      <c r="A125" s="173"/>
      <c r="B125" s="173"/>
    </row>
    <row r="126" spans="1:2">
      <c r="A126" s="173"/>
      <c r="B126" s="173"/>
    </row>
    <row r="127" spans="1:2">
      <c r="A127" s="173"/>
      <c r="B127" s="173"/>
    </row>
    <row r="128" spans="1:2">
      <c r="A128" s="173"/>
      <c r="B128" s="173"/>
    </row>
    <row r="129" spans="1:2">
      <c r="A129" s="173"/>
      <c r="B129" s="173"/>
    </row>
    <row r="130" spans="1:2">
      <c r="A130" s="173"/>
      <c r="B130" s="173"/>
    </row>
    <row r="131" spans="1:2">
      <c r="A131" s="173"/>
      <c r="B131" s="173"/>
    </row>
    <row r="132" spans="1:2">
      <c r="A132" s="173"/>
      <c r="B132" s="173"/>
    </row>
    <row r="133" spans="1:2">
      <c r="A133" s="173"/>
      <c r="B133" s="173"/>
    </row>
    <row r="134" spans="1:2">
      <c r="A134" s="173"/>
      <c r="B134" s="173"/>
    </row>
    <row r="135" spans="1:2">
      <c r="A135" s="173"/>
      <c r="B135" s="173"/>
    </row>
    <row r="136" spans="1:2">
      <c r="A136" s="173"/>
      <c r="B136" s="173"/>
    </row>
    <row r="137" spans="1:2">
      <c r="A137" s="174"/>
      <c r="B137" s="174"/>
    </row>
    <row r="138" spans="1:2">
      <c r="A138" s="174"/>
      <c r="B138" s="174"/>
    </row>
    <row r="139" spans="1:2">
      <c r="A139" s="174"/>
      <c r="B139" s="174"/>
    </row>
    <row r="140" spans="1:2">
      <c r="A140" s="174"/>
      <c r="B140" s="174"/>
    </row>
    <row r="141" spans="1:2">
      <c r="A141" s="174"/>
      <c r="B141" s="174"/>
    </row>
    <row r="142" spans="1:2">
      <c r="A142" s="174"/>
      <c r="B142" s="174"/>
    </row>
    <row r="143" spans="1:2">
      <c r="A143" s="174"/>
      <c r="B143" s="174"/>
    </row>
    <row r="144" spans="1:2">
      <c r="A144" s="174"/>
      <c r="B144" s="174"/>
    </row>
    <row r="145" spans="1:2">
      <c r="A145" s="174"/>
      <c r="B145" s="174"/>
    </row>
    <row r="146" spans="1:2">
      <c r="A146" s="173"/>
      <c r="B146" s="173"/>
    </row>
    <row r="147" spans="1:2">
      <c r="A147" s="173"/>
      <c r="B147" s="173"/>
    </row>
    <row r="148" spans="1:2">
      <c r="A148" s="173"/>
      <c r="B148" s="173"/>
    </row>
    <row r="149" spans="1:2">
      <c r="A149" s="173"/>
      <c r="B149" s="173"/>
    </row>
    <row r="150" spans="1:2">
      <c r="A150" s="174"/>
      <c r="B150" s="174"/>
    </row>
    <row r="151" spans="1:2">
      <c r="A151" s="174"/>
      <c r="B151" s="174"/>
    </row>
    <row r="152" spans="1:2">
      <c r="A152" s="174"/>
      <c r="B152" s="174"/>
    </row>
    <row r="153" spans="1:2">
      <c r="A153" s="174"/>
      <c r="B153" s="174"/>
    </row>
    <row r="154" spans="1:2">
      <c r="A154" s="174"/>
      <c r="B154" s="174"/>
    </row>
    <row r="155" spans="1:2">
      <c r="A155" s="174"/>
      <c r="B155" s="174"/>
    </row>
    <row r="156" spans="1:2">
      <c r="A156" s="174"/>
      <c r="B156" s="174"/>
    </row>
    <row r="157" spans="1:2">
      <c r="A157" s="174"/>
      <c r="B157" s="174"/>
    </row>
    <row r="158" spans="1:2">
      <c r="A158" s="174"/>
      <c r="B158" s="174"/>
    </row>
    <row r="159" spans="1:2">
      <c r="A159" s="174"/>
      <c r="B159" s="174"/>
    </row>
    <row r="160" spans="1:2">
      <c r="A160" s="174"/>
      <c r="B160" s="174"/>
    </row>
    <row r="161" spans="1:2">
      <c r="A161" s="174"/>
      <c r="B161" s="174"/>
    </row>
    <row r="162" spans="1:2">
      <c r="A162" s="174"/>
      <c r="B162" s="174"/>
    </row>
    <row r="163" spans="1:2">
      <c r="A163" s="174"/>
      <c r="B163" s="174"/>
    </row>
    <row r="164" spans="1:2">
      <c r="A164" s="174"/>
      <c r="B164" s="174"/>
    </row>
    <row r="165" spans="1:2">
      <c r="A165" s="174"/>
      <c r="B165" s="174"/>
    </row>
    <row r="166" spans="1:2">
      <c r="A166" s="174"/>
      <c r="B166" s="174"/>
    </row>
    <row r="167" spans="1:2">
      <c r="A167" s="174"/>
      <c r="B167" s="174"/>
    </row>
    <row r="168" spans="1:2">
      <c r="A168" s="174"/>
      <c r="B168" s="174"/>
    </row>
    <row r="169" spans="1:2">
      <c r="A169" s="174"/>
      <c r="B169" s="174"/>
    </row>
    <row r="170" spans="1:2">
      <c r="A170" s="174"/>
      <c r="B170" s="174"/>
    </row>
    <row r="171" spans="1:2">
      <c r="A171" s="174"/>
      <c r="B171" s="174"/>
    </row>
    <row r="172" spans="1:2">
      <c r="A172" s="174"/>
      <c r="B172" s="174"/>
    </row>
    <row r="173" spans="1:2">
      <c r="A173" s="174"/>
      <c r="B173" s="174"/>
    </row>
    <row r="174" spans="1:2">
      <c r="A174" s="174"/>
      <c r="B174" s="174"/>
    </row>
    <row r="175" spans="1:2">
      <c r="A175" s="174"/>
      <c r="B175" s="174"/>
    </row>
    <row r="176" spans="1:2">
      <c r="A176" s="173"/>
      <c r="B176" s="173"/>
    </row>
    <row r="177" spans="1:2">
      <c r="A177" s="174"/>
      <c r="B177" s="174"/>
    </row>
    <row r="178" spans="1:2">
      <c r="A178" s="174"/>
      <c r="B178" s="174"/>
    </row>
    <row r="179" spans="1:2">
      <c r="A179" s="174"/>
      <c r="B179" s="174"/>
    </row>
    <row r="180" spans="1:2">
      <c r="A180" s="174"/>
      <c r="B180" s="174"/>
    </row>
    <row r="181" spans="1:2">
      <c r="A181" s="174"/>
      <c r="B181" s="174"/>
    </row>
    <row r="182" spans="1:2">
      <c r="A182" s="174"/>
      <c r="B182" s="174"/>
    </row>
    <row r="183" spans="1:2">
      <c r="A183" s="174"/>
      <c r="B183" s="174"/>
    </row>
    <row r="184" spans="1:2">
      <c r="A184" s="174"/>
      <c r="B184" s="174"/>
    </row>
    <row r="185" spans="1:2">
      <c r="A185" s="174"/>
      <c r="B185" s="174"/>
    </row>
    <row r="186" spans="1:2">
      <c r="A186" s="174"/>
      <c r="B186" s="174"/>
    </row>
    <row r="187" spans="1:2">
      <c r="A187" s="174"/>
      <c r="B187" s="174"/>
    </row>
    <row r="188" spans="1:2">
      <c r="A188" s="174"/>
      <c r="B188" s="174"/>
    </row>
    <row r="189" spans="1:2">
      <c r="A189" s="174"/>
      <c r="B189" s="174"/>
    </row>
    <row r="190" spans="1:2">
      <c r="A190" s="174"/>
      <c r="B190" s="174"/>
    </row>
    <row r="191" spans="1:2">
      <c r="A191" s="174"/>
      <c r="B191" s="174"/>
    </row>
    <row r="192" spans="1:2">
      <c r="A192" s="174"/>
      <c r="B192" s="174"/>
    </row>
    <row r="193" spans="1:2">
      <c r="A193" s="174"/>
      <c r="B193" s="174"/>
    </row>
    <row r="194" spans="1:2">
      <c r="A194" s="174"/>
      <c r="B194" s="174"/>
    </row>
    <row r="195" spans="1:2">
      <c r="A195" s="174"/>
      <c r="B195" s="174"/>
    </row>
    <row r="196" spans="1:2">
      <c r="A196" s="174"/>
      <c r="B196" s="174"/>
    </row>
    <row r="197" spans="1:2">
      <c r="A197" s="174"/>
      <c r="B197" s="174"/>
    </row>
    <row r="198" spans="1:2">
      <c r="A198" s="174"/>
      <c r="B198" s="174"/>
    </row>
    <row r="199" spans="1:2">
      <c r="A199" s="174"/>
      <c r="B199" s="174"/>
    </row>
    <row r="200" spans="1:2">
      <c r="A200" s="174"/>
      <c r="B200" s="174"/>
    </row>
    <row r="201" spans="1:2">
      <c r="A201" s="174"/>
      <c r="B201" s="174"/>
    </row>
    <row r="202" spans="1:2">
      <c r="A202" s="174"/>
      <c r="B202" s="174"/>
    </row>
    <row r="203" spans="1:2">
      <c r="A203" s="174"/>
      <c r="B203" s="174"/>
    </row>
    <row r="204" spans="1:2">
      <c r="A204" s="174"/>
      <c r="B204" s="174"/>
    </row>
    <row r="205" spans="1:2">
      <c r="A205" s="174"/>
      <c r="B205" s="174"/>
    </row>
    <row r="206" spans="1:2">
      <c r="A206" s="174"/>
      <c r="B206" s="174"/>
    </row>
    <row r="207" spans="1:2">
      <c r="A207" s="174"/>
      <c r="B207" s="174"/>
    </row>
    <row r="208" spans="1:2">
      <c r="A208" s="174"/>
      <c r="B208" s="174"/>
    </row>
    <row r="209" spans="1:2">
      <c r="A209" s="174"/>
      <c r="B209" s="174"/>
    </row>
    <row r="210" spans="1:2">
      <c r="A210" s="174"/>
      <c r="B210" s="174"/>
    </row>
    <row r="211" spans="1:2">
      <c r="A211" s="174"/>
      <c r="B211" s="174"/>
    </row>
    <row r="212" spans="1:2">
      <c r="A212" s="174"/>
      <c r="B212" s="174"/>
    </row>
    <row r="213" spans="1:2">
      <c r="A213" s="174"/>
      <c r="B213" s="174"/>
    </row>
    <row r="214" spans="1:2">
      <c r="A214" s="174"/>
      <c r="B214" s="174"/>
    </row>
    <row r="215" spans="1:2">
      <c r="A215" s="174"/>
      <c r="B215" s="174"/>
    </row>
    <row r="216" spans="1:2">
      <c r="A216" s="174"/>
      <c r="B216" s="174"/>
    </row>
    <row r="217" spans="1:2">
      <c r="A217" s="174"/>
      <c r="B217" s="174"/>
    </row>
    <row r="218" spans="1:2">
      <c r="A218" s="174"/>
      <c r="B218" s="174"/>
    </row>
    <row r="219" spans="1:2">
      <c r="A219" s="174"/>
      <c r="B219" s="174"/>
    </row>
    <row r="220" spans="1:2">
      <c r="A220" s="174"/>
      <c r="B220" s="174"/>
    </row>
    <row r="221" spans="1:2">
      <c r="A221" s="174"/>
      <c r="B221" s="174"/>
    </row>
    <row r="222" spans="1:2">
      <c r="A222" s="174"/>
      <c r="B222" s="174"/>
    </row>
    <row r="223" spans="1:2">
      <c r="A223" s="174"/>
      <c r="B223" s="174"/>
    </row>
  </sheetData>
  <autoFilter ref="A3:AG103" xr:uid="{00000000-0009-0000-0000-000007000000}"/>
  <mergeCells count="17">
    <mergeCell ref="Z2:Z3"/>
    <mergeCell ref="AA2:AA3"/>
    <mergeCell ref="AB2:AB3"/>
    <mergeCell ref="M2:O2"/>
    <mergeCell ref="B2:B3"/>
    <mergeCell ref="G2:I2"/>
    <mergeCell ref="J2:L2"/>
    <mergeCell ref="P2:P3"/>
    <mergeCell ref="Q2:Q3"/>
    <mergeCell ref="R2:R3"/>
    <mergeCell ref="S2:X2"/>
    <mergeCell ref="Y2:Y3"/>
    <mergeCell ref="A2:A3"/>
    <mergeCell ref="C2:C3"/>
    <mergeCell ref="D2:D3"/>
    <mergeCell ref="E2:E3"/>
    <mergeCell ref="F2:F3"/>
  </mergeCells>
  <pageMargins left="0.7" right="0.7" top="0.75" bottom="0.75" header="0.3" footer="0.3"/>
  <pageSetup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7"/>
  <sheetViews>
    <sheetView zoomScale="93" zoomScaleNormal="93" workbookViewId="0" xr3:uid="{44B22561-5205-5C8A-B808-2C70100D228F}">
      <selection activeCell="G14" sqref="G14"/>
    </sheetView>
  </sheetViews>
  <sheetFormatPr defaultColWidth="11.42578125" defaultRowHeight="11.25"/>
  <cols>
    <col min="1" max="1" width="9.85546875" style="20" customWidth="1"/>
    <col min="2" max="2" width="76.5703125" style="5" bestFit="1" customWidth="1"/>
    <col min="3" max="4" width="9.5703125" style="5" customWidth="1"/>
    <col min="5" max="5" width="10" style="5" customWidth="1"/>
    <col min="6" max="7" width="13.5703125" style="5" bestFit="1" customWidth="1"/>
    <col min="8" max="8" width="9.5703125" style="5" customWidth="1"/>
    <col min="9" max="9" width="10" style="5" customWidth="1"/>
    <col min="10" max="10" width="11.42578125" style="5" bestFit="1" customWidth="1"/>
    <col min="11" max="11" width="8.7109375" style="5" bestFit="1" customWidth="1"/>
    <col min="12" max="16384" width="11.42578125" style="5"/>
  </cols>
  <sheetData>
    <row r="1" spans="1:11" s="27" customFormat="1" ht="12.75">
      <c r="A1" s="19"/>
      <c r="C1" s="2"/>
      <c r="D1" s="2"/>
      <c r="E1" s="3"/>
      <c r="F1" s="3"/>
      <c r="G1" s="3"/>
      <c r="H1" s="2"/>
      <c r="I1" s="3"/>
      <c r="J1" s="3"/>
      <c r="K1" s="3"/>
    </row>
    <row r="2" spans="1:11" s="27" customFormat="1" ht="12.75">
      <c r="A2" s="19"/>
      <c r="B2" s="299" t="s">
        <v>559</v>
      </c>
      <c r="C2" s="299"/>
      <c r="D2" s="299"/>
      <c r="E2" s="299"/>
      <c r="F2" s="299"/>
    </row>
    <row r="3" spans="1:11" s="27" customFormat="1" ht="12.75">
      <c r="A3" s="19"/>
      <c r="C3" s="2"/>
      <c r="D3" s="2"/>
      <c r="E3" s="3"/>
      <c r="F3" s="3"/>
      <c r="G3" s="3"/>
      <c r="H3" s="2"/>
      <c r="I3" s="3"/>
      <c r="J3" s="3"/>
      <c r="K3" s="3"/>
    </row>
    <row r="4" spans="1:11" s="27" customFormat="1" ht="12.75">
      <c r="A4" s="19"/>
      <c r="B4" s="2" t="s">
        <v>29</v>
      </c>
      <c r="C4" s="4">
        <v>3.28</v>
      </c>
      <c r="F4" s="3"/>
      <c r="G4" s="3"/>
      <c r="J4" s="3"/>
      <c r="K4" s="3"/>
    </row>
    <row r="5" spans="1:11" s="27" customFormat="1" ht="12.75">
      <c r="A5" s="19"/>
      <c r="C5" s="2"/>
      <c r="D5" s="2"/>
      <c r="E5" s="3"/>
      <c r="F5" s="3"/>
      <c r="G5" s="3"/>
      <c r="H5" s="2"/>
      <c r="I5" s="3"/>
      <c r="J5" s="3"/>
      <c r="K5" s="3"/>
    </row>
    <row r="6" spans="1:11" ht="38.25">
      <c r="A6" s="148" t="s">
        <v>407</v>
      </c>
      <c r="B6" s="149" t="s">
        <v>560</v>
      </c>
      <c r="C6" s="149" t="s">
        <v>561</v>
      </c>
      <c r="D6" s="149" t="s">
        <v>562</v>
      </c>
      <c r="E6" s="149" t="s">
        <v>563</v>
      </c>
      <c r="F6" s="149" t="s">
        <v>564</v>
      </c>
      <c r="G6" s="149" t="s">
        <v>565</v>
      </c>
    </row>
    <row r="7" spans="1:11" ht="12.75">
      <c r="A7" s="150">
        <v>1</v>
      </c>
      <c r="B7" s="151" t="s">
        <v>566</v>
      </c>
      <c r="C7" s="152"/>
      <c r="D7" s="152"/>
      <c r="E7" s="152"/>
      <c r="F7" s="152"/>
      <c r="G7" s="152"/>
    </row>
    <row r="8" spans="1:11" ht="12.75">
      <c r="A8" s="150">
        <v>1.1000000000000001</v>
      </c>
      <c r="B8" s="150" t="s">
        <v>567</v>
      </c>
      <c r="C8" s="150">
        <v>5</v>
      </c>
      <c r="D8" s="150">
        <v>2</v>
      </c>
      <c r="E8" s="153">
        <v>12000</v>
      </c>
      <c r="F8" s="153">
        <f>+D8*E8*C8</f>
        <v>120000</v>
      </c>
      <c r="G8" s="153">
        <f>+F8/$C$4</f>
        <v>36585.365853658535</v>
      </c>
    </row>
    <row r="9" spans="1:11" ht="12.75">
      <c r="A9" s="150">
        <v>1.2</v>
      </c>
      <c r="B9" s="150" t="s">
        <v>568</v>
      </c>
      <c r="C9" s="150">
        <v>5</v>
      </c>
      <c r="D9" s="150">
        <v>2</v>
      </c>
      <c r="E9" s="153">
        <v>12000</v>
      </c>
      <c r="F9" s="153">
        <f t="shared" ref="F9:F11" si="0">+D9*E9*C9</f>
        <v>120000</v>
      </c>
      <c r="G9" s="153">
        <f t="shared" ref="G9:G10" si="1">+F9/$C$4</f>
        <v>36585.365853658535</v>
      </c>
    </row>
    <row r="10" spans="1:11" ht="12.75">
      <c r="A10" s="150">
        <v>1.3</v>
      </c>
      <c r="B10" s="150" t="s">
        <v>569</v>
      </c>
      <c r="C10" s="150">
        <v>5</v>
      </c>
      <c r="D10" s="150">
        <v>2</v>
      </c>
      <c r="E10" s="153">
        <v>12000</v>
      </c>
      <c r="F10" s="153">
        <f t="shared" si="0"/>
        <v>120000</v>
      </c>
      <c r="G10" s="153">
        <f t="shared" si="1"/>
        <v>36585.365853658535</v>
      </c>
    </row>
    <row r="11" spans="1:11" ht="12.75">
      <c r="A11" s="150"/>
      <c r="B11" s="150"/>
      <c r="C11" s="150"/>
      <c r="D11" s="150"/>
      <c r="E11" s="153"/>
      <c r="F11" s="153">
        <f t="shared" si="0"/>
        <v>0</v>
      </c>
      <c r="G11" s="153"/>
    </row>
    <row r="12" spans="1:11" ht="12.75">
      <c r="A12" s="150"/>
      <c r="B12" s="151" t="s">
        <v>570</v>
      </c>
      <c r="C12" s="150"/>
      <c r="D12" s="150"/>
      <c r="E12" s="153"/>
      <c r="F12" s="154">
        <f>SUM(F8:F11)</f>
        <v>360000</v>
      </c>
      <c r="G12" s="154">
        <f>SUM(G8:G11)</f>
        <v>109756.09756097561</v>
      </c>
    </row>
    <row r="13" spans="1:11" ht="12.75">
      <c r="A13" s="150">
        <v>2</v>
      </c>
      <c r="B13" s="151" t="s">
        <v>571</v>
      </c>
      <c r="C13" s="150"/>
      <c r="D13" s="150"/>
      <c r="E13" s="153"/>
      <c r="F13" s="153"/>
      <c r="G13" s="153"/>
    </row>
    <row r="14" spans="1:11" s="9" customFormat="1" ht="12.75">
      <c r="A14" s="208">
        <v>2.1</v>
      </c>
      <c r="B14" s="208" t="s">
        <v>572</v>
      </c>
      <c r="C14" s="208">
        <v>3</v>
      </c>
      <c r="D14" s="208"/>
      <c r="E14" s="209">
        <v>18000</v>
      </c>
      <c r="F14" s="209">
        <f>+C14*E14</f>
        <v>54000</v>
      </c>
      <c r="G14" s="209">
        <f t="shared" ref="G14:G15" si="2">+F14/$C$4</f>
        <v>16463.414634146342</v>
      </c>
    </row>
    <row r="15" spans="1:11" ht="12.75">
      <c r="A15" s="150">
        <v>2.2000000000000002</v>
      </c>
      <c r="B15" s="150" t="s">
        <v>573</v>
      </c>
      <c r="C15" s="150">
        <f>30*5</f>
        <v>150</v>
      </c>
      <c r="D15" s="150"/>
      <c r="E15" s="153">
        <v>100</v>
      </c>
      <c r="F15" s="153">
        <f>+C15*E15</f>
        <v>15000</v>
      </c>
      <c r="G15" s="153">
        <f t="shared" si="2"/>
        <v>4573.1707317073169</v>
      </c>
    </row>
    <row r="16" spans="1:11" ht="12.75">
      <c r="A16" s="150"/>
      <c r="B16" s="151" t="s">
        <v>570</v>
      </c>
      <c r="C16" s="150"/>
      <c r="D16" s="150"/>
      <c r="E16" s="153"/>
      <c r="F16" s="154">
        <f>SUM(F14:F15)</f>
        <v>69000</v>
      </c>
      <c r="G16" s="154">
        <f>SUM(G14:G15)</f>
        <v>21036.585365853658</v>
      </c>
    </row>
    <row r="17" spans="1:7" ht="12.75">
      <c r="A17" s="150"/>
      <c r="B17" s="155"/>
      <c r="C17" s="150"/>
      <c r="D17" s="150"/>
      <c r="E17" s="150"/>
      <c r="F17" s="153"/>
      <c r="G17" s="153"/>
    </row>
    <row r="18" spans="1:7" ht="12.75">
      <c r="A18" s="150">
        <v>3</v>
      </c>
      <c r="B18" s="151" t="s">
        <v>574</v>
      </c>
      <c r="C18" s="150"/>
      <c r="D18" s="150"/>
      <c r="E18" s="150"/>
      <c r="F18" s="150"/>
      <c r="G18" s="150"/>
    </row>
    <row r="19" spans="1:7" ht="12.75">
      <c r="A19" s="150">
        <v>3.3</v>
      </c>
      <c r="B19" s="150" t="s">
        <v>575</v>
      </c>
      <c r="C19" s="150">
        <f>+SUM(C8:C10)*3*5</f>
        <v>225</v>
      </c>
      <c r="D19" s="150"/>
      <c r="E19" s="153">
        <v>600</v>
      </c>
      <c r="F19" s="153">
        <f>+C19*E19</f>
        <v>135000</v>
      </c>
      <c r="G19" s="153">
        <f t="shared" ref="G19:G20" si="3">+F19/$C$4</f>
        <v>41158.536585365859</v>
      </c>
    </row>
    <row r="20" spans="1:7" ht="12.75">
      <c r="A20" s="150">
        <v>3.5</v>
      </c>
      <c r="B20" s="150" t="s">
        <v>576</v>
      </c>
      <c r="C20" s="150">
        <f>175*5</f>
        <v>875</v>
      </c>
      <c r="D20" s="150"/>
      <c r="E20" s="153">
        <v>300</v>
      </c>
      <c r="F20" s="153">
        <f t="shared" ref="F20" si="4">+C20*E20</f>
        <v>262500</v>
      </c>
      <c r="G20" s="153">
        <f t="shared" si="3"/>
        <v>80030.487804878052</v>
      </c>
    </row>
    <row r="21" spans="1:7" ht="12.75">
      <c r="A21" s="150"/>
      <c r="B21" s="151" t="s">
        <v>570</v>
      </c>
      <c r="C21" s="150"/>
      <c r="D21" s="150"/>
      <c r="E21" s="150"/>
      <c r="F21" s="154">
        <f>SUM(F19:F20)</f>
        <v>397500</v>
      </c>
      <c r="G21" s="154">
        <f>SUM(G19:G20)</f>
        <v>121189.02439024391</v>
      </c>
    </row>
    <row r="22" spans="1:7" ht="12.75">
      <c r="A22" s="150"/>
      <c r="B22" s="151" t="s">
        <v>577</v>
      </c>
      <c r="C22" s="151"/>
      <c r="D22" s="151"/>
      <c r="E22" s="151"/>
      <c r="F22" s="154">
        <f>+F21+F16+F12</f>
        <v>826500</v>
      </c>
      <c r="G22" s="154">
        <f>+G21+G16+G12</f>
        <v>251981.70731707319</v>
      </c>
    </row>
    <row r="23" spans="1:7" ht="12.75">
      <c r="A23" s="150"/>
      <c r="B23" s="150" t="s">
        <v>578</v>
      </c>
      <c r="C23" s="150"/>
      <c r="D23" s="150"/>
      <c r="E23" s="150"/>
      <c r="F23" s="153">
        <f>+F22*0.18</f>
        <v>148770</v>
      </c>
      <c r="G23" s="153">
        <f>+G22*0.18</f>
        <v>45356.707317073175</v>
      </c>
    </row>
    <row r="24" spans="1:7" ht="12.75">
      <c r="A24" s="150"/>
      <c r="B24" s="151" t="s">
        <v>570</v>
      </c>
      <c r="C24" s="151"/>
      <c r="D24" s="151"/>
      <c r="E24" s="151"/>
      <c r="F24" s="154">
        <f>+F22+F23</f>
        <v>975270</v>
      </c>
      <c r="G24" s="154">
        <f>+G22+G23</f>
        <v>297338.41463414638</v>
      </c>
    </row>
    <row r="25" spans="1:7" ht="12.75">
      <c r="A25" s="150"/>
      <c r="B25" s="150" t="s">
        <v>579</v>
      </c>
      <c r="C25" s="150"/>
      <c r="D25" s="150"/>
      <c r="E25" s="150"/>
      <c r="F25" s="153">
        <f>+F24*0.18</f>
        <v>175548.6</v>
      </c>
      <c r="G25" s="153">
        <f>+G24*0.18</f>
        <v>53520.914634146349</v>
      </c>
    </row>
    <row r="26" spans="1:7" ht="12.75">
      <c r="A26" s="148"/>
      <c r="B26" s="148" t="s">
        <v>6</v>
      </c>
      <c r="C26" s="148"/>
      <c r="D26" s="148"/>
      <c r="E26" s="148"/>
      <c r="F26" s="156">
        <f>+F24+F25</f>
        <v>1150818.6000000001</v>
      </c>
      <c r="G26" s="156">
        <f>+G24+G25</f>
        <v>350859.32926829276</v>
      </c>
    </row>
    <row r="27" spans="1:7">
      <c r="F27" s="52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Cueva Guayama, Ana Rosa</cp:lastModifiedBy>
  <cp:revision/>
  <dcterms:created xsi:type="dcterms:W3CDTF">2013-10-30T13:45:04Z</dcterms:created>
  <dcterms:modified xsi:type="dcterms:W3CDTF">2017-11-10T17:31:44Z</dcterms:modified>
  <cp:category/>
  <cp:contentStatus/>
</cp:coreProperties>
</file>