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9230" windowHeight="8310"/>
  </bookViews>
  <sheets>
    <sheet name="Sheet1" sheetId="50" r:id="rId1"/>
    <sheet name="con CTF y GLM en C1" sheetId="47" r:id="rId2"/>
    <sheet name="Resumen Costo - Desembolsos" sheetId="49" r:id="rId3"/>
    <sheet name="Geotermia" sheetId="48" r:id="rId4"/>
    <sheet name="Transmision" sheetId="30" r:id="rId5"/>
    <sheet name="Detalle Subest." sheetId="46" r:id="rId6"/>
  </sheets>
  <definedNames>
    <definedName name="_xlnm.Print_Area" localSheetId="1">'con CTF y GLM en C1'!$B$1:$L$21</definedName>
    <definedName name="_xlnm.Print_Area" localSheetId="3">Geotermia!$A$1:$G$31</definedName>
    <definedName name="_xlnm.Print_Area" localSheetId="4">Transmision!$A$1:$F$30</definedName>
  </definedNames>
  <calcPr calcId="145621"/>
</workbook>
</file>

<file path=xl/calcChain.xml><?xml version="1.0" encoding="utf-8"?>
<calcChain xmlns="http://schemas.openxmlformats.org/spreadsheetml/2006/main">
  <c r="H9" i="49" l="1"/>
  <c r="G9" i="49"/>
  <c r="C9" i="49"/>
  <c r="G28" i="49" l="1"/>
  <c r="G27" i="49"/>
  <c r="G26" i="49"/>
  <c r="G25" i="49"/>
  <c r="G24" i="49"/>
  <c r="I9" i="49"/>
  <c r="B31" i="48"/>
  <c r="AY26" i="48" l="1"/>
  <c r="AX27" i="48"/>
  <c r="AY27" i="48" s="1"/>
  <c r="AY8" i="48" l="1"/>
  <c r="D14" i="50" l="1"/>
  <c r="D11" i="50"/>
  <c r="D10" i="50"/>
  <c r="AY18" i="48"/>
  <c r="AY17" i="48" l="1"/>
  <c r="E17" i="49" l="1"/>
  <c r="BL18" i="48" l="1"/>
  <c r="BL17" i="48"/>
  <c r="BL16" i="48"/>
  <c r="BL15" i="48"/>
  <c r="BL14" i="48"/>
  <c r="BL13" i="48"/>
  <c r="BL10" i="48"/>
  <c r="BL8" i="48"/>
  <c r="BL7" i="48"/>
  <c r="BL6" i="48"/>
  <c r="BL9" i="48"/>
  <c r="BK1" i="48"/>
  <c r="BK17" i="48" s="1"/>
  <c r="BJ1" i="48"/>
  <c r="BJ18" i="48" s="1"/>
  <c r="BI1" i="48"/>
  <c r="BI26" i="48" s="1"/>
  <c r="BH1" i="48"/>
  <c r="BH16" i="48" s="1"/>
  <c r="BK7" i="48" l="1"/>
  <c r="BJ19" i="48"/>
  <c r="BJ26" i="48"/>
  <c r="BJ10" i="48"/>
  <c r="BK14" i="48"/>
  <c r="BK19" i="48"/>
  <c r="BK26" i="48"/>
  <c r="BJ8" i="48"/>
  <c r="BK10" i="48"/>
  <c r="BK18" i="48"/>
  <c r="BJ23" i="48"/>
  <c r="BK8" i="48"/>
  <c r="BK23" i="48"/>
  <c r="BI16" i="48"/>
  <c r="BJ15" i="48"/>
  <c r="BJ16" i="48"/>
  <c r="BJ20" i="48"/>
  <c r="BJ24" i="48"/>
  <c r="BI10" i="48"/>
  <c r="BK15" i="48"/>
  <c r="BK16" i="48"/>
  <c r="BK20" i="48"/>
  <c r="BK24" i="48"/>
  <c r="BH13" i="48"/>
  <c r="BH17" i="48"/>
  <c r="BI6" i="48"/>
  <c r="BH7" i="48"/>
  <c r="BI13" i="48"/>
  <c r="BH14" i="48"/>
  <c r="BI17" i="48"/>
  <c r="BH18" i="48"/>
  <c r="BJ6" i="48"/>
  <c r="BI7" i="48"/>
  <c r="BH8" i="48"/>
  <c r="BJ13" i="48"/>
  <c r="BI14" i="48"/>
  <c r="BH15" i="48"/>
  <c r="BJ17" i="48"/>
  <c r="BI18" i="48"/>
  <c r="BH19" i="48"/>
  <c r="BH20" i="48"/>
  <c r="BH23" i="48"/>
  <c r="BH24" i="48"/>
  <c r="BH26" i="48"/>
  <c r="BK6" i="48"/>
  <c r="BJ7" i="48"/>
  <c r="BI8" i="48"/>
  <c r="BH10" i="48"/>
  <c r="BK13" i="48"/>
  <c r="BJ14" i="48"/>
  <c r="BI15" i="48"/>
  <c r="BI19" i="48"/>
  <c r="BI20" i="48"/>
  <c r="BI23" i="48"/>
  <c r="BI24" i="48"/>
  <c r="H33" i="49"/>
  <c r="G33" i="49"/>
  <c r="F33" i="49"/>
  <c r="E33" i="49"/>
  <c r="D33" i="49"/>
  <c r="C33" i="49"/>
  <c r="H32" i="49"/>
  <c r="G32" i="49"/>
  <c r="F32" i="49"/>
  <c r="E32" i="49"/>
  <c r="D32" i="49"/>
  <c r="C32" i="49"/>
  <c r="H31" i="49"/>
  <c r="G31" i="49"/>
  <c r="F31" i="49"/>
  <c r="E31" i="49"/>
  <c r="D31" i="49"/>
  <c r="C31" i="49"/>
  <c r="I17" i="49"/>
  <c r="D17" i="49"/>
  <c r="C17" i="49"/>
  <c r="I16" i="49"/>
  <c r="E16" i="49"/>
  <c r="D16" i="49"/>
  <c r="C16" i="49"/>
  <c r="I15" i="49"/>
  <c r="E15" i="49"/>
  <c r="D15" i="49"/>
  <c r="C15" i="49"/>
  <c r="I14" i="49"/>
  <c r="E14" i="49"/>
  <c r="D14" i="49"/>
  <c r="C14" i="49"/>
  <c r="I12" i="49"/>
  <c r="E12" i="49"/>
  <c r="D12" i="49"/>
  <c r="C12" i="49"/>
  <c r="D34" i="49" l="1"/>
  <c r="E34" i="49"/>
  <c r="F34" i="49"/>
  <c r="G34" i="49"/>
  <c r="C34" i="49"/>
  <c r="AR24" i="30" l="1"/>
  <c r="BL20" i="48"/>
  <c r="BL19" i="48"/>
  <c r="AY16" i="48"/>
  <c r="AY15" i="48"/>
  <c r="AY14" i="48"/>
  <c r="AT9" i="48"/>
  <c r="BF9" i="48"/>
  <c r="AU9" i="48"/>
  <c r="AR9" i="48"/>
  <c r="AN9" i="48"/>
  <c r="AM9" i="48"/>
  <c r="AK9" i="48"/>
  <c r="AD9" i="48"/>
  <c r="Z9" i="48"/>
  <c r="Y9" i="48"/>
  <c r="W9" i="48"/>
  <c r="P9" i="48"/>
  <c r="L9" i="48"/>
  <c r="K9" i="48"/>
  <c r="I9" i="48"/>
  <c r="B9" i="48"/>
  <c r="BL26" i="48" l="1"/>
  <c r="BH6" i="48"/>
  <c r="BO9" i="48"/>
  <c r="Q9" i="48"/>
  <c r="AE9" i="48"/>
  <c r="AS9" i="48"/>
  <c r="R9" i="48"/>
  <c r="AF9" i="48"/>
  <c r="J9" i="48"/>
  <c r="S9" i="48"/>
  <c r="X9" i="48"/>
  <c r="AG9" i="48"/>
  <c r="AL9" i="48"/>
  <c r="BL23" i="48" l="1"/>
  <c r="BL24" i="48"/>
  <c r="D9" i="48"/>
  <c r="E9" i="48"/>
  <c r="BR9" i="48" s="1"/>
  <c r="C9" i="48"/>
  <c r="BQ9" i="48"/>
  <c r="AO9" i="48"/>
  <c r="AP9" i="48" s="1"/>
  <c r="AA9" i="48"/>
  <c r="AB9" i="48" s="1"/>
  <c r="M9" i="48"/>
  <c r="N9" i="48" s="1"/>
  <c r="AV9" i="48"/>
  <c r="AW9" i="48" s="1"/>
  <c r="AH9" i="48"/>
  <c r="AI9" i="48" s="1"/>
  <c r="T9" i="48"/>
  <c r="U9" i="48" s="1"/>
  <c r="BM9" i="48"/>
  <c r="BP9" i="48" l="1"/>
  <c r="F9" i="48"/>
  <c r="G9" i="48" s="1"/>
  <c r="BS9" i="48" l="1"/>
  <c r="BT9" i="48" s="1"/>
  <c r="AY9" i="30" l="1"/>
  <c r="AM9" i="30"/>
  <c r="AL9" i="30"/>
  <c r="AG9" i="30"/>
  <c r="AB9" i="30"/>
  <c r="T9" i="30"/>
  <c r="O9" i="30"/>
  <c r="N9" i="30"/>
  <c r="I9" i="30"/>
  <c r="BB13" i="30"/>
  <c r="AQ25" i="30"/>
  <c r="AR25" i="30" s="1"/>
  <c r="AR8" i="30" s="1"/>
  <c r="BC1" i="30"/>
  <c r="BB22" i="30"/>
  <c r="BB21" i="30"/>
  <c r="BB20" i="30"/>
  <c r="BB18" i="30"/>
  <c r="BB17" i="30"/>
  <c r="BB16" i="30"/>
  <c r="BB15" i="30"/>
  <c r="BB14" i="30"/>
  <c r="BB10" i="30"/>
  <c r="BB8" i="30"/>
  <c r="BB7" i="30"/>
  <c r="BB6" i="30"/>
  <c r="Q28" i="30"/>
  <c r="W28" i="30"/>
  <c r="AC28" i="30"/>
  <c r="AI28" i="30"/>
  <c r="K28" i="30"/>
  <c r="AR20" i="30"/>
  <c r="AR17" i="30"/>
  <c r="AR16" i="30"/>
  <c r="AR15" i="30"/>
  <c r="AR14" i="30"/>
  <c r="AR13" i="30"/>
  <c r="J9" i="30" l="1"/>
  <c r="AH9" i="30"/>
  <c r="BD9" i="30"/>
  <c r="Q9" i="30" s="1"/>
  <c r="K9" i="30"/>
  <c r="P9" i="30"/>
  <c r="U9" i="30"/>
  <c r="Z9" i="30"/>
  <c r="AI9" i="30"/>
  <c r="AN9" i="30"/>
  <c r="H9" i="30"/>
  <c r="V9" i="30"/>
  <c r="AA9" i="30"/>
  <c r="AF9" i="30"/>
  <c r="BC10" i="30"/>
  <c r="BD10" i="30" s="1"/>
  <c r="BC7" i="30"/>
  <c r="BD7" i="30" s="1"/>
  <c r="BC13" i="30"/>
  <c r="BC15" i="30"/>
  <c r="BC20" i="30"/>
  <c r="BC6" i="30"/>
  <c r="BD6" i="30" s="1"/>
  <c r="BC8" i="30"/>
  <c r="BD8" i="30" s="1"/>
  <c r="BC17" i="30"/>
  <c r="BC22" i="30"/>
  <c r="BC14" i="30"/>
  <c r="BC16" i="30"/>
  <c r="BC18" i="30"/>
  <c r="BC21" i="30"/>
  <c r="R9" i="30" l="1"/>
  <c r="C9" i="30"/>
  <c r="BH9" i="30" s="1"/>
  <c r="D9" i="30"/>
  <c r="BI9" i="30" s="1"/>
  <c r="AC9" i="30"/>
  <c r="W9" i="30"/>
  <c r="BE9" i="30"/>
  <c r="AO9" i="30"/>
  <c r="AP9" i="30" s="1"/>
  <c r="AJ9" i="30"/>
  <c r="L9" i="30"/>
  <c r="B9" i="30"/>
  <c r="BD24" i="30"/>
  <c r="E9" i="30" l="1"/>
  <c r="BJ9" i="30" s="1"/>
  <c r="X9" i="30"/>
  <c r="AD9" i="30"/>
  <c r="BG9" i="30"/>
  <c r="F9" i="30" l="1"/>
  <c r="BK9" i="30"/>
  <c r="AO23" i="48"/>
  <c r="BF23" i="48"/>
  <c r="AU23" i="48"/>
  <c r="AT23" i="48"/>
  <c r="AS23" i="48"/>
  <c r="AR23" i="48"/>
  <c r="AN23" i="48"/>
  <c r="AM23" i="48"/>
  <c r="AL23" i="48"/>
  <c r="AK23" i="48"/>
  <c r="AG23" i="48"/>
  <c r="AF23" i="48"/>
  <c r="AE23" i="48"/>
  <c r="AD23" i="48"/>
  <c r="Z23" i="48"/>
  <c r="Y23" i="48"/>
  <c r="X23" i="48"/>
  <c r="W23" i="48"/>
  <c r="S23" i="48"/>
  <c r="R23" i="48"/>
  <c r="Q23" i="48"/>
  <c r="P23" i="48"/>
  <c r="L23" i="48"/>
  <c r="K23" i="48"/>
  <c r="J23" i="48"/>
  <c r="I23" i="48"/>
  <c r="BF13" i="48"/>
  <c r="E23" i="48" l="1"/>
  <c r="BR23" i="48" s="1"/>
  <c r="D23" i="48"/>
  <c r="BQ23" i="48" s="1"/>
  <c r="AP23" i="48"/>
  <c r="B23" i="48"/>
  <c r="BO23" i="48" s="1"/>
  <c r="T23" i="48"/>
  <c r="U23" i="48" s="1"/>
  <c r="AV23" i="48"/>
  <c r="AW23" i="48" s="1"/>
  <c r="BM23" i="48"/>
  <c r="C23" i="48"/>
  <c r="BP23" i="48" s="1"/>
  <c r="AH23" i="48"/>
  <c r="AI23" i="48" s="1"/>
  <c r="M23" i="48"/>
  <c r="N23" i="48" s="1"/>
  <c r="AA23" i="48"/>
  <c r="AB23" i="48" s="1"/>
  <c r="BM13" i="48"/>
  <c r="F23" i="48" l="1"/>
  <c r="G23" i="48" s="1"/>
  <c r="G51" i="30"/>
  <c r="H51" i="30" s="1"/>
  <c r="I51" i="30" s="1"/>
  <c r="J51" i="30" s="1"/>
  <c r="K51" i="30" s="1"/>
  <c r="L51" i="30" s="1"/>
  <c r="M51" i="30" s="1"/>
  <c r="N51" i="30" s="1"/>
  <c r="F51" i="30"/>
  <c r="E87" i="30"/>
  <c r="AL26" i="30"/>
  <c r="H26" i="30"/>
  <c r="B28" i="30"/>
  <c r="C28" i="30"/>
  <c r="BH28" i="30" s="1"/>
  <c r="E48" i="30"/>
  <c r="D48" i="30"/>
  <c r="F35" i="30"/>
  <c r="E35" i="30"/>
  <c r="BK4" i="30"/>
  <c r="BJ4" i="30"/>
  <c r="BI4" i="30"/>
  <c r="BH4" i="30"/>
  <c r="BG4" i="30"/>
  <c r="BE4" i="30"/>
  <c r="BD4" i="30"/>
  <c r="BC4" i="30"/>
  <c r="BB4" i="30"/>
  <c r="BA4" i="30"/>
  <c r="AP4" i="30"/>
  <c r="AO4" i="30"/>
  <c r="AN4" i="30"/>
  <c r="AM4" i="30"/>
  <c r="AL4" i="30"/>
  <c r="AJ4" i="30"/>
  <c r="AI4" i="30"/>
  <c r="AH4" i="30"/>
  <c r="AG4" i="30"/>
  <c r="AF4" i="30"/>
  <c r="AD4" i="30"/>
  <c r="AC4" i="30"/>
  <c r="AB4" i="30"/>
  <c r="AA4" i="30"/>
  <c r="Z4" i="30"/>
  <c r="X4" i="30"/>
  <c r="W4" i="30"/>
  <c r="V4" i="30"/>
  <c r="U4" i="30"/>
  <c r="T4" i="30"/>
  <c r="R4" i="30"/>
  <c r="Q4" i="30"/>
  <c r="P4" i="30"/>
  <c r="O4" i="30"/>
  <c r="N4" i="30"/>
  <c r="L4" i="30"/>
  <c r="K4" i="30"/>
  <c r="J4" i="30"/>
  <c r="I4" i="30"/>
  <c r="H4" i="30"/>
  <c r="BS23" i="48" l="1"/>
  <c r="BT23" i="48" s="1"/>
  <c r="BG28" i="30"/>
  <c r="BT4" i="48"/>
  <c r="BS4" i="48"/>
  <c r="BR4" i="48"/>
  <c r="BQ4" i="48"/>
  <c r="BP4" i="48"/>
  <c r="BO4" i="48"/>
  <c r="BR29" i="48"/>
  <c r="BR28" i="48" s="1"/>
  <c r="BQ29" i="48"/>
  <c r="BQ28" i="48" s="1"/>
  <c r="BP29" i="48"/>
  <c r="BP28" i="48" s="1"/>
  <c r="BM4" i="48"/>
  <c r="BL4" i="48"/>
  <c r="BK4" i="48"/>
  <c r="BJ4" i="48"/>
  <c r="BI4" i="48"/>
  <c r="BH4" i="48"/>
  <c r="AW4" i="48"/>
  <c r="AV4" i="48"/>
  <c r="AU4" i="48"/>
  <c r="AT4" i="48"/>
  <c r="AS4" i="48"/>
  <c r="AR4" i="48"/>
  <c r="AP4" i="48"/>
  <c r="AO4" i="48"/>
  <c r="AN4" i="48"/>
  <c r="AM4" i="48"/>
  <c r="AL4" i="48"/>
  <c r="AK4" i="48"/>
  <c r="AI4" i="48"/>
  <c r="AH4" i="48"/>
  <c r="AG4" i="48"/>
  <c r="AF4" i="48"/>
  <c r="AE4" i="48"/>
  <c r="AD4" i="48"/>
  <c r="AB4" i="48"/>
  <c r="AA4" i="48"/>
  <c r="Z4" i="48"/>
  <c r="Y4" i="48"/>
  <c r="X4" i="48"/>
  <c r="W4" i="48"/>
  <c r="U4" i="48"/>
  <c r="T4" i="48"/>
  <c r="S4" i="48"/>
  <c r="R4" i="48"/>
  <c r="Q4" i="48"/>
  <c r="P4" i="48"/>
  <c r="N4" i="48"/>
  <c r="M4" i="48"/>
  <c r="L4" i="48"/>
  <c r="K4" i="48"/>
  <c r="J4" i="48"/>
  <c r="I4" i="48"/>
  <c r="H13" i="49" l="1"/>
  <c r="H18" i="49" s="1"/>
  <c r="G13" i="49"/>
  <c r="G18" i="49" s="1"/>
  <c r="F13" i="49"/>
  <c r="F18" i="49" s="1"/>
  <c r="E6" i="49"/>
  <c r="E11" i="49" s="1"/>
  <c r="D6" i="49"/>
  <c r="D11" i="49" s="1"/>
  <c r="D4" i="49" l="1"/>
  <c r="E4" i="49"/>
  <c r="B12" i="49"/>
  <c r="B13" i="49"/>
  <c r="B14" i="49"/>
  <c r="B15" i="49"/>
  <c r="B16" i="49"/>
  <c r="B17" i="49"/>
  <c r="C4" i="49"/>
  <c r="B24" i="49" s="1"/>
  <c r="F4" i="49"/>
  <c r="B26" i="49" s="1"/>
  <c r="G4" i="49"/>
  <c r="B25" i="49" s="1"/>
  <c r="H4" i="49"/>
  <c r="B27" i="49" s="1"/>
  <c r="B5" i="49"/>
  <c r="B6" i="49"/>
  <c r="B7" i="49"/>
  <c r="B8" i="49"/>
  <c r="B9" i="49"/>
  <c r="B10" i="49"/>
  <c r="C23" i="49"/>
  <c r="D23" i="49" s="1"/>
  <c r="E23" i="49" s="1"/>
  <c r="F23" i="49" s="1"/>
  <c r="G23" i="49" s="1"/>
  <c r="H23" i="49" s="1"/>
  <c r="P3" i="48"/>
  <c r="W3" i="48" s="1"/>
  <c r="AD3" i="48" s="1"/>
  <c r="AK3" i="48" s="1"/>
  <c r="AR3" i="48" s="1"/>
  <c r="AZ4" i="48"/>
  <c r="BA4" i="48" s="1"/>
  <c r="BB4" i="48" s="1"/>
  <c r="BC4" i="48" s="1"/>
  <c r="BD4" i="48" s="1"/>
  <c r="BE4" i="48" s="1"/>
  <c r="I6" i="48"/>
  <c r="J6" i="48"/>
  <c r="K6" i="48"/>
  <c r="L6" i="48"/>
  <c r="P6" i="48"/>
  <c r="Q6" i="48"/>
  <c r="R6" i="48"/>
  <c r="S6" i="48"/>
  <c r="W6" i="48"/>
  <c r="X6" i="48"/>
  <c r="Y6" i="48"/>
  <c r="Z6" i="48"/>
  <c r="AD6" i="48"/>
  <c r="AE6" i="48"/>
  <c r="AF6" i="48"/>
  <c r="AG6" i="48"/>
  <c r="AK6" i="48"/>
  <c r="AL6" i="48"/>
  <c r="AM6" i="48"/>
  <c r="AN6" i="48"/>
  <c r="AR6" i="48"/>
  <c r="AS6" i="48"/>
  <c r="AT6" i="48"/>
  <c r="AU6" i="48"/>
  <c r="BF6" i="48"/>
  <c r="AA6" i="48"/>
  <c r="I7" i="48"/>
  <c r="J7" i="48"/>
  <c r="K7" i="48"/>
  <c r="L7" i="48"/>
  <c r="P7" i="48"/>
  <c r="Q7" i="48"/>
  <c r="R7" i="48"/>
  <c r="S7" i="48"/>
  <c r="W7" i="48"/>
  <c r="X7" i="48"/>
  <c r="Y7" i="48"/>
  <c r="Z7" i="48"/>
  <c r="AD7" i="48"/>
  <c r="AE7" i="48"/>
  <c r="AF7" i="48"/>
  <c r="AG7" i="48"/>
  <c r="AK7" i="48"/>
  <c r="AL7" i="48"/>
  <c r="AM7" i="48"/>
  <c r="AN7" i="48"/>
  <c r="AR7" i="48"/>
  <c r="AS7" i="48"/>
  <c r="AT7" i="48"/>
  <c r="AU7" i="48"/>
  <c r="BF7" i="48"/>
  <c r="M7" i="48"/>
  <c r="BF8" i="48"/>
  <c r="I10" i="48"/>
  <c r="J10" i="48"/>
  <c r="K10" i="48"/>
  <c r="L10" i="48"/>
  <c r="P10" i="48"/>
  <c r="Q10" i="48"/>
  <c r="R10" i="48"/>
  <c r="S10" i="48"/>
  <c r="W10" i="48"/>
  <c r="X10" i="48"/>
  <c r="Y10" i="48"/>
  <c r="Z10" i="48"/>
  <c r="AD10" i="48"/>
  <c r="AE10" i="48"/>
  <c r="AF10" i="48"/>
  <c r="AG10" i="48"/>
  <c r="AK10" i="48"/>
  <c r="AL10" i="48"/>
  <c r="AM10" i="48"/>
  <c r="AN10" i="48"/>
  <c r="AR10" i="48"/>
  <c r="AS10" i="48"/>
  <c r="AT10" i="48"/>
  <c r="AU10" i="48"/>
  <c r="BF10" i="48"/>
  <c r="AV10" i="48"/>
  <c r="BF20" i="48"/>
  <c r="BM20" i="48"/>
  <c r="AY21" i="48"/>
  <c r="I21" i="48" s="1"/>
  <c r="BF21" i="48"/>
  <c r="BL21" i="48"/>
  <c r="BF14" i="48"/>
  <c r="BF15" i="48"/>
  <c r="BF16" i="48"/>
  <c r="BF17" i="48"/>
  <c r="AN18" i="48"/>
  <c r="BF18" i="48"/>
  <c r="BM18" i="48"/>
  <c r="AY19" i="48"/>
  <c r="I19" i="48" s="1"/>
  <c r="BF19" i="48"/>
  <c r="BM19" i="48"/>
  <c r="I24" i="48"/>
  <c r="J24" i="48"/>
  <c r="K24" i="48"/>
  <c r="L24" i="48"/>
  <c r="P24" i="48"/>
  <c r="Q24" i="48"/>
  <c r="R24" i="48"/>
  <c r="S24" i="48"/>
  <c r="W24" i="48"/>
  <c r="X24" i="48"/>
  <c r="Y24" i="48"/>
  <c r="Z24" i="48"/>
  <c r="AD24" i="48"/>
  <c r="AE24" i="48"/>
  <c r="AF24" i="48"/>
  <c r="AG24" i="48"/>
  <c r="AK24" i="48"/>
  <c r="AL24" i="48"/>
  <c r="AM24" i="48"/>
  <c r="AN24" i="48"/>
  <c r="AR24" i="48"/>
  <c r="AS24" i="48"/>
  <c r="AT24" i="48"/>
  <c r="AU24" i="48"/>
  <c r="BF24" i="48"/>
  <c r="T24" i="48"/>
  <c r="BF26" i="48"/>
  <c r="BF27" i="48"/>
  <c r="BL27" i="48"/>
  <c r="C28" i="48"/>
  <c r="F10" i="49" s="1"/>
  <c r="D28" i="48"/>
  <c r="G10" i="49" s="1"/>
  <c r="E28" i="48"/>
  <c r="H10" i="49" s="1"/>
  <c r="AS28" i="48"/>
  <c r="AT28" i="48"/>
  <c r="AU28" i="48"/>
  <c r="F46" i="48"/>
  <c r="G46" i="48" s="1"/>
  <c r="H46" i="48" s="1"/>
  <c r="I46" i="48" s="1"/>
  <c r="J46" i="48" s="1"/>
  <c r="K46" i="48" s="1"/>
  <c r="L46" i="48" s="1"/>
  <c r="M46" i="48" s="1"/>
  <c r="N46" i="48" s="1"/>
  <c r="O46" i="48" s="1"/>
  <c r="P46" i="48" s="1"/>
  <c r="A47" i="48"/>
  <c r="A56" i="48" s="1"/>
  <c r="G49" i="48"/>
  <c r="H49" i="48" s="1"/>
  <c r="I49" i="48" s="1"/>
  <c r="J49" i="48" s="1"/>
  <c r="K49" i="48" s="1"/>
  <c r="L49" i="48" s="1"/>
  <c r="M49" i="48" s="1"/>
  <c r="N49" i="48" s="1"/>
  <c r="O49" i="48" s="1"/>
  <c r="A50" i="48"/>
  <c r="A72" i="48" s="1"/>
  <c r="F59" i="48"/>
  <c r="L61" i="48"/>
  <c r="M61" i="48"/>
  <c r="N61" i="48"/>
  <c r="O61" i="48"/>
  <c r="F62" i="48"/>
  <c r="G62" i="48"/>
  <c r="H62" i="48"/>
  <c r="I62" i="48"/>
  <c r="J62" i="48"/>
  <c r="K62" i="48"/>
  <c r="L62" i="48"/>
  <c r="M62" i="48"/>
  <c r="N62" i="48"/>
  <c r="O62" i="48"/>
  <c r="F75" i="48"/>
  <c r="L77" i="48"/>
  <c r="M77" i="48"/>
  <c r="N77" i="48"/>
  <c r="O77" i="48"/>
  <c r="F78" i="48"/>
  <c r="G78" i="48"/>
  <c r="H78" i="48"/>
  <c r="I78" i="48"/>
  <c r="J78" i="48"/>
  <c r="K78" i="48"/>
  <c r="L78" i="48"/>
  <c r="M78" i="48"/>
  <c r="N78" i="48"/>
  <c r="O78" i="48"/>
  <c r="J8" i="47"/>
  <c r="AL21" i="48" l="1"/>
  <c r="J9" i="47"/>
  <c r="AH10" i="48"/>
  <c r="AI10" i="48" s="1"/>
  <c r="AE19" i="48"/>
  <c r="R19" i="48"/>
  <c r="M21" i="48"/>
  <c r="AT21" i="48"/>
  <c r="W21" i="48"/>
  <c r="AF21" i="48"/>
  <c r="AY13" i="48"/>
  <c r="AU21" i="48"/>
  <c r="Z21" i="48"/>
  <c r="AS15" i="48"/>
  <c r="Q19" i="48"/>
  <c r="AR19" i="48"/>
  <c r="Y19" i="48"/>
  <c r="L19" i="48"/>
  <c r="AG21" i="48"/>
  <c r="AD19" i="48"/>
  <c r="AV24" i="48"/>
  <c r="AW24" i="48" s="1"/>
  <c r="B24" i="48"/>
  <c r="BO24" i="48" s="1"/>
  <c r="AO19" i="48"/>
  <c r="AK19" i="48"/>
  <c r="W19" i="48"/>
  <c r="K19" i="48"/>
  <c r="E7" i="48"/>
  <c r="BR7" i="48" s="1"/>
  <c r="T10" i="48"/>
  <c r="U10" i="48" s="1"/>
  <c r="AA24" i="48"/>
  <c r="AB24" i="48" s="1"/>
  <c r="M24" i="48"/>
  <c r="N24" i="48" s="1"/>
  <c r="P78" i="48"/>
  <c r="AW10" i="48"/>
  <c r="AE17" i="48"/>
  <c r="AE16" i="48"/>
  <c r="AS16" i="48"/>
  <c r="AA18" i="48"/>
  <c r="AO21" i="48"/>
  <c r="BM24" i="48"/>
  <c r="AH24" i="48"/>
  <c r="AI24" i="48" s="1"/>
  <c r="L15" i="48"/>
  <c r="BM10" i="48"/>
  <c r="BM8" i="48"/>
  <c r="AG15" i="48"/>
  <c r="BM21" i="48"/>
  <c r="Z16" i="48"/>
  <c r="AN16" i="48"/>
  <c r="L16" i="48"/>
  <c r="AU16" i="48"/>
  <c r="Z17" i="48"/>
  <c r="AV19" i="48"/>
  <c r="K18" i="48"/>
  <c r="P18" i="48"/>
  <c r="T18" i="48"/>
  <c r="Y18" i="48"/>
  <c r="AD18" i="48"/>
  <c r="AH18" i="48"/>
  <c r="AM18" i="48"/>
  <c r="AR18" i="48"/>
  <c r="AV18" i="48"/>
  <c r="J18" i="48"/>
  <c r="Q18" i="48"/>
  <c r="W18" i="48"/>
  <c r="AO18" i="48"/>
  <c r="AU18" i="48"/>
  <c r="L18" i="48"/>
  <c r="R18" i="48"/>
  <c r="X18" i="48"/>
  <c r="AE18" i="48"/>
  <c r="AK18" i="48"/>
  <c r="AL18" i="48"/>
  <c r="Z18" i="48"/>
  <c r="M18" i="48"/>
  <c r="BM14" i="48"/>
  <c r="L14" i="48"/>
  <c r="Q14" i="48"/>
  <c r="Z14" i="48"/>
  <c r="AE14" i="48"/>
  <c r="AN14" i="48"/>
  <c r="AS14" i="48"/>
  <c r="K14" i="48"/>
  <c r="R14" i="48"/>
  <c r="X14" i="48"/>
  <c r="AD14" i="48"/>
  <c r="AK14" i="48"/>
  <c r="W14" i="48"/>
  <c r="AF14" i="48"/>
  <c r="AM14" i="48"/>
  <c r="AU14" i="48"/>
  <c r="I14" i="48"/>
  <c r="S14" i="48"/>
  <c r="J14" i="48"/>
  <c r="AG14" i="48"/>
  <c r="AR14" i="48"/>
  <c r="B7" i="48"/>
  <c r="BO7" i="48" s="1"/>
  <c r="N7" i="48"/>
  <c r="AB6" i="48"/>
  <c r="C6" i="48"/>
  <c r="BP6" i="48" s="1"/>
  <c r="BM27" i="48"/>
  <c r="E24" i="48"/>
  <c r="BR24" i="48" s="1"/>
  <c r="AT18" i="48"/>
  <c r="AG18" i="48"/>
  <c r="I18" i="48"/>
  <c r="Z15" i="48"/>
  <c r="AT14" i="48"/>
  <c r="Y14" i="48"/>
  <c r="D7" i="48"/>
  <c r="BQ7" i="48" s="1"/>
  <c r="E6" i="48"/>
  <c r="BR6" i="48" s="1"/>
  <c r="D24" i="48"/>
  <c r="BQ24" i="48" s="1"/>
  <c r="AS18" i="48"/>
  <c r="AF18" i="48"/>
  <c r="S18" i="48"/>
  <c r="AL14" i="48"/>
  <c r="P14" i="48"/>
  <c r="P62" i="48"/>
  <c r="BM26" i="48"/>
  <c r="AO24" i="48"/>
  <c r="AP24" i="48" s="1"/>
  <c r="U24" i="48"/>
  <c r="AT19" i="48"/>
  <c r="AN19" i="48"/>
  <c r="AH19" i="48"/>
  <c r="AA19" i="48"/>
  <c r="P19" i="48"/>
  <c r="AE15" i="48"/>
  <c r="S15" i="48"/>
  <c r="I15" i="48"/>
  <c r="K21" i="48"/>
  <c r="P21" i="48"/>
  <c r="T21" i="48"/>
  <c r="Y21" i="48"/>
  <c r="AD21" i="48"/>
  <c r="AH21" i="48"/>
  <c r="AM21" i="48"/>
  <c r="AR21" i="48"/>
  <c r="AV21" i="48"/>
  <c r="L21" i="48"/>
  <c r="R21" i="48"/>
  <c r="X21" i="48"/>
  <c r="AE21" i="48"/>
  <c r="AK21" i="48"/>
  <c r="J21" i="48"/>
  <c r="S21" i="48"/>
  <c r="AA21" i="48"/>
  <c r="AS21" i="48"/>
  <c r="AN21" i="48"/>
  <c r="Q21" i="48"/>
  <c r="T7" i="48"/>
  <c r="AH7" i="48"/>
  <c r="AI7" i="48" s="1"/>
  <c r="AV7" i="48"/>
  <c r="BM7" i="48"/>
  <c r="AA7" i="48"/>
  <c r="AB7" i="48" s="1"/>
  <c r="AO7" i="48"/>
  <c r="AP7" i="48" s="1"/>
  <c r="AW7" i="48"/>
  <c r="C24" i="48"/>
  <c r="BP24" i="48" s="1"/>
  <c r="J19" i="48"/>
  <c r="S19" i="48"/>
  <c r="X19" i="48"/>
  <c r="AG19" i="48"/>
  <c r="AL19" i="48"/>
  <c r="AU19" i="48"/>
  <c r="AS19" i="48"/>
  <c r="AM19" i="48"/>
  <c r="AF19" i="48"/>
  <c r="Z19" i="48"/>
  <c r="T19" i="48"/>
  <c r="M19" i="48"/>
  <c r="K15" i="48"/>
  <c r="AM15" i="48"/>
  <c r="J15" i="48"/>
  <c r="Q15" i="48"/>
  <c r="AU15" i="48"/>
  <c r="X15" i="48"/>
  <c r="AN15" i="48"/>
  <c r="AL15" i="48"/>
  <c r="E10" i="48"/>
  <c r="BR10" i="48" s="1"/>
  <c r="B10" i="48"/>
  <c r="BO10" i="48" s="1"/>
  <c r="C10" i="48"/>
  <c r="BP10" i="48" s="1"/>
  <c r="T6" i="48"/>
  <c r="U6" i="48" s="1"/>
  <c r="AH6" i="48"/>
  <c r="AI6" i="48" s="1"/>
  <c r="AV6" i="48"/>
  <c r="AW6" i="48" s="1"/>
  <c r="BM6" i="48"/>
  <c r="AO6" i="48"/>
  <c r="M6" i="48"/>
  <c r="B6" i="48"/>
  <c r="J16" i="48"/>
  <c r="S16" i="48"/>
  <c r="X16" i="48"/>
  <c r="AG16" i="48"/>
  <c r="AL16" i="48"/>
  <c r="Q16" i="48"/>
  <c r="C7" i="48"/>
  <c r="BP7" i="48" s="1"/>
  <c r="D6" i="48"/>
  <c r="BQ6" i="48" s="1"/>
  <c r="M10" i="48"/>
  <c r="AA10" i="48"/>
  <c r="AB10" i="48" s="1"/>
  <c r="AO10" i="48"/>
  <c r="AP10" i="48" s="1"/>
  <c r="D10" i="48"/>
  <c r="BQ10" i="48" s="1"/>
  <c r="AV13" i="48" l="1"/>
  <c r="Y13" i="48"/>
  <c r="J13" i="48"/>
  <c r="R13" i="48"/>
  <c r="AK13" i="48"/>
  <c r="AE13" i="48"/>
  <c r="Q13" i="48"/>
  <c r="I13" i="48"/>
  <c r="AG13" i="48"/>
  <c r="AA13" i="48"/>
  <c r="AH13" i="48"/>
  <c r="AT13" i="48"/>
  <c r="AS13" i="48"/>
  <c r="AL13" i="48"/>
  <c r="X13" i="48"/>
  <c r="P13" i="48"/>
  <c r="AM13" i="48"/>
  <c r="K13" i="48"/>
  <c r="S13" i="48"/>
  <c r="L13" i="48"/>
  <c r="AU13" i="48"/>
  <c r="AF13" i="48"/>
  <c r="T13" i="48"/>
  <c r="AR13" i="48"/>
  <c r="AD13" i="48"/>
  <c r="W13" i="48"/>
  <c r="AO13" i="48"/>
  <c r="AN13" i="48"/>
  <c r="Z13" i="48"/>
  <c r="M13" i="48"/>
  <c r="AO14" i="48"/>
  <c r="AP14" i="48" s="1"/>
  <c r="AV14" i="48"/>
  <c r="AW14" i="48" s="1"/>
  <c r="W15" i="48"/>
  <c r="P15" i="48"/>
  <c r="X17" i="48"/>
  <c r="J17" i="48"/>
  <c r="AP19" i="48"/>
  <c r="AS17" i="48"/>
  <c r="AR15" i="48"/>
  <c r="Q17" i="48"/>
  <c r="AD15" i="48"/>
  <c r="AB19" i="48"/>
  <c r="AL17" i="48"/>
  <c r="N19" i="48"/>
  <c r="E15" i="48"/>
  <c r="BR15" i="48" s="1"/>
  <c r="N6" i="48"/>
  <c r="AB21" i="48"/>
  <c r="AB18" i="48"/>
  <c r="AW18" i="48"/>
  <c r="AW19" i="48"/>
  <c r="E19" i="48"/>
  <c r="BR19" i="48" s="1"/>
  <c r="F7" i="48"/>
  <c r="G7" i="48" s="1"/>
  <c r="S17" i="48"/>
  <c r="U7" i="48"/>
  <c r="C21" i="48"/>
  <c r="BP21" i="48" s="1"/>
  <c r="F21" i="48"/>
  <c r="BS21" i="48" s="1"/>
  <c r="L20" i="48"/>
  <c r="Q20" i="48"/>
  <c r="Z20" i="48"/>
  <c r="AE20" i="48"/>
  <c r="AN20" i="48"/>
  <c r="AS20" i="48"/>
  <c r="M20" i="48"/>
  <c r="S20" i="48"/>
  <c r="Y20" i="48"/>
  <c r="AF20" i="48"/>
  <c r="AL20" i="48"/>
  <c r="AR20" i="48"/>
  <c r="J20" i="48"/>
  <c r="R20" i="48"/>
  <c r="AA20" i="48"/>
  <c r="AH20" i="48"/>
  <c r="I20" i="48"/>
  <c r="T20" i="48"/>
  <c r="AD20" i="48"/>
  <c r="AO20" i="48"/>
  <c r="K20" i="48"/>
  <c r="W20" i="48"/>
  <c r="AG20" i="48"/>
  <c r="AT20" i="48"/>
  <c r="AV20" i="48"/>
  <c r="AK20" i="48"/>
  <c r="P20" i="48"/>
  <c r="AM20" i="48"/>
  <c r="X20" i="48"/>
  <c r="AU20" i="48"/>
  <c r="C15" i="48"/>
  <c r="BP15" i="48" s="1"/>
  <c r="AP21" i="48"/>
  <c r="E21" i="48"/>
  <c r="BR21" i="48" s="1"/>
  <c r="U21" i="48"/>
  <c r="AG17" i="48"/>
  <c r="BO6" i="48"/>
  <c r="D14" i="48"/>
  <c r="BQ14" i="48" s="1"/>
  <c r="M14" i="48"/>
  <c r="AH14" i="48"/>
  <c r="AI14" i="48" s="1"/>
  <c r="AN17" i="48"/>
  <c r="L17" i="48"/>
  <c r="AP18" i="48"/>
  <c r="E18" i="48"/>
  <c r="BR18" i="48" s="1"/>
  <c r="F24" i="48"/>
  <c r="F10" i="48"/>
  <c r="F6" i="48"/>
  <c r="BS6" i="48" s="1"/>
  <c r="AI19" i="48"/>
  <c r="C19" i="48"/>
  <c r="BP19" i="48" s="1"/>
  <c r="AI21" i="48"/>
  <c r="D21" i="48"/>
  <c r="BQ21" i="48" s="1"/>
  <c r="N21" i="48"/>
  <c r="T14" i="48"/>
  <c r="U14" i="48" s="1"/>
  <c r="B14" i="48"/>
  <c r="AT15" i="48"/>
  <c r="AU17" i="48"/>
  <c r="F18" i="48"/>
  <c r="BS18" i="48" s="1"/>
  <c r="C18" i="48"/>
  <c r="BP18" i="48" s="1"/>
  <c r="U18" i="48"/>
  <c r="E16" i="48"/>
  <c r="BR16" i="48" s="1"/>
  <c r="C16" i="48"/>
  <c r="BP16" i="48" s="1"/>
  <c r="R15" i="48"/>
  <c r="AF15" i="48"/>
  <c r="Y15" i="48"/>
  <c r="F19" i="48"/>
  <c r="BS19" i="48" s="1"/>
  <c r="AW21" i="48"/>
  <c r="AK15" i="48"/>
  <c r="U19" i="48"/>
  <c r="N10" i="48"/>
  <c r="B19" i="48"/>
  <c r="B21" i="48"/>
  <c r="B18" i="48"/>
  <c r="N18" i="48"/>
  <c r="AA14" i="48"/>
  <c r="AB14" i="48" s="1"/>
  <c r="C14" i="48"/>
  <c r="BP14" i="48" s="1"/>
  <c r="E14" i="48"/>
  <c r="BR14" i="48" s="1"/>
  <c r="AI18" i="48"/>
  <c r="D18" i="48"/>
  <c r="BQ18" i="48" s="1"/>
  <c r="D19" i="48"/>
  <c r="BQ19" i="48" s="1"/>
  <c r="AP6" i="48"/>
  <c r="U13" i="48" l="1"/>
  <c r="C17" i="48"/>
  <c r="BP17" i="48" s="1"/>
  <c r="AW13" i="48"/>
  <c r="B13" i="48"/>
  <c r="BO13" i="48" s="1"/>
  <c r="N13" i="48"/>
  <c r="C13" i="48"/>
  <c r="BP13" i="48" s="1"/>
  <c r="F13" i="48"/>
  <c r="BS13" i="48" s="1"/>
  <c r="AB13" i="48"/>
  <c r="D13" i="48"/>
  <c r="BQ13" i="48" s="1"/>
  <c r="AI13" i="48"/>
  <c r="AP13" i="48"/>
  <c r="E13" i="48"/>
  <c r="BR13" i="48" s="1"/>
  <c r="Q12" i="48"/>
  <c r="BS24" i="48"/>
  <c r="BT24" i="48" s="1"/>
  <c r="AU12" i="48"/>
  <c r="AS12" i="48"/>
  <c r="BS10" i="48"/>
  <c r="BT10" i="48" s="1"/>
  <c r="G10" i="48"/>
  <c r="AG12" i="48"/>
  <c r="BS7" i="48"/>
  <c r="BT7" i="48" s="1"/>
  <c r="G18" i="48"/>
  <c r="AE22" i="48"/>
  <c r="BO18" i="48"/>
  <c r="BT18" i="48" s="1"/>
  <c r="X12" i="48"/>
  <c r="S22" i="48"/>
  <c r="AS22" i="48"/>
  <c r="AL22" i="48"/>
  <c r="D15" i="48"/>
  <c r="BQ15" i="48" s="1"/>
  <c r="S12" i="48"/>
  <c r="AN12" i="48"/>
  <c r="G24" i="48"/>
  <c r="M15" i="48"/>
  <c r="T15" i="48"/>
  <c r="U15" i="48" s="1"/>
  <c r="AA15" i="48"/>
  <c r="AB15" i="48" s="1"/>
  <c r="AV15" i="48"/>
  <c r="AW15" i="48" s="1"/>
  <c r="AO15" i="48"/>
  <c r="AH15" i="48"/>
  <c r="AI15" i="48" s="1"/>
  <c r="F14" i="48"/>
  <c r="BS14" i="48" s="1"/>
  <c r="AU22" i="48"/>
  <c r="AW20" i="48"/>
  <c r="G19" i="48"/>
  <c r="BO19" i="48"/>
  <c r="BT19" i="48" s="1"/>
  <c r="E17" i="48"/>
  <c r="BR17" i="48" s="1"/>
  <c r="Z22" i="48"/>
  <c r="AG22" i="48"/>
  <c r="BR22" i="48"/>
  <c r="L22" i="48"/>
  <c r="U20" i="48"/>
  <c r="AI20" i="48"/>
  <c r="F20" i="48"/>
  <c r="BS20" i="48" s="1"/>
  <c r="G21" i="48"/>
  <c r="I16" i="48"/>
  <c r="AR16" i="48"/>
  <c r="P16" i="48"/>
  <c r="AK16" i="48"/>
  <c r="AD16" i="48"/>
  <c r="W16" i="48"/>
  <c r="R16" i="48"/>
  <c r="AF16" i="48"/>
  <c r="Y16" i="48"/>
  <c r="AM16" i="48"/>
  <c r="AT16" i="48"/>
  <c r="K16" i="48"/>
  <c r="N14" i="48"/>
  <c r="BT6" i="48"/>
  <c r="BO21" i="48"/>
  <c r="BT21" i="48" s="1"/>
  <c r="AE12" i="48"/>
  <c r="Z12" i="48"/>
  <c r="L12" i="48"/>
  <c r="AN22" i="48"/>
  <c r="AP20" i="48"/>
  <c r="AB20" i="48"/>
  <c r="BM15" i="48"/>
  <c r="BO14" i="48"/>
  <c r="AL12" i="48"/>
  <c r="J12" i="48"/>
  <c r="G6" i="48"/>
  <c r="B15" i="48"/>
  <c r="BO15" i="48" s="1"/>
  <c r="Q22" i="48"/>
  <c r="X22" i="48"/>
  <c r="J22" i="48"/>
  <c r="C22" i="48"/>
  <c r="F8" i="49" s="1"/>
  <c r="D20" i="48"/>
  <c r="BQ20" i="48" s="1"/>
  <c r="B20" i="48"/>
  <c r="BO20" i="48" s="1"/>
  <c r="N20" i="48"/>
  <c r="C20" i="48"/>
  <c r="BP20" i="48" s="1"/>
  <c r="E20" i="48"/>
  <c r="BR20" i="48" s="1"/>
  <c r="G14" i="48" l="1"/>
  <c r="BT13" i="48"/>
  <c r="G13" i="48"/>
  <c r="Q11" i="48"/>
  <c r="AU11" i="48"/>
  <c r="AS11" i="48"/>
  <c r="BP22" i="48"/>
  <c r="X11" i="48"/>
  <c r="AG11" i="48"/>
  <c r="AE11" i="48"/>
  <c r="Z11" i="48"/>
  <c r="BP12" i="48"/>
  <c r="AN11" i="48"/>
  <c r="BR12" i="48"/>
  <c r="BR11" i="48" s="1"/>
  <c r="BT20" i="48"/>
  <c r="AL11" i="48"/>
  <c r="L11" i="48"/>
  <c r="S11" i="48"/>
  <c r="B16" i="48"/>
  <c r="F15" i="48"/>
  <c r="BS15" i="48" s="1"/>
  <c r="N15" i="48"/>
  <c r="BT14" i="48"/>
  <c r="AP15" i="48"/>
  <c r="C12" i="48"/>
  <c r="F7" i="49" s="1"/>
  <c r="E12" i="48"/>
  <c r="H7" i="49" s="1"/>
  <c r="AH16" i="48"/>
  <c r="T16" i="48"/>
  <c r="AV16" i="48"/>
  <c r="AW16" i="48" s="1"/>
  <c r="M16" i="48"/>
  <c r="AA16" i="48"/>
  <c r="AO16" i="48"/>
  <c r="BM17" i="48"/>
  <c r="I17" i="48"/>
  <c r="I12" i="48" s="1"/>
  <c r="P17" i="48"/>
  <c r="P12" i="48" s="1"/>
  <c r="AD17" i="48"/>
  <c r="AD12" i="48" s="1"/>
  <c r="AR17" i="48"/>
  <c r="AR12" i="48" s="1"/>
  <c r="W17" i="48"/>
  <c r="W12" i="48" s="1"/>
  <c r="AK17" i="48"/>
  <c r="AK12" i="48" s="1"/>
  <c r="J11" i="48"/>
  <c r="G20" i="48"/>
  <c r="D16" i="48"/>
  <c r="BQ16" i="48" s="1"/>
  <c r="AM17" i="48"/>
  <c r="Y17" i="48"/>
  <c r="Y22" i="48" s="1"/>
  <c r="AT17" i="48"/>
  <c r="K17" i="48"/>
  <c r="K12" i="48" s="1"/>
  <c r="AF17" i="48"/>
  <c r="R17" i="48"/>
  <c r="BM16" i="48"/>
  <c r="E22" i="48"/>
  <c r="H8" i="49" s="1"/>
  <c r="AT22" i="48" l="1"/>
  <c r="AT12" i="48"/>
  <c r="AB16" i="48"/>
  <c r="AF22" i="48"/>
  <c r="AF12" i="48"/>
  <c r="AM22" i="48"/>
  <c r="AM12" i="48"/>
  <c r="BP11" i="48"/>
  <c r="AI16" i="48"/>
  <c r="R22" i="48"/>
  <c r="R12" i="48"/>
  <c r="AP16" i="48"/>
  <c r="Y12" i="48"/>
  <c r="Y11" i="48" s="1"/>
  <c r="K22" i="48"/>
  <c r="K11" i="48" s="1"/>
  <c r="BT15" i="48"/>
  <c r="G15" i="48"/>
  <c r="H6" i="49"/>
  <c r="C11" i="48"/>
  <c r="F6" i="49"/>
  <c r="P22" i="48"/>
  <c r="P11" i="48" s="1"/>
  <c r="B17" i="48"/>
  <c r="I22" i="48"/>
  <c r="I11" i="48" s="1"/>
  <c r="AR22" i="48"/>
  <c r="AR11" i="48" s="1"/>
  <c r="AA17" i="48"/>
  <c r="AB17" i="48" s="1"/>
  <c r="AB22" i="48" s="1"/>
  <c r="AO17" i="48"/>
  <c r="AP17" i="48" s="1"/>
  <c r="AP22" i="48" s="1"/>
  <c r="M17" i="48"/>
  <c r="M12" i="48" s="1"/>
  <c r="AH17" i="48"/>
  <c r="AH22" i="48" s="1"/>
  <c r="AV17" i="48"/>
  <c r="T17" i="48"/>
  <c r="U17" i="48" s="1"/>
  <c r="F16" i="48"/>
  <c r="BS16" i="48" s="1"/>
  <c r="E11" i="48"/>
  <c r="J28" i="48"/>
  <c r="BO16" i="48"/>
  <c r="L28" i="48"/>
  <c r="U16" i="48"/>
  <c r="W22" i="48"/>
  <c r="W11" i="48" s="1"/>
  <c r="D17" i="48"/>
  <c r="AD22" i="48"/>
  <c r="AD11" i="48" s="1"/>
  <c r="N16" i="48"/>
  <c r="AK22" i="48"/>
  <c r="AK11" i="48" s="1"/>
  <c r="U12" i="48" l="1"/>
  <c r="AT11" i="48"/>
  <c r="AA12" i="48"/>
  <c r="AM11" i="48"/>
  <c r="AB12" i="48"/>
  <c r="AB11" i="48" s="1"/>
  <c r="T12" i="48"/>
  <c r="BO17" i="48"/>
  <c r="BO12" i="48" s="1"/>
  <c r="B12" i="48"/>
  <c r="C7" i="49" s="1"/>
  <c r="AP12" i="48"/>
  <c r="AP11" i="48" s="1"/>
  <c r="AV22" i="48"/>
  <c r="AV12" i="48"/>
  <c r="AO12" i="48"/>
  <c r="R11" i="48"/>
  <c r="AF11" i="48"/>
  <c r="D22" i="48"/>
  <c r="G8" i="49" s="1"/>
  <c r="D12" i="48"/>
  <c r="G7" i="49" s="1"/>
  <c r="BQ17" i="48"/>
  <c r="AH12" i="48"/>
  <c r="AH11" i="48" s="1"/>
  <c r="N17" i="48"/>
  <c r="N12" i="48" s="1"/>
  <c r="N22" i="48"/>
  <c r="AI17" i="48"/>
  <c r="AI22" i="48" s="1"/>
  <c r="AW17" i="48"/>
  <c r="AA22" i="48"/>
  <c r="T22" i="48"/>
  <c r="Y28" i="48"/>
  <c r="AO22" i="48"/>
  <c r="AF28" i="48"/>
  <c r="R28" i="48"/>
  <c r="AM28" i="48"/>
  <c r="U22" i="48"/>
  <c r="AG28" i="48"/>
  <c r="AN28" i="48"/>
  <c r="S28" i="48"/>
  <c r="Z28" i="48"/>
  <c r="AL28" i="48"/>
  <c r="Q28" i="48"/>
  <c r="AE28" i="48"/>
  <c r="X28" i="48"/>
  <c r="F17" i="48"/>
  <c r="BS17" i="48" s="1"/>
  <c r="BS22" i="48" s="1"/>
  <c r="M22" i="48"/>
  <c r="M11" i="48" s="1"/>
  <c r="K28" i="48"/>
  <c r="BT16" i="48"/>
  <c r="BO22" i="48"/>
  <c r="G16" i="48"/>
  <c r="B22" i="48"/>
  <c r="C8" i="49" s="1"/>
  <c r="U11" i="48" l="1"/>
  <c r="T11" i="48"/>
  <c r="AO11" i="48"/>
  <c r="AA11" i="48"/>
  <c r="AI12" i="48"/>
  <c r="AI11" i="48" s="1"/>
  <c r="D11" i="48"/>
  <c r="BO11" i="48"/>
  <c r="G6" i="49"/>
  <c r="F12" i="48"/>
  <c r="I7" i="49" s="1"/>
  <c r="J7" i="49" s="1"/>
  <c r="AW22" i="48"/>
  <c r="AW12" i="48"/>
  <c r="N11" i="48"/>
  <c r="AV11" i="48"/>
  <c r="BQ22" i="48"/>
  <c r="BQ12" i="48"/>
  <c r="BS12" i="48"/>
  <c r="BS11" i="48" s="1"/>
  <c r="F22" i="48"/>
  <c r="I8" i="49" s="1"/>
  <c r="J8" i="49" s="1"/>
  <c r="B11" i="48"/>
  <c r="BT17" i="48"/>
  <c r="BT22" i="48" s="1"/>
  <c r="G17" i="48"/>
  <c r="G22" i="48" s="1"/>
  <c r="BT12" i="48" l="1"/>
  <c r="BT11" i="48" s="1"/>
  <c r="BQ11" i="48"/>
  <c r="G12" i="48"/>
  <c r="G11" i="48" s="1"/>
  <c r="AW11" i="48"/>
  <c r="F11" i="48"/>
  <c r="I6" i="49"/>
  <c r="C6" i="49"/>
  <c r="J6" i="49" l="1"/>
  <c r="AR21" i="30" l="1"/>
  <c r="C14" i="46" l="1"/>
  <c r="C12" i="46"/>
  <c r="C10" i="46"/>
  <c r="C8" i="46"/>
  <c r="C6" i="46"/>
  <c r="C4" i="46"/>
  <c r="AY16" i="30" l="1"/>
  <c r="BA14" i="30" l="1"/>
  <c r="BA15" i="30" s="1"/>
  <c r="BD22" i="30"/>
  <c r="BD13" i="30"/>
  <c r="AN6" i="30"/>
  <c r="AN24" i="30"/>
  <c r="AN25" i="30"/>
  <c r="AH6" i="30"/>
  <c r="AH24" i="30"/>
  <c r="AH25" i="30"/>
  <c r="AB6" i="30"/>
  <c r="AB24" i="30"/>
  <c r="AB25" i="30"/>
  <c r="V6" i="30"/>
  <c r="V24" i="30"/>
  <c r="V25" i="30"/>
  <c r="P6" i="30"/>
  <c r="P24" i="30"/>
  <c r="P25" i="30"/>
  <c r="J6" i="30"/>
  <c r="J24" i="30"/>
  <c r="J25" i="30"/>
  <c r="AH23" i="30" l="1"/>
  <c r="AB23" i="30"/>
  <c r="D24" i="30"/>
  <c r="BI24" i="30" s="1"/>
  <c r="BA16" i="30"/>
  <c r="BA17" i="30"/>
  <c r="BD17" i="30" s="1"/>
  <c r="BD14" i="30"/>
  <c r="J23" i="30"/>
  <c r="P23" i="30"/>
  <c r="V23" i="30"/>
  <c r="AN23" i="30"/>
  <c r="D25" i="30"/>
  <c r="BI25" i="30" s="1"/>
  <c r="D6" i="30"/>
  <c r="BI6" i="30" s="1"/>
  <c r="BD15" i="30" l="1"/>
  <c r="D23" i="30"/>
  <c r="BI23" i="30"/>
  <c r="AM16" i="30"/>
  <c r="AG16" i="30"/>
  <c r="BA20" i="30"/>
  <c r="BA21" i="30" s="1"/>
  <c r="BD21" i="30" s="1"/>
  <c r="H16" i="30"/>
  <c r="AL16" i="30"/>
  <c r="N16" i="30"/>
  <c r="Z16" i="30"/>
  <c r="T16" i="30"/>
  <c r="AF16" i="30"/>
  <c r="I16" i="30" l="1"/>
  <c r="O16" i="30"/>
  <c r="AA16" i="30"/>
  <c r="U16" i="30"/>
  <c r="AH16" i="30"/>
  <c r="V16" i="30"/>
  <c r="P16" i="30"/>
  <c r="BD16" i="30"/>
  <c r="K16" i="30" s="1"/>
  <c r="AB16" i="30"/>
  <c r="AN16" i="30"/>
  <c r="J16" i="30"/>
  <c r="B16" i="30"/>
  <c r="P7" i="30"/>
  <c r="J7" i="30"/>
  <c r="AH7" i="30"/>
  <c r="AB7" i="30"/>
  <c r="V7" i="30"/>
  <c r="AN7" i="30"/>
  <c r="AN17" i="30"/>
  <c r="J17" i="30"/>
  <c r="P17" i="30"/>
  <c r="AH17" i="30"/>
  <c r="V17" i="30"/>
  <c r="AB17" i="30"/>
  <c r="AG21" i="30"/>
  <c r="AM22" i="30"/>
  <c r="AM10" i="30"/>
  <c r="BD20" i="30"/>
  <c r="AY15" i="30"/>
  <c r="AM6" i="30"/>
  <c r="AM7" i="30"/>
  <c r="AM24" i="30"/>
  <c r="AM25" i="30"/>
  <c r="AG6" i="30"/>
  <c r="AI6" i="30"/>
  <c r="AG7" i="30"/>
  <c r="AG24" i="30"/>
  <c r="AG25" i="30"/>
  <c r="AA6" i="30"/>
  <c r="AA7" i="30"/>
  <c r="AA24" i="30"/>
  <c r="AA25" i="30"/>
  <c r="U6" i="30"/>
  <c r="U7" i="30"/>
  <c r="U24" i="30"/>
  <c r="U25" i="30"/>
  <c r="O6" i="30"/>
  <c r="O7" i="30"/>
  <c r="O24" i="30"/>
  <c r="O25" i="30"/>
  <c r="I6" i="30"/>
  <c r="I7" i="30"/>
  <c r="I24" i="30"/>
  <c r="I25" i="30"/>
  <c r="W7" i="30"/>
  <c r="K24" i="30"/>
  <c r="BD25" i="30"/>
  <c r="AC25" i="30" s="1"/>
  <c r="AC6" i="30"/>
  <c r="AA23" i="30" l="1"/>
  <c r="C16" i="30"/>
  <c r="BH16" i="30" s="1"/>
  <c r="Q16" i="30"/>
  <c r="R16" i="30" s="1"/>
  <c r="AI16" i="30"/>
  <c r="AJ16" i="30" s="1"/>
  <c r="W16" i="30"/>
  <c r="X16" i="30" s="1"/>
  <c r="AO16" i="30"/>
  <c r="AP16" i="30" s="1"/>
  <c r="AC16" i="30"/>
  <c r="AD16" i="30" s="1"/>
  <c r="BE16" i="30"/>
  <c r="D16" i="30"/>
  <c r="BI16" i="30" s="1"/>
  <c r="L16" i="30"/>
  <c r="K25" i="30"/>
  <c r="AI25" i="30"/>
  <c r="Q25" i="30"/>
  <c r="W25" i="30"/>
  <c r="AG23" i="30"/>
  <c r="AO25" i="30"/>
  <c r="AC10" i="30"/>
  <c r="BG16" i="30"/>
  <c r="AI24" i="30"/>
  <c r="AO24" i="30"/>
  <c r="D7" i="30"/>
  <c r="BI7" i="30" s="1"/>
  <c r="I23" i="30"/>
  <c r="P15" i="30"/>
  <c r="AH15" i="30"/>
  <c r="V15" i="30"/>
  <c r="AB15" i="30"/>
  <c r="AN15" i="30"/>
  <c r="J15" i="30"/>
  <c r="J21" i="30"/>
  <c r="P21" i="30"/>
  <c r="V21" i="30"/>
  <c r="AH21" i="30"/>
  <c r="AN21" i="30"/>
  <c r="AB21" i="30"/>
  <c r="K23" i="30"/>
  <c r="Q24" i="30"/>
  <c r="W24" i="30"/>
  <c r="AC24" i="30"/>
  <c r="AC23" i="30" s="1"/>
  <c r="AF15" i="30"/>
  <c r="AN10" i="30"/>
  <c r="V10" i="30"/>
  <c r="AH10" i="30"/>
  <c r="J10" i="30"/>
  <c r="AB10" i="30"/>
  <c r="P10" i="30"/>
  <c r="O23" i="30"/>
  <c r="U23" i="30"/>
  <c r="AA10" i="30"/>
  <c r="D17" i="30"/>
  <c r="BI17" i="30" s="1"/>
  <c r="J22" i="30"/>
  <c r="V22" i="30"/>
  <c r="P22" i="30"/>
  <c r="AH22" i="30"/>
  <c r="AB22" i="30"/>
  <c r="AN22" i="30"/>
  <c r="AM23" i="30"/>
  <c r="AC21" i="30"/>
  <c r="I22" i="30"/>
  <c r="O22" i="30"/>
  <c r="O21" i="30"/>
  <c r="I21" i="30"/>
  <c r="I10" i="30"/>
  <c r="AA21" i="30"/>
  <c r="C7" i="30"/>
  <c r="BH7" i="30" s="1"/>
  <c r="U22" i="30"/>
  <c r="AG22" i="30"/>
  <c r="AM21" i="30"/>
  <c r="AI22" i="30"/>
  <c r="U21" i="30"/>
  <c r="AA22" i="30"/>
  <c r="AM15" i="30"/>
  <c r="AI17" i="30"/>
  <c r="U10" i="30"/>
  <c r="O10" i="30"/>
  <c r="AG10" i="30"/>
  <c r="H15" i="30"/>
  <c r="AI15" i="30"/>
  <c r="T15" i="30"/>
  <c r="K7" i="30"/>
  <c r="AC7" i="30"/>
  <c r="AI7" i="30"/>
  <c r="AL15" i="30"/>
  <c r="Z15" i="30"/>
  <c r="AO7" i="30"/>
  <c r="N15" i="30"/>
  <c r="Q7" i="30"/>
  <c r="AM17" i="30"/>
  <c r="I17" i="30"/>
  <c r="O17" i="30"/>
  <c r="U17" i="30"/>
  <c r="AA17" i="30"/>
  <c r="AG17" i="30"/>
  <c r="K6" i="30"/>
  <c r="Q6" i="30"/>
  <c r="AO6" i="30"/>
  <c r="W6" i="30"/>
  <c r="I15" i="30"/>
  <c r="O15" i="30"/>
  <c r="U15" i="30"/>
  <c r="AA15" i="30"/>
  <c r="AG15" i="30"/>
  <c r="C6" i="30"/>
  <c r="BH6" i="30" s="1"/>
  <c r="C25" i="30"/>
  <c r="BH25" i="30" s="1"/>
  <c r="C24" i="30"/>
  <c r="BH24" i="30" s="1"/>
  <c r="N17" i="30"/>
  <c r="AL17" i="30"/>
  <c r="H17" i="30"/>
  <c r="AY17" i="30"/>
  <c r="BE17" i="30"/>
  <c r="Q23" i="30" l="1"/>
  <c r="AI23" i="30"/>
  <c r="W23" i="30"/>
  <c r="E16" i="30"/>
  <c r="BJ16" i="30" s="1"/>
  <c r="BH23" i="30"/>
  <c r="AO23" i="30"/>
  <c r="D15" i="30"/>
  <c r="BI15" i="30" s="1"/>
  <c r="D22" i="30"/>
  <c r="BI22" i="30" s="1"/>
  <c r="D10" i="30"/>
  <c r="BI10" i="30" s="1"/>
  <c r="D21" i="30"/>
  <c r="BI21" i="30" s="1"/>
  <c r="C23" i="30"/>
  <c r="E6" i="30"/>
  <c r="BJ6" i="30" s="1"/>
  <c r="AC20" i="30"/>
  <c r="Q20" i="30"/>
  <c r="AI21" i="30"/>
  <c r="W21" i="30"/>
  <c r="W10" i="30"/>
  <c r="Q21" i="30"/>
  <c r="K21" i="30"/>
  <c r="AO21" i="30"/>
  <c r="Q10" i="30"/>
  <c r="AO10" i="30"/>
  <c r="AI10" i="30"/>
  <c r="K10" i="30"/>
  <c r="Q22" i="30"/>
  <c r="K22" i="30"/>
  <c r="C10" i="30"/>
  <c r="BH10" i="30" s="1"/>
  <c r="AO22" i="30"/>
  <c r="W22" i="30"/>
  <c r="C21" i="30"/>
  <c r="BH21" i="30" s="1"/>
  <c r="E7" i="30"/>
  <c r="BJ7" i="30" s="1"/>
  <c r="C22" i="30"/>
  <c r="BH22" i="30" s="1"/>
  <c r="AC17" i="30"/>
  <c r="AC15" i="30"/>
  <c r="AD15" i="30" s="1"/>
  <c r="AO15" i="30"/>
  <c r="AP15" i="30" s="1"/>
  <c r="AC22" i="30"/>
  <c r="W17" i="30"/>
  <c r="K17" i="30"/>
  <c r="Q17" i="30"/>
  <c r="R17" i="30" s="1"/>
  <c r="AO17" i="30"/>
  <c r="AJ15" i="30"/>
  <c r="W15" i="30"/>
  <c r="X15" i="30" s="1"/>
  <c r="Q15" i="30"/>
  <c r="R15" i="30" s="1"/>
  <c r="K15" i="30"/>
  <c r="BE15" i="30"/>
  <c r="B15" i="30"/>
  <c r="BG15" i="30" s="1"/>
  <c r="C17" i="30"/>
  <c r="BH17" i="30" s="1"/>
  <c r="C15" i="30"/>
  <c r="BH15" i="30" s="1"/>
  <c r="T17" i="30"/>
  <c r="Z17" i="30"/>
  <c r="AF17" i="30"/>
  <c r="AJ17" i="30" s="1"/>
  <c r="W13" i="30"/>
  <c r="F16" i="30" l="1"/>
  <c r="BK16" i="30" s="1"/>
  <c r="L17" i="30"/>
  <c r="L15" i="30"/>
  <c r="AC19" i="30"/>
  <c r="AO13" i="30"/>
  <c r="AH14" i="30"/>
  <c r="V14" i="30"/>
  <c r="AB14" i="30"/>
  <c r="AN14" i="30"/>
  <c r="J14" i="30"/>
  <c r="P14" i="30"/>
  <c r="I14" i="30"/>
  <c r="AM14" i="30"/>
  <c r="AG14" i="30"/>
  <c r="AA14" i="30"/>
  <c r="U14" i="30"/>
  <c r="O14" i="30"/>
  <c r="K14" i="30"/>
  <c r="AC14" i="30"/>
  <c r="AI14" i="30"/>
  <c r="AO14" i="30"/>
  <c r="W14" i="30"/>
  <c r="Q14" i="30"/>
  <c r="AC13" i="30"/>
  <c r="AI13" i="30"/>
  <c r="Q13" i="30"/>
  <c r="AH20" i="30"/>
  <c r="AH19" i="30" s="1"/>
  <c r="AB20" i="30"/>
  <c r="AB19" i="30" s="1"/>
  <c r="J20" i="30"/>
  <c r="AN20" i="30"/>
  <c r="AN19" i="30" s="1"/>
  <c r="V20" i="30"/>
  <c r="V19" i="30" s="1"/>
  <c r="P20" i="30"/>
  <c r="P19" i="30" s="1"/>
  <c r="AA20" i="30"/>
  <c r="AA19" i="30" s="1"/>
  <c r="U20" i="30"/>
  <c r="U19" i="30" s="1"/>
  <c r="O20" i="30"/>
  <c r="O19" i="30" s="1"/>
  <c r="AG20" i="30"/>
  <c r="AG19" i="30" s="1"/>
  <c r="I20" i="30"/>
  <c r="AM20" i="30"/>
  <c r="AM19" i="30" s="1"/>
  <c r="W20" i="30"/>
  <c r="W19" i="30" s="1"/>
  <c r="AO20" i="30"/>
  <c r="AO19" i="30" s="1"/>
  <c r="K13" i="30"/>
  <c r="K20" i="30"/>
  <c r="AI20" i="30"/>
  <c r="AI19" i="30" s="1"/>
  <c r="AB13" i="30"/>
  <c r="AN13" i="30"/>
  <c r="P13" i="30"/>
  <c r="AH13" i="30"/>
  <c r="J13" i="30"/>
  <c r="AA13" i="30"/>
  <c r="V13" i="30"/>
  <c r="O13" i="30"/>
  <c r="I13" i="30"/>
  <c r="AM13" i="30"/>
  <c r="AG13" i="30"/>
  <c r="U13" i="30"/>
  <c r="Q19" i="30"/>
  <c r="E10" i="30"/>
  <c r="BJ10" i="30" s="1"/>
  <c r="X17" i="30"/>
  <c r="AP17" i="30"/>
  <c r="E15" i="30"/>
  <c r="BJ15" i="30" s="1"/>
  <c r="B17" i="30"/>
  <c r="BG17" i="30" s="1"/>
  <c r="E17" i="30"/>
  <c r="BJ17" i="30" s="1"/>
  <c r="AD17" i="30"/>
  <c r="N21" i="30"/>
  <c r="AY21" i="30"/>
  <c r="K19" i="30" l="1"/>
  <c r="D14" i="30"/>
  <c r="BI14" i="30" s="1"/>
  <c r="D20" i="30"/>
  <c r="D19" i="30" s="1"/>
  <c r="J19" i="30"/>
  <c r="C13" i="30"/>
  <c r="BH13" i="30" s="1"/>
  <c r="U8" i="30"/>
  <c r="U5" i="30" s="1"/>
  <c r="AN8" i="30"/>
  <c r="AN5" i="30" s="1"/>
  <c r="P8" i="30"/>
  <c r="P5" i="30" s="1"/>
  <c r="J8" i="30"/>
  <c r="AH8" i="30"/>
  <c r="AH5" i="30" s="1"/>
  <c r="AB8" i="30"/>
  <c r="AB5" i="30" s="1"/>
  <c r="V8" i="30"/>
  <c r="V5" i="30" s="1"/>
  <c r="AO8" i="30"/>
  <c r="AO5" i="30" s="1"/>
  <c r="Q8" i="30"/>
  <c r="Q5" i="30" s="1"/>
  <c r="AA8" i="30"/>
  <c r="AA5" i="30" s="1"/>
  <c r="AC8" i="30"/>
  <c r="AC5" i="30" s="1"/>
  <c r="AM8" i="30"/>
  <c r="AM5" i="30" s="1"/>
  <c r="W8" i="30"/>
  <c r="W5" i="30" s="1"/>
  <c r="AG8" i="30"/>
  <c r="AG5" i="30" s="1"/>
  <c r="AI8" i="30"/>
  <c r="AI5" i="30" s="1"/>
  <c r="O8" i="30"/>
  <c r="O5" i="30" s="1"/>
  <c r="K8" i="30"/>
  <c r="I8" i="30"/>
  <c r="D13" i="30"/>
  <c r="BI13" i="30" s="1"/>
  <c r="C14" i="30"/>
  <c r="BH14" i="30" s="1"/>
  <c r="C20" i="30"/>
  <c r="C19" i="30" s="1"/>
  <c r="I19" i="30"/>
  <c r="F15" i="30"/>
  <c r="BK15" i="30" s="1"/>
  <c r="F17" i="30"/>
  <c r="BK17" i="30" s="1"/>
  <c r="AF21" i="30"/>
  <c r="H21" i="30"/>
  <c r="T21" i="30"/>
  <c r="AL21" i="30"/>
  <c r="Z21" i="30"/>
  <c r="BI20" i="30" l="1"/>
  <c r="BI19" i="30" s="1"/>
  <c r="BH20" i="30"/>
  <c r="BH19" i="30" s="1"/>
  <c r="C8" i="30"/>
  <c r="C5" i="30" s="1"/>
  <c r="I5" i="30"/>
  <c r="E8" i="30"/>
  <c r="BJ8" i="30" s="1"/>
  <c r="BJ5" i="30" s="1"/>
  <c r="K5" i="30"/>
  <c r="D8" i="30"/>
  <c r="D5" i="30" s="1"/>
  <c r="J5" i="30"/>
  <c r="B21" i="30"/>
  <c r="BG21" i="30" s="1"/>
  <c r="X21" i="30"/>
  <c r="AP21" i="30"/>
  <c r="AJ21" i="30"/>
  <c r="R21" i="30"/>
  <c r="AD21" i="30"/>
  <c r="BE21" i="30"/>
  <c r="BH8" i="30" l="1"/>
  <c r="BH5" i="30" s="1"/>
  <c r="BI8" i="30"/>
  <c r="BI5" i="30" s="1"/>
  <c r="E21" i="30"/>
  <c r="BJ21" i="30" s="1"/>
  <c r="L21" i="30"/>
  <c r="F21" i="30" l="1"/>
  <c r="BK21" i="30" s="1"/>
  <c r="F48" i="30" l="1"/>
  <c r="G48" i="30" s="1"/>
  <c r="H48" i="30" s="1"/>
  <c r="I48" i="30" s="1"/>
  <c r="J48" i="30" s="1"/>
  <c r="K48" i="30" s="1"/>
  <c r="L48" i="30" s="1"/>
  <c r="M48" i="30" s="1"/>
  <c r="N48" i="30" s="1"/>
  <c r="E45" i="30" l="1"/>
  <c r="F45" i="30" s="1"/>
  <c r="G45" i="30" s="1"/>
  <c r="H45" i="30" s="1"/>
  <c r="I45" i="30" s="1"/>
  <c r="J45" i="30" s="1"/>
  <c r="K45" i="30" s="1"/>
  <c r="L45" i="30" s="1"/>
  <c r="M45" i="30" s="1"/>
  <c r="N45" i="30" s="1"/>
  <c r="O45" i="30" s="1"/>
  <c r="A46" i="30"/>
  <c r="A55" i="30" s="1"/>
  <c r="A49" i="30"/>
  <c r="A71" i="30" s="1"/>
  <c r="E58" i="30"/>
  <c r="K60" i="30"/>
  <c r="L60" i="30"/>
  <c r="M60" i="30"/>
  <c r="N60" i="30"/>
  <c r="E61" i="30"/>
  <c r="F61" i="30"/>
  <c r="G61" i="30"/>
  <c r="H61" i="30"/>
  <c r="I61" i="30"/>
  <c r="J61" i="30"/>
  <c r="K61" i="30"/>
  <c r="L61" i="30"/>
  <c r="M61" i="30"/>
  <c r="N61" i="30"/>
  <c r="E74" i="30"/>
  <c r="K76" i="30"/>
  <c r="L76" i="30"/>
  <c r="M76" i="30"/>
  <c r="N76" i="30"/>
  <c r="E77" i="30"/>
  <c r="F77" i="30"/>
  <c r="G77" i="30"/>
  <c r="H77" i="30"/>
  <c r="I77" i="30"/>
  <c r="J77" i="30"/>
  <c r="K77" i="30"/>
  <c r="L77" i="30"/>
  <c r="M77" i="30"/>
  <c r="N77" i="30"/>
  <c r="O77" i="30" l="1"/>
  <c r="O61" i="30"/>
  <c r="AL22" i="30" l="1"/>
  <c r="AL20" i="30"/>
  <c r="AL14" i="30"/>
  <c r="AL25" i="30"/>
  <c r="AL24" i="30"/>
  <c r="AL10" i="30"/>
  <c r="AL8" i="30"/>
  <c r="AL7" i="30"/>
  <c r="AY25" i="30"/>
  <c r="AY24" i="30"/>
  <c r="AY22" i="30"/>
  <c r="AY20" i="30"/>
  <c r="AY18" i="30"/>
  <c r="AY14" i="30"/>
  <c r="AY13" i="30"/>
  <c r="AY10" i="30"/>
  <c r="AY8" i="30"/>
  <c r="AY7" i="30"/>
  <c r="AY6" i="30"/>
  <c r="AL13" i="30" l="1"/>
  <c r="AF13" i="30"/>
  <c r="AL23" i="30"/>
  <c r="AL19" i="30"/>
  <c r="AF7" i="30" l="1"/>
  <c r="Z7" i="30"/>
  <c r="T7" i="30"/>
  <c r="N7" i="30"/>
  <c r="H7" i="30"/>
  <c r="AF25" i="30"/>
  <c r="Z25" i="30"/>
  <c r="T25" i="30"/>
  <c r="N25" i="30"/>
  <c r="H25" i="30"/>
  <c r="AF24" i="30"/>
  <c r="Z24" i="30"/>
  <c r="T24" i="30"/>
  <c r="N24" i="30"/>
  <c r="H24" i="30"/>
  <c r="AS4" i="30"/>
  <c r="B7" i="30" l="1"/>
  <c r="BG7" i="30" s="1"/>
  <c r="AD25" i="30"/>
  <c r="AP25" i="30"/>
  <c r="AD24" i="30"/>
  <c r="X25" i="30"/>
  <c r="AL6" i="30"/>
  <c r="X7" i="30"/>
  <c r="T23" i="30"/>
  <c r="B24" i="30"/>
  <c r="BG24" i="30" s="1"/>
  <c r="Z23" i="30"/>
  <c r="AF23" i="30"/>
  <c r="B25" i="30"/>
  <c r="BG25" i="30" s="1"/>
  <c r="H23" i="30"/>
  <c r="N23" i="30"/>
  <c r="R7" i="30"/>
  <c r="AD7" i="30"/>
  <c r="BE7" i="30"/>
  <c r="R25" i="30"/>
  <c r="BE24" i="30"/>
  <c r="E25" i="30"/>
  <c r="BJ25" i="30" s="1"/>
  <c r="BE25" i="30"/>
  <c r="E24" i="30" l="1"/>
  <c r="AD23" i="30"/>
  <c r="L25" i="30"/>
  <c r="AP7" i="30"/>
  <c r="AP24" i="30"/>
  <c r="AP23" i="30" s="1"/>
  <c r="L7" i="30"/>
  <c r="B23" i="30"/>
  <c r="X24" i="30"/>
  <c r="X23" i="30" s="1"/>
  <c r="R24" i="30"/>
  <c r="R23" i="30" s="1"/>
  <c r="L24" i="30"/>
  <c r="AJ24" i="30"/>
  <c r="AJ7" i="30"/>
  <c r="AJ25" i="30"/>
  <c r="BG23" i="30"/>
  <c r="E23" i="30" l="1"/>
  <c r="J16" i="49" s="1"/>
  <c r="BJ24" i="30"/>
  <c r="BJ23" i="30" s="1"/>
  <c r="F24" i="30"/>
  <c r="BK24" i="30" s="1"/>
  <c r="F25" i="30"/>
  <c r="BK25" i="30" s="1"/>
  <c r="L23" i="30"/>
  <c r="F7" i="30"/>
  <c r="BK7" i="30" s="1"/>
  <c r="AJ23" i="30"/>
  <c r="BK23" i="30" l="1"/>
  <c r="F23" i="30"/>
  <c r="AT4" i="30"/>
  <c r="AU4" i="30" s="1"/>
  <c r="AV4" i="30" s="1"/>
  <c r="AW4" i="30" s="1"/>
  <c r="AX4" i="30" s="1"/>
  <c r="N3" i="30"/>
  <c r="T3" i="30" s="1"/>
  <c r="Z3" i="30" s="1"/>
  <c r="AF3" i="30" s="1"/>
  <c r="AL3" i="30" s="1"/>
  <c r="BE14" i="30" l="1"/>
  <c r="AP14" i="30"/>
  <c r="Z14" i="30"/>
  <c r="N14" i="30"/>
  <c r="AF14" i="30"/>
  <c r="H14" i="30"/>
  <c r="T14" i="30"/>
  <c r="B14" i="30" l="1"/>
  <c r="BG14" i="30" s="1"/>
  <c r="E14" i="30"/>
  <c r="BJ14" i="30" s="1"/>
  <c r="R14" i="30"/>
  <c r="X14" i="30"/>
  <c r="AD14" i="30"/>
  <c r="AJ14" i="30"/>
  <c r="L14" i="30"/>
  <c r="F14" i="30" l="1"/>
  <c r="BK14" i="30" s="1"/>
  <c r="AF10" i="30" l="1"/>
  <c r="Z10" i="30"/>
  <c r="T10" i="30"/>
  <c r="N10" i="30"/>
  <c r="H10" i="30"/>
  <c r="AF6" i="30"/>
  <c r="Z6" i="30"/>
  <c r="T6" i="30"/>
  <c r="N6" i="30"/>
  <c r="H6" i="30"/>
  <c r="B10" i="30" l="1"/>
  <c r="BG10" i="30" s="1"/>
  <c r="B6" i="30"/>
  <c r="BG6" i="30" s="1"/>
  <c r="BE6" i="30"/>
  <c r="BE10" i="30"/>
  <c r="AP10" i="30" l="1"/>
  <c r="AD6" i="30"/>
  <c r="X10" i="30"/>
  <c r="X6" i="30"/>
  <c r="R10" i="30"/>
  <c r="R6" i="30"/>
  <c r="L6" i="30"/>
  <c r="L10" i="30"/>
  <c r="AJ6" i="30"/>
  <c r="AD10" i="30"/>
  <c r="AJ10" i="30"/>
  <c r="F10" i="30" l="1"/>
  <c r="BK10" i="30" s="1"/>
  <c r="F6" i="30"/>
  <c r="AF8" i="30"/>
  <c r="Z8" i="30"/>
  <c r="T8" i="30"/>
  <c r="N8" i="30"/>
  <c r="H8" i="30"/>
  <c r="B8" i="30" l="1"/>
  <c r="BG8" i="30" s="1"/>
  <c r="BE8" i="30"/>
  <c r="E5" i="30" l="1"/>
  <c r="AP8" i="30"/>
  <c r="R8" i="30"/>
  <c r="AD8" i="30"/>
  <c r="L8" i="30"/>
  <c r="X8" i="30"/>
  <c r="AJ8" i="30"/>
  <c r="F8" i="30" l="1"/>
  <c r="BK8" i="30" s="1"/>
  <c r="AP22" i="30" l="1"/>
  <c r="AP20" i="30" l="1"/>
  <c r="AP19" i="30" s="1"/>
  <c r="AF22" i="30"/>
  <c r="AF20" i="30"/>
  <c r="Z22" i="30"/>
  <c r="Z20" i="30"/>
  <c r="Z13" i="30"/>
  <c r="T22" i="30"/>
  <c r="T20" i="30"/>
  <c r="T13" i="30"/>
  <c r="N22" i="30"/>
  <c r="N20" i="30"/>
  <c r="N13" i="30"/>
  <c r="H22" i="30"/>
  <c r="H20" i="30"/>
  <c r="H13" i="30"/>
  <c r="B22" i="30" l="1"/>
  <c r="BG22" i="30" s="1"/>
  <c r="B13" i="30"/>
  <c r="BG13" i="30" s="1"/>
  <c r="B20" i="30"/>
  <c r="BG20" i="30" s="1"/>
  <c r="H19" i="30"/>
  <c r="N19" i="30"/>
  <c r="T19" i="30"/>
  <c r="Z19" i="30"/>
  <c r="AF19" i="30"/>
  <c r="BE22" i="30"/>
  <c r="B19" i="30" l="1"/>
  <c r="AJ22" i="30"/>
  <c r="AD22" i="30"/>
  <c r="X22" i="30"/>
  <c r="R22" i="30"/>
  <c r="BE20" i="30"/>
  <c r="E20" i="30" l="1"/>
  <c r="E22" i="30"/>
  <c r="BG19" i="30"/>
  <c r="AD20" i="30"/>
  <c r="AD19" i="30" s="1"/>
  <c r="AJ20" i="30"/>
  <c r="AJ19" i="30" s="1"/>
  <c r="R20" i="30"/>
  <c r="R19" i="30" s="1"/>
  <c r="X20" i="30"/>
  <c r="X19" i="30" s="1"/>
  <c r="Z5" i="30"/>
  <c r="L20" i="30"/>
  <c r="L22" i="30"/>
  <c r="F22" i="30" l="1"/>
  <c r="BK22" i="30" s="1"/>
  <c r="BJ22" i="30"/>
  <c r="F20" i="30"/>
  <c r="BK20" i="30" s="1"/>
  <c r="BJ20" i="30"/>
  <c r="E19" i="30"/>
  <c r="J15" i="49" s="1"/>
  <c r="L19" i="30"/>
  <c r="N5" i="30"/>
  <c r="H5" i="30"/>
  <c r="AF5" i="30"/>
  <c r="BK19" i="30" l="1"/>
  <c r="BJ19" i="30"/>
  <c r="F19" i="30"/>
  <c r="L5" i="30"/>
  <c r="AD5" i="30"/>
  <c r="R5" i="30"/>
  <c r="AJ5" i="30" l="1"/>
  <c r="T5" i="30"/>
  <c r="X5" i="30" l="1"/>
  <c r="F5" i="30" l="1"/>
  <c r="BE13" i="30" l="1"/>
  <c r="E13" i="30" l="1"/>
  <c r="BJ13" i="30" s="1"/>
  <c r="AJ13" i="30"/>
  <c r="AP13" i="30"/>
  <c r="L13" i="30"/>
  <c r="AD13" i="30"/>
  <c r="R13" i="30"/>
  <c r="X13" i="30"/>
  <c r="F13" i="30" l="1"/>
  <c r="BK13" i="30" s="1"/>
  <c r="B5" i="30" l="1"/>
  <c r="BG5" i="30"/>
  <c r="AL5" i="30"/>
  <c r="AP6" i="30"/>
  <c r="AP5" i="30" l="1"/>
  <c r="BK6" i="30"/>
  <c r="BK5" i="30" s="1"/>
  <c r="J12" i="49"/>
  <c r="O18" i="30" l="1"/>
  <c r="O12" i="30" s="1"/>
  <c r="O11" i="30" s="1"/>
  <c r="F47" i="30" s="1"/>
  <c r="P18" i="30"/>
  <c r="P12" i="30" s="1"/>
  <c r="P11" i="30" s="1"/>
  <c r="F50" i="30" s="1"/>
  <c r="BA18" i="30"/>
  <c r="N18" i="30" s="1"/>
  <c r="AF18" i="30" l="1"/>
  <c r="AF12" i="30" s="1"/>
  <c r="AF11" i="30" s="1"/>
  <c r="AB18" i="30"/>
  <c r="AB12" i="30" s="1"/>
  <c r="AB11" i="30" s="1"/>
  <c r="H50" i="30" s="1"/>
  <c r="T18" i="30"/>
  <c r="T12" i="30" s="1"/>
  <c r="T11" i="30" s="1"/>
  <c r="V18" i="30"/>
  <c r="V12" i="30" s="1"/>
  <c r="V11" i="30" s="1"/>
  <c r="G50" i="30" s="1"/>
  <c r="J18" i="30"/>
  <c r="N12" i="30"/>
  <c r="N11" i="30" s="1"/>
  <c r="BD18" i="30"/>
  <c r="AL18" i="30"/>
  <c r="Z18" i="30"/>
  <c r="H18" i="30"/>
  <c r="AM18" i="30"/>
  <c r="AM12" i="30" s="1"/>
  <c r="AM11" i="30" s="1"/>
  <c r="J47" i="30" s="1"/>
  <c r="AG18" i="30"/>
  <c r="AG12" i="30" s="1"/>
  <c r="AG11" i="30" s="1"/>
  <c r="I47" i="30" s="1"/>
  <c r="AN18" i="30"/>
  <c r="AN12" i="30" s="1"/>
  <c r="AN11" i="30" s="1"/>
  <c r="J50" i="30" s="1"/>
  <c r="I18" i="30"/>
  <c r="U18" i="30"/>
  <c r="U12" i="30" s="1"/>
  <c r="U11" i="30" s="1"/>
  <c r="G47" i="30" s="1"/>
  <c r="AH18" i="30"/>
  <c r="AH12" i="30" s="1"/>
  <c r="AH11" i="30" s="1"/>
  <c r="I50" i="30" s="1"/>
  <c r="AA18" i="30"/>
  <c r="AA12" i="30" s="1"/>
  <c r="AA11" i="30" s="1"/>
  <c r="H47" i="30" s="1"/>
  <c r="J12" i="30" l="1"/>
  <c r="J11" i="30" s="1"/>
  <c r="E50" i="30" s="1"/>
  <c r="Z12" i="30"/>
  <c r="Z11" i="30" s="1"/>
  <c r="I60" i="30"/>
  <c r="W18" i="30"/>
  <c r="W12" i="30" s="1"/>
  <c r="W11" i="30" s="1"/>
  <c r="AI18" i="30"/>
  <c r="AO18" i="30"/>
  <c r="AO12" i="30" s="1"/>
  <c r="AO11" i="30" s="1"/>
  <c r="Q18" i="30"/>
  <c r="K18" i="30"/>
  <c r="AC18" i="30"/>
  <c r="AC12" i="30" s="1"/>
  <c r="AC11" i="30" s="1"/>
  <c r="I76" i="30"/>
  <c r="C18" i="30"/>
  <c r="C12" i="30" s="1"/>
  <c r="D13" i="49" s="1"/>
  <c r="I12" i="30"/>
  <c r="I11" i="30" s="1"/>
  <c r="E47" i="30" s="1"/>
  <c r="AL12" i="30"/>
  <c r="AL11" i="30" s="1"/>
  <c r="B18" i="30"/>
  <c r="BG18" i="30" s="1"/>
  <c r="H12" i="30"/>
  <c r="H11" i="30" s="1"/>
  <c r="BE18" i="30"/>
  <c r="D18" i="30"/>
  <c r="D12" i="30" s="1"/>
  <c r="E13" i="49" s="1"/>
  <c r="BH18" i="30" l="1"/>
  <c r="BH12" i="30" s="1"/>
  <c r="BH11" i="30" s="1"/>
  <c r="BI18" i="30"/>
  <c r="BI12" i="30" s="1"/>
  <c r="BI11" i="30" s="1"/>
  <c r="AP18" i="30"/>
  <c r="AP12" i="30" s="1"/>
  <c r="AP11" i="30" s="1"/>
  <c r="AD18" i="30"/>
  <c r="AD12" i="30" s="1"/>
  <c r="AD11" i="30" s="1"/>
  <c r="F60" i="30"/>
  <c r="BG12" i="30"/>
  <c r="BG11" i="30" s="1"/>
  <c r="G76" i="30"/>
  <c r="C11" i="30"/>
  <c r="X18" i="30"/>
  <c r="X12" i="30" s="1"/>
  <c r="X11" i="30" s="1"/>
  <c r="G60" i="30"/>
  <c r="E18" i="30"/>
  <c r="E12" i="30" s="1"/>
  <c r="I13" i="49" s="1"/>
  <c r="K12" i="30"/>
  <c r="K11" i="30" s="1"/>
  <c r="L18" i="30"/>
  <c r="Q12" i="30"/>
  <c r="Q11" i="30" s="1"/>
  <c r="R18" i="30"/>
  <c r="R12" i="30" s="1"/>
  <c r="R11" i="30" s="1"/>
  <c r="F76" i="30"/>
  <c r="D11" i="30"/>
  <c r="B12" i="30"/>
  <c r="AI12" i="30"/>
  <c r="AI11" i="30" s="1"/>
  <c r="AJ18" i="30"/>
  <c r="AJ12" i="30" s="1"/>
  <c r="AJ11" i="30" s="1"/>
  <c r="BJ18" i="30" l="1"/>
  <c r="BJ12" i="30" s="1"/>
  <c r="BJ11" i="30" s="1"/>
  <c r="L12" i="30"/>
  <c r="L11" i="30" s="1"/>
  <c r="C13" i="49"/>
  <c r="J14" i="49"/>
  <c r="J13" i="49" s="1"/>
  <c r="F18" i="30"/>
  <c r="F12" i="30" s="1"/>
  <c r="F11" i="30" s="1"/>
  <c r="B11" i="30"/>
  <c r="E76" i="30"/>
  <c r="E72" i="30"/>
  <c r="O50" i="30"/>
  <c r="H60" i="30"/>
  <c r="H29" i="30"/>
  <c r="C30" i="49" s="1"/>
  <c r="J60" i="30"/>
  <c r="E11" i="30"/>
  <c r="O47" i="30"/>
  <c r="E60" i="30"/>
  <c r="E56" i="30"/>
  <c r="J76" i="30"/>
  <c r="H76" i="30"/>
  <c r="BK18" i="30" l="1"/>
  <c r="BK12" i="30" s="1"/>
  <c r="BK11" i="30" s="1"/>
  <c r="O60" i="30"/>
  <c r="E78" i="30"/>
  <c r="E79" i="30" s="1"/>
  <c r="E84" i="30"/>
  <c r="J28" i="30" s="1"/>
  <c r="E73" i="30"/>
  <c r="F72" i="30"/>
  <c r="N26" i="30"/>
  <c r="O76" i="30"/>
  <c r="E68" i="30"/>
  <c r="I27" i="30" s="1"/>
  <c r="E57" i="30"/>
  <c r="E62" i="30"/>
  <c r="F56" i="30"/>
  <c r="J26" i="30" l="1"/>
  <c r="J29" i="30" s="1"/>
  <c r="I26" i="30"/>
  <c r="I29" i="30" s="1"/>
  <c r="L28" i="30"/>
  <c r="E63" i="30"/>
  <c r="F78" i="30"/>
  <c r="F79" i="30" s="1"/>
  <c r="G72" i="30"/>
  <c r="N29" i="30"/>
  <c r="D30" i="49" s="1"/>
  <c r="F62" i="30"/>
  <c r="F63" i="30" s="1"/>
  <c r="G56" i="30"/>
  <c r="E66" i="30"/>
  <c r="F57" i="30"/>
  <c r="E65" i="30"/>
  <c r="E82" i="30"/>
  <c r="F73" i="30"/>
  <c r="E81" i="30"/>
  <c r="G78" i="30" l="1"/>
  <c r="H72" i="30"/>
  <c r="E83" i="30"/>
  <c r="F74" i="30" s="1"/>
  <c r="G62" i="30"/>
  <c r="H56" i="30"/>
  <c r="F66" i="30"/>
  <c r="G57" i="30"/>
  <c r="F65" i="30"/>
  <c r="T26" i="30"/>
  <c r="F82" i="30"/>
  <c r="F81" i="30"/>
  <c r="G73" i="30"/>
  <c r="E67" i="30"/>
  <c r="F58" i="30" s="1"/>
  <c r="E85" i="30" l="1"/>
  <c r="E69" i="30"/>
  <c r="H73" i="30"/>
  <c r="G82" i="30"/>
  <c r="G81" i="30"/>
  <c r="G66" i="30"/>
  <c r="H57" i="30"/>
  <c r="G65" i="30"/>
  <c r="F83" i="30"/>
  <c r="G74" i="30" s="1"/>
  <c r="F84" i="30"/>
  <c r="P28" i="30" s="1"/>
  <c r="F67" i="30"/>
  <c r="G58" i="30" s="1"/>
  <c r="F68" i="30"/>
  <c r="O27" i="30" s="1"/>
  <c r="H78" i="30"/>
  <c r="H79" i="30" s="1"/>
  <c r="I72" i="30"/>
  <c r="G63" i="30"/>
  <c r="T29" i="30"/>
  <c r="E30" i="49" s="1"/>
  <c r="H62" i="30"/>
  <c r="H63" i="30" s="1"/>
  <c r="I56" i="30"/>
  <c r="G79" i="30"/>
  <c r="P26" i="30" l="1"/>
  <c r="P29" i="30" s="1"/>
  <c r="O26" i="30"/>
  <c r="O29" i="30" s="1"/>
  <c r="R28" i="30"/>
  <c r="F69" i="30"/>
  <c r="F85" i="30"/>
  <c r="G83" i="30"/>
  <c r="H74" i="30" s="1"/>
  <c r="G84" i="30"/>
  <c r="V28" i="30" s="1"/>
  <c r="G67" i="30"/>
  <c r="H58" i="30" s="1"/>
  <c r="G68" i="30"/>
  <c r="U27" i="30" s="1"/>
  <c r="H65" i="30"/>
  <c r="I57" i="30"/>
  <c r="H66" i="30"/>
  <c r="H81" i="30"/>
  <c r="I73" i="30"/>
  <c r="H82" i="30"/>
  <c r="I62" i="30"/>
  <c r="I63" i="30" s="1"/>
  <c r="J56" i="30"/>
  <c r="Z26" i="30"/>
  <c r="I78" i="30"/>
  <c r="I79" i="30" s="1"/>
  <c r="J72" i="30"/>
  <c r="V26" i="30" l="1"/>
  <c r="V29" i="30" s="1"/>
  <c r="X28" i="30"/>
  <c r="U26" i="30"/>
  <c r="U29" i="30" s="1"/>
  <c r="G69" i="30"/>
  <c r="G85" i="30"/>
  <c r="I66" i="30"/>
  <c r="J57" i="30"/>
  <c r="I65" i="30"/>
  <c r="Z29" i="30"/>
  <c r="F30" i="49" s="1"/>
  <c r="I82" i="30"/>
  <c r="I81" i="30"/>
  <c r="J73" i="30"/>
  <c r="H83" i="30"/>
  <c r="I74" i="30" s="1"/>
  <c r="H84" i="30"/>
  <c r="AB28" i="30" s="1"/>
  <c r="J78" i="30"/>
  <c r="J86" i="30"/>
  <c r="J84" i="30"/>
  <c r="K72" i="30"/>
  <c r="K56" i="30"/>
  <c r="J70" i="30"/>
  <c r="AO27" i="30" s="1"/>
  <c r="J62" i="30"/>
  <c r="J68" i="30"/>
  <c r="AM27" i="30" s="1"/>
  <c r="AM26" i="30" s="1"/>
  <c r="H67" i="30"/>
  <c r="I58" i="30" s="1"/>
  <c r="H68" i="30"/>
  <c r="AA27" i="30" s="1"/>
  <c r="AA26" i="30" s="1"/>
  <c r="AA29" i="30" s="1"/>
  <c r="AO28" i="30" l="1"/>
  <c r="AO26" i="30" s="1"/>
  <c r="AN28" i="30"/>
  <c r="AN26" i="30" s="1"/>
  <c r="AB26" i="30"/>
  <c r="AB29" i="30" s="1"/>
  <c r="AD28" i="30"/>
  <c r="H69" i="30"/>
  <c r="H85" i="30"/>
  <c r="J79" i="30"/>
  <c r="J66" i="30"/>
  <c r="J65" i="30"/>
  <c r="K57" i="30"/>
  <c r="J63" i="30"/>
  <c r="J81" i="30"/>
  <c r="J82" i="30"/>
  <c r="K73" i="30"/>
  <c r="I67" i="30"/>
  <c r="J58" i="30" s="1"/>
  <c r="I68" i="30"/>
  <c r="K84" i="30"/>
  <c r="L72" i="30"/>
  <c r="K78" i="30"/>
  <c r="K79" i="30" s="1"/>
  <c r="K86" i="30"/>
  <c r="K68" i="30"/>
  <c r="K70" i="30"/>
  <c r="L56" i="30"/>
  <c r="K62" i="30"/>
  <c r="K63" i="30" s="1"/>
  <c r="I83" i="30"/>
  <c r="J74" i="30" s="1"/>
  <c r="I84" i="30"/>
  <c r="AH28" i="30" s="1"/>
  <c r="AF26" i="30"/>
  <c r="AP28" i="30" l="1"/>
  <c r="AH26" i="30"/>
  <c r="AH29" i="30" s="1"/>
  <c r="I32" i="49" s="1"/>
  <c r="AJ28" i="30"/>
  <c r="D28" i="30"/>
  <c r="BI28" i="30" s="1"/>
  <c r="AG27" i="30"/>
  <c r="AG26" i="30" s="1"/>
  <c r="AG29" i="30" s="1"/>
  <c r="AN29" i="30"/>
  <c r="AM29" i="30"/>
  <c r="AO29" i="30"/>
  <c r="I85" i="30"/>
  <c r="I69" i="30"/>
  <c r="D27" i="30"/>
  <c r="AF29" i="30"/>
  <c r="G30" i="49" s="1"/>
  <c r="B27" i="30"/>
  <c r="L68" i="30"/>
  <c r="M56" i="30"/>
  <c r="L70" i="30"/>
  <c r="L62" i="30"/>
  <c r="L63" i="30" s="1"/>
  <c r="AP27" i="30"/>
  <c r="AL29" i="30"/>
  <c r="H30" i="49" s="1"/>
  <c r="L57" i="30"/>
  <c r="J83" i="30"/>
  <c r="K74" i="30" s="1"/>
  <c r="L86" i="30"/>
  <c r="M72" i="30"/>
  <c r="L78" i="30"/>
  <c r="L79" i="30" s="1"/>
  <c r="L84" i="30"/>
  <c r="J67" i="30"/>
  <c r="K58" i="30" s="1"/>
  <c r="L73" i="30"/>
  <c r="K82" i="30"/>
  <c r="K81" i="30"/>
  <c r="AP26" i="30" l="1"/>
  <c r="AP29" i="30" s="1"/>
  <c r="C27" i="30"/>
  <c r="C26" i="30" s="1"/>
  <c r="D18" i="49" s="1"/>
  <c r="E28" i="30"/>
  <c r="F28" i="30" s="1"/>
  <c r="BK28" i="30" s="1"/>
  <c r="D26" i="30"/>
  <c r="E18" i="49" s="1"/>
  <c r="E19" i="49" s="1"/>
  <c r="BG27" i="30"/>
  <c r="BG26" i="30" s="1"/>
  <c r="BG29" i="30" s="1"/>
  <c r="B26" i="30"/>
  <c r="BI27" i="30"/>
  <c r="I30" i="49"/>
  <c r="H34" i="49"/>
  <c r="I31" i="49"/>
  <c r="J85" i="30"/>
  <c r="J69" i="30"/>
  <c r="M57" i="30"/>
  <c r="K83" i="30"/>
  <c r="L74" i="30" s="1"/>
  <c r="N56" i="30"/>
  <c r="M70" i="30"/>
  <c r="M68" i="30"/>
  <c r="M62" i="30"/>
  <c r="M63" i="30" s="1"/>
  <c r="L81" i="30"/>
  <c r="M73" i="30"/>
  <c r="L82" i="30"/>
  <c r="M86" i="30"/>
  <c r="M78" i="30"/>
  <c r="M79" i="30" s="1"/>
  <c r="N72" i="30"/>
  <c r="M84" i="30"/>
  <c r="I7" i="47" l="1"/>
  <c r="I8" i="47" s="1"/>
  <c r="D31" i="30"/>
  <c r="BH27" i="30"/>
  <c r="BH26" i="30" s="1"/>
  <c r="BH29" i="30" s="1"/>
  <c r="BJ28" i="30"/>
  <c r="D29" i="30"/>
  <c r="C29" i="30"/>
  <c r="BI26" i="30"/>
  <c r="BI29" i="30" s="1"/>
  <c r="D19" i="49"/>
  <c r="C31" i="30" s="1"/>
  <c r="G7" i="47"/>
  <c r="G8" i="47" s="1"/>
  <c r="H7" i="47"/>
  <c r="H8" i="47" s="1"/>
  <c r="C18" i="49"/>
  <c r="B29" i="30"/>
  <c r="L83" i="30"/>
  <c r="M74" i="30" s="1"/>
  <c r="N57" i="30"/>
  <c r="N68" i="30"/>
  <c r="O68" i="30" s="1"/>
  <c r="N62" i="30"/>
  <c r="N70" i="30"/>
  <c r="N84" i="30"/>
  <c r="O84" i="30" s="1"/>
  <c r="N86" i="30"/>
  <c r="N78" i="30"/>
  <c r="N73" i="30"/>
  <c r="M81" i="30"/>
  <c r="M82" i="30"/>
  <c r="K85" i="30"/>
  <c r="I9" i="47" l="1"/>
  <c r="G9" i="47"/>
  <c r="L85" i="30"/>
  <c r="N63" i="30"/>
  <c r="O63" i="30" s="1"/>
  <c r="E59" i="30"/>
  <c r="O62" i="30"/>
  <c r="N82" i="30"/>
  <c r="O82" i="30" s="1"/>
  <c r="N81" i="30"/>
  <c r="O81" i="30" s="1"/>
  <c r="N79" i="30"/>
  <c r="O79" i="30" s="1"/>
  <c r="E75" i="30"/>
  <c r="O78" i="30"/>
  <c r="M83" i="30"/>
  <c r="N74" i="30" s="1"/>
  <c r="M85" i="30" l="1"/>
  <c r="E80" i="30"/>
  <c r="E86" i="30"/>
  <c r="F86" i="30"/>
  <c r="G86" i="30"/>
  <c r="H86" i="30"/>
  <c r="I86" i="30"/>
  <c r="N83" i="30"/>
  <c r="N85" i="30" s="1"/>
  <c r="E64" i="30"/>
  <c r="E70" i="30"/>
  <c r="K27" i="30" s="1"/>
  <c r="F70" i="30"/>
  <c r="Q27" i="30" s="1"/>
  <c r="G70" i="30"/>
  <c r="W27" i="30" s="1"/>
  <c r="H70" i="30"/>
  <c r="AC27" i="30" s="1"/>
  <c r="I70" i="30"/>
  <c r="AI27" i="30" s="1"/>
  <c r="AJ27" i="30" l="1"/>
  <c r="AJ26" i="30" s="1"/>
  <c r="AJ29" i="30" s="1"/>
  <c r="AI26" i="30"/>
  <c r="AI29" i="30" s="1"/>
  <c r="AD27" i="30"/>
  <c r="AD26" i="30" s="1"/>
  <c r="AD29" i="30" s="1"/>
  <c r="AC26" i="30"/>
  <c r="AC29" i="30" s="1"/>
  <c r="W26" i="30"/>
  <c r="W29" i="30" s="1"/>
  <c r="X27" i="30"/>
  <c r="X26" i="30" s="1"/>
  <c r="X29" i="30" s="1"/>
  <c r="K26" i="30"/>
  <c r="K29" i="30" s="1"/>
  <c r="L27" i="30"/>
  <c r="E27" i="30"/>
  <c r="BJ27" i="30" s="1"/>
  <c r="BJ26" i="30" s="1"/>
  <c r="BJ29" i="30" s="1"/>
  <c r="Q26" i="30"/>
  <c r="Q29" i="30" s="1"/>
  <c r="R27" i="30"/>
  <c r="R26" i="30" s="1"/>
  <c r="R29" i="30" s="1"/>
  <c r="O85" i="30"/>
  <c r="K66" i="30"/>
  <c r="K65" i="30"/>
  <c r="L66" i="30"/>
  <c r="L65" i="30"/>
  <c r="M66" i="30"/>
  <c r="M65" i="30"/>
  <c r="N65" i="30"/>
  <c r="N66" i="30"/>
  <c r="O70" i="30"/>
  <c r="O86" i="30"/>
  <c r="L26" i="30" l="1"/>
  <c r="L29" i="30" s="1"/>
  <c r="I33" i="49"/>
  <c r="I34" i="49" s="1"/>
  <c r="E26" i="30"/>
  <c r="F27" i="30"/>
  <c r="F26" i="30" s="1"/>
  <c r="F29" i="30" s="1"/>
  <c r="O66" i="30"/>
  <c r="O65" i="30"/>
  <c r="K67" i="30"/>
  <c r="L58" i="30" s="1"/>
  <c r="BK27" i="30" l="1"/>
  <c r="BK26" i="30" s="1"/>
  <c r="BK29" i="30" s="1"/>
  <c r="E29" i="30"/>
  <c r="K69" i="30"/>
  <c r="L67" i="30"/>
  <c r="M58" i="30" s="1"/>
  <c r="I18" i="49" l="1"/>
  <c r="J17" i="49"/>
  <c r="J18" i="49" s="1"/>
  <c r="L69" i="30"/>
  <c r="M67" i="30"/>
  <c r="N58" i="30" s="1"/>
  <c r="K7" i="47" l="1"/>
  <c r="M69" i="30"/>
  <c r="N67" i="30"/>
  <c r="N69" i="30" s="1"/>
  <c r="L7" i="47" l="1"/>
  <c r="O69" i="30"/>
  <c r="AF26" i="48"/>
  <c r="I26" i="48" l="1"/>
  <c r="K8" i="48"/>
  <c r="K5" i="48" s="1"/>
  <c r="AD26" i="48"/>
  <c r="AE26" i="48"/>
  <c r="AV27" i="48"/>
  <c r="Z27" i="48"/>
  <c r="X27" i="48"/>
  <c r="AG27" i="48"/>
  <c r="AL27" i="48"/>
  <c r="L27" i="48"/>
  <c r="AT27" i="48"/>
  <c r="AM27" i="48"/>
  <c r="Y27" i="48"/>
  <c r="AF27" i="48"/>
  <c r="AF25" i="48" s="1"/>
  <c r="S27" i="48"/>
  <c r="Q27" i="48"/>
  <c r="AH27" i="48"/>
  <c r="J27" i="48"/>
  <c r="AO27" i="48"/>
  <c r="T27" i="48"/>
  <c r="AN27" i="48"/>
  <c r="K27" i="48"/>
  <c r="AD27" i="48"/>
  <c r="AD25" i="48" s="1"/>
  <c r="AK27" i="48"/>
  <c r="W27" i="48"/>
  <c r="R27" i="48"/>
  <c r="M27" i="48"/>
  <c r="AR27" i="48"/>
  <c r="P27" i="48"/>
  <c r="AE27" i="48"/>
  <c r="AA27" i="48"/>
  <c r="AS27" i="48"/>
  <c r="I27" i="48"/>
  <c r="AU27" i="48"/>
  <c r="AO26" i="48"/>
  <c r="AU26" i="48"/>
  <c r="W26" i="48"/>
  <c r="P26" i="48"/>
  <c r="M26" i="48"/>
  <c r="Z26" i="48"/>
  <c r="AV26" i="48"/>
  <c r="R26" i="48"/>
  <c r="X26" i="48"/>
  <c r="AN26" i="48"/>
  <c r="AM26" i="48"/>
  <c r="L26" i="48"/>
  <c r="K26" i="48"/>
  <c r="AH26" i="48"/>
  <c r="AG26" i="48"/>
  <c r="AA26" i="48"/>
  <c r="AS26" i="48"/>
  <c r="Q26" i="48"/>
  <c r="AK26" i="48"/>
  <c r="J26" i="48"/>
  <c r="AR26" i="48"/>
  <c r="AT26" i="48"/>
  <c r="T26" i="48"/>
  <c r="Y26" i="48"/>
  <c r="S26" i="48"/>
  <c r="AL26" i="48"/>
  <c r="Y25" i="48" l="1"/>
  <c r="AA8" i="48"/>
  <c r="AA5" i="48" s="1"/>
  <c r="AV25" i="48"/>
  <c r="AO8" i="48"/>
  <c r="AO5" i="48" s="1"/>
  <c r="AE25" i="48"/>
  <c r="AG8" i="48"/>
  <c r="AG5" i="48" s="1"/>
  <c r="Q25" i="48"/>
  <c r="AO25" i="48"/>
  <c r="X25" i="48"/>
  <c r="R25" i="48"/>
  <c r="AF8" i="48"/>
  <c r="AF5" i="48" s="1"/>
  <c r="AF30" i="48" s="1"/>
  <c r="F25" i="49" s="1"/>
  <c r="AH8" i="48"/>
  <c r="AH5" i="48" s="1"/>
  <c r="I25" i="48"/>
  <c r="AR8" i="48"/>
  <c r="AR5" i="48" s="1"/>
  <c r="AN8" i="48"/>
  <c r="AN5" i="48" s="1"/>
  <c r="AA25" i="48"/>
  <c r="AE8" i="48"/>
  <c r="AE5" i="48" s="1"/>
  <c r="AE30" i="48" s="1"/>
  <c r="F26" i="49" s="1"/>
  <c r="R8" i="48"/>
  <c r="R5" i="48" s="1"/>
  <c r="Q8" i="48"/>
  <c r="Q5" i="48" s="1"/>
  <c r="S25" i="48"/>
  <c r="J8" i="48"/>
  <c r="J5" i="48" s="1"/>
  <c r="M8" i="48"/>
  <c r="M5" i="48" s="1"/>
  <c r="L8" i="48"/>
  <c r="L5" i="48" s="1"/>
  <c r="I8" i="48"/>
  <c r="I5" i="48" s="1"/>
  <c r="AV8" i="48"/>
  <c r="AV5" i="48" s="1"/>
  <c r="AU8" i="48"/>
  <c r="AU5" i="48" s="1"/>
  <c r="X8" i="48"/>
  <c r="X5" i="48" s="1"/>
  <c r="AI26" i="48"/>
  <c r="AD8" i="48"/>
  <c r="AS8" i="48"/>
  <c r="AS5" i="48" s="1"/>
  <c r="Y8" i="48"/>
  <c r="Y5" i="48" s="1"/>
  <c r="S8" i="48"/>
  <c r="S5" i="48" s="1"/>
  <c r="S30" i="48" s="1"/>
  <c r="D27" i="49" s="1"/>
  <c r="AT25" i="48"/>
  <c r="T8" i="48"/>
  <c r="T5" i="48" s="1"/>
  <c r="AK8" i="48"/>
  <c r="AK5" i="48" s="1"/>
  <c r="AL8" i="48"/>
  <c r="AL5" i="48" s="1"/>
  <c r="W8" i="48"/>
  <c r="AT8" i="48"/>
  <c r="AT5" i="48" s="1"/>
  <c r="Z8" i="48"/>
  <c r="Z5" i="48" s="1"/>
  <c r="AM8" i="48"/>
  <c r="AM5" i="48" s="1"/>
  <c r="P8" i="48"/>
  <c r="P5" i="48" s="1"/>
  <c r="AH25" i="48"/>
  <c r="AN25" i="48"/>
  <c r="AN30" i="48" s="1"/>
  <c r="Z25" i="48"/>
  <c r="AU25" i="48"/>
  <c r="AP27" i="48"/>
  <c r="AL25" i="48"/>
  <c r="J25" i="48"/>
  <c r="C26" i="48"/>
  <c r="E26" i="48"/>
  <c r="L25" i="48"/>
  <c r="P25" i="48"/>
  <c r="U26" i="48"/>
  <c r="R30" i="48"/>
  <c r="D25" i="49" s="1"/>
  <c r="Q30" i="48"/>
  <c r="D26" i="49" s="1"/>
  <c r="D27" i="48"/>
  <c r="BQ27" i="48" s="1"/>
  <c r="C27" i="48"/>
  <c r="BP27" i="48" s="1"/>
  <c r="E27" i="48"/>
  <c r="BR27" i="48" s="1"/>
  <c r="B26" i="48"/>
  <c r="BO26" i="48" s="1"/>
  <c r="N26" i="48"/>
  <c r="T25" i="48"/>
  <c r="AK25" i="48"/>
  <c r="AP26" i="48"/>
  <c r="AG25" i="48"/>
  <c r="AM25" i="48"/>
  <c r="W25" i="48"/>
  <c r="AB26" i="48"/>
  <c r="N27" i="48"/>
  <c r="B27" i="48"/>
  <c r="BO27" i="48" s="1"/>
  <c r="U27" i="48"/>
  <c r="AB27" i="48"/>
  <c r="AW27" i="48"/>
  <c r="AW26" i="48"/>
  <c r="AR25" i="48"/>
  <c r="AS25" i="48"/>
  <c r="D26" i="48"/>
  <c r="BQ26" i="48" s="1"/>
  <c r="K25" i="48"/>
  <c r="K30" i="48" s="1"/>
  <c r="C25" i="49" s="1"/>
  <c r="M25" i="48"/>
  <c r="F26" i="48"/>
  <c r="F27" i="48"/>
  <c r="BS27" i="48" s="1"/>
  <c r="AI27" i="48"/>
  <c r="Y30" i="48" l="1"/>
  <c r="E25" i="49" s="1"/>
  <c r="X30" i="48"/>
  <c r="E26" i="49" s="1"/>
  <c r="AG30" i="48"/>
  <c r="F27" i="49" s="1"/>
  <c r="J30" i="48"/>
  <c r="C26" i="49" s="1"/>
  <c r="AS30" i="48"/>
  <c r="H26" i="49" s="1"/>
  <c r="AU30" i="48"/>
  <c r="H27" i="49" s="1"/>
  <c r="AT30" i="48"/>
  <c r="H25" i="49" s="1"/>
  <c r="Z30" i="48"/>
  <c r="E27" i="49" s="1"/>
  <c r="AP8" i="48"/>
  <c r="AP5" i="48" s="1"/>
  <c r="AW25" i="48"/>
  <c r="AB8" i="48"/>
  <c r="AB5" i="48" s="1"/>
  <c r="AI8" i="48"/>
  <c r="AI5" i="48" s="1"/>
  <c r="C8" i="48"/>
  <c r="C5" i="48" s="1"/>
  <c r="F5" i="49" s="1"/>
  <c r="U8" i="48"/>
  <c r="U5" i="48" s="1"/>
  <c r="AW8" i="48"/>
  <c r="AW5" i="48" s="1"/>
  <c r="W5" i="48"/>
  <c r="H48" i="48" s="1"/>
  <c r="D8" i="48"/>
  <c r="D5" i="48" s="1"/>
  <c r="G5" i="49" s="1"/>
  <c r="B8" i="48"/>
  <c r="BO8" i="48" s="1"/>
  <c r="BO5" i="48" s="1"/>
  <c r="F8" i="48"/>
  <c r="AL30" i="48"/>
  <c r="AD5" i="48"/>
  <c r="I48" i="48" s="1"/>
  <c r="N8" i="48"/>
  <c r="N5" i="48" s="1"/>
  <c r="AI25" i="48"/>
  <c r="E8" i="48"/>
  <c r="E5" i="48" s="1"/>
  <c r="H5" i="49" s="1"/>
  <c r="AM30" i="48"/>
  <c r="AP25" i="48"/>
  <c r="C25" i="48"/>
  <c r="F9" i="49" s="1"/>
  <c r="BT27" i="48"/>
  <c r="F25" i="48"/>
  <c r="G51" i="48"/>
  <c r="G48" i="48"/>
  <c r="E25" i="48"/>
  <c r="K51" i="48"/>
  <c r="K48" i="48"/>
  <c r="BS26" i="48"/>
  <c r="BS25" i="48" s="1"/>
  <c r="D25" i="48"/>
  <c r="BO25" i="48"/>
  <c r="J48" i="48"/>
  <c r="J51" i="48"/>
  <c r="N25" i="48"/>
  <c r="U25" i="48"/>
  <c r="BR26" i="48"/>
  <c r="BR25" i="48" s="1"/>
  <c r="BQ25" i="48"/>
  <c r="G27" i="48"/>
  <c r="F51" i="48"/>
  <c r="F48" i="48"/>
  <c r="L30" i="48"/>
  <c r="C27" i="49" s="1"/>
  <c r="AB25" i="48"/>
  <c r="G26" i="48"/>
  <c r="B25" i="48"/>
  <c r="BP26" i="48"/>
  <c r="BP25" i="48" s="1"/>
  <c r="I51" i="48" l="1"/>
  <c r="I77" i="48" s="1"/>
  <c r="I26" i="49"/>
  <c r="I25" i="49"/>
  <c r="I27" i="49"/>
  <c r="BR8" i="48"/>
  <c r="BR5" i="48" s="1"/>
  <c r="BR30" i="48" s="1"/>
  <c r="H51" i="48"/>
  <c r="BQ8" i="48"/>
  <c r="BQ5" i="48" s="1"/>
  <c r="BQ30" i="48" s="1"/>
  <c r="BP8" i="48"/>
  <c r="BP5" i="48" s="1"/>
  <c r="BP30" i="48" s="1"/>
  <c r="G8" i="48"/>
  <c r="G5" i="48" s="1"/>
  <c r="H11" i="49"/>
  <c r="H19" i="49" s="1"/>
  <c r="B5" i="48"/>
  <c r="C5" i="49" s="1"/>
  <c r="F11" i="49"/>
  <c r="C32" i="48" s="1"/>
  <c r="F5" i="48"/>
  <c r="I5" i="49" s="1"/>
  <c r="BS8" i="48"/>
  <c r="BS5" i="48" s="1"/>
  <c r="G25" i="48"/>
  <c r="C30" i="48"/>
  <c r="J61" i="48"/>
  <c r="E30" i="48"/>
  <c r="K61" i="48"/>
  <c r="G77" i="48"/>
  <c r="P48" i="48"/>
  <c r="F61" i="48"/>
  <c r="F57" i="48"/>
  <c r="K77" i="48"/>
  <c r="G11" i="49"/>
  <c r="I61" i="48"/>
  <c r="G61" i="48"/>
  <c r="BT26" i="48"/>
  <c r="BT25" i="48" s="1"/>
  <c r="J9" i="49"/>
  <c r="F73" i="48"/>
  <c r="F77" i="48"/>
  <c r="J77" i="48"/>
  <c r="H61" i="48"/>
  <c r="D30" i="48"/>
  <c r="P51" i="48" l="1"/>
  <c r="H77" i="48"/>
  <c r="F19" i="49"/>
  <c r="BT8" i="48"/>
  <c r="BT5" i="48" s="1"/>
  <c r="E32" i="48"/>
  <c r="P77" i="48"/>
  <c r="J5" i="49"/>
  <c r="F70" i="48"/>
  <c r="F63" i="48"/>
  <c r="F64" i="48" s="1"/>
  <c r="F69" i="48"/>
  <c r="F58" i="48"/>
  <c r="F79" i="48"/>
  <c r="F85" i="48"/>
  <c r="F74" i="48"/>
  <c r="F87" i="48"/>
  <c r="D32" i="48"/>
  <c r="G19" i="49"/>
  <c r="G73" i="48"/>
  <c r="C6" i="47"/>
  <c r="G57" i="48"/>
  <c r="P61" i="48"/>
  <c r="F6" i="47"/>
  <c r="F8" i="47" s="1"/>
  <c r="F10" i="47" l="1"/>
  <c r="G63" i="48"/>
  <c r="G64" i="48" s="1"/>
  <c r="G70" i="48"/>
  <c r="H57" i="48"/>
  <c r="D6" i="47"/>
  <c r="E9" i="47" s="1"/>
  <c r="D13" i="50" s="1"/>
  <c r="F83" i="48"/>
  <c r="G74" i="48"/>
  <c r="F82" i="48"/>
  <c r="F67" i="48"/>
  <c r="G58" i="48"/>
  <c r="F66" i="48"/>
  <c r="C8" i="47"/>
  <c r="C17" i="47"/>
  <c r="C18" i="47" s="1"/>
  <c r="I29" i="48"/>
  <c r="F80" i="48"/>
  <c r="G79" i="48"/>
  <c r="G80" i="48" s="1"/>
  <c r="G85" i="48"/>
  <c r="G87" i="48"/>
  <c r="H73" i="48"/>
  <c r="F68" i="48" l="1"/>
  <c r="G59" i="48" s="1"/>
  <c r="G69" i="48" s="1"/>
  <c r="G66" i="48"/>
  <c r="H58" i="48"/>
  <c r="G67" i="48"/>
  <c r="D17" i="47"/>
  <c r="D18" i="47" s="1"/>
  <c r="C19" i="47" s="1"/>
  <c r="D8" i="47"/>
  <c r="C10" i="47" s="1"/>
  <c r="I28" i="48"/>
  <c r="I30" i="48" s="1"/>
  <c r="C24" i="49" s="1"/>
  <c r="F84" i="48"/>
  <c r="G75" i="48" s="1"/>
  <c r="H79" i="48"/>
  <c r="H85" i="48"/>
  <c r="H87" i="48"/>
  <c r="I73" i="48"/>
  <c r="G83" i="48"/>
  <c r="H74" i="48"/>
  <c r="G82" i="48"/>
  <c r="H70" i="48"/>
  <c r="H63" i="48"/>
  <c r="I57" i="48"/>
  <c r="C21" i="47" l="1"/>
  <c r="G68" i="48"/>
  <c r="H59" i="48" s="1"/>
  <c r="H69" i="48" s="1"/>
  <c r="W29" i="48" s="1"/>
  <c r="I63" i="48"/>
  <c r="I64" i="48" s="1"/>
  <c r="J57" i="48"/>
  <c r="G84" i="48"/>
  <c r="H75" i="48" s="1"/>
  <c r="F86" i="48"/>
  <c r="H83" i="48"/>
  <c r="H82" i="48"/>
  <c r="I74" i="48"/>
  <c r="H64" i="48"/>
  <c r="I85" i="48"/>
  <c r="I79" i="48"/>
  <c r="I80" i="48" s="1"/>
  <c r="I87" i="48"/>
  <c r="J73" i="48"/>
  <c r="H80" i="48"/>
  <c r="P29" i="48"/>
  <c r="H67" i="48"/>
  <c r="I58" i="48"/>
  <c r="H66" i="48"/>
  <c r="G86" i="48" l="1"/>
  <c r="I82" i="48"/>
  <c r="J74" i="48"/>
  <c r="I83" i="48"/>
  <c r="J63" i="48"/>
  <c r="J64" i="48" s="1"/>
  <c r="K57" i="48"/>
  <c r="P28" i="48"/>
  <c r="P30" i="48" s="1"/>
  <c r="D24" i="49" s="1"/>
  <c r="W28" i="48"/>
  <c r="W30" i="48" s="1"/>
  <c r="E24" i="49" s="1"/>
  <c r="I67" i="48"/>
  <c r="I66" i="48"/>
  <c r="J58" i="48"/>
  <c r="H84" i="48"/>
  <c r="I75" i="48" s="1"/>
  <c r="H68" i="48"/>
  <c r="I59" i="48" s="1"/>
  <c r="J79" i="48"/>
  <c r="J80" i="48" s="1"/>
  <c r="J87" i="48"/>
  <c r="J85" i="48"/>
  <c r="K73" i="48"/>
  <c r="H86" i="48" l="1"/>
  <c r="J67" i="48"/>
  <c r="K58" i="48"/>
  <c r="J66" i="48"/>
  <c r="J82" i="48"/>
  <c r="J83" i="48"/>
  <c r="K74" i="48"/>
  <c r="K79" i="48"/>
  <c r="K80" i="48" s="1"/>
  <c r="K87" i="48"/>
  <c r="K85" i="48"/>
  <c r="L73" i="48"/>
  <c r="I84" i="48"/>
  <c r="J75" i="48" s="1"/>
  <c r="K63" i="48"/>
  <c r="K64" i="48" s="1"/>
  <c r="K71" i="48"/>
  <c r="AV29" i="48" s="1"/>
  <c r="AV28" i="48" s="1"/>
  <c r="AV30" i="48" s="1"/>
  <c r="H28" i="49" s="1"/>
  <c r="L57" i="48"/>
  <c r="K69" i="48"/>
  <c r="AR29" i="48" s="1"/>
  <c r="I68" i="48"/>
  <c r="J59" i="48" s="1"/>
  <c r="I69" i="48"/>
  <c r="I70" i="48" l="1"/>
  <c r="AR28" i="48"/>
  <c r="AR30" i="48" s="1"/>
  <c r="H24" i="49" s="1"/>
  <c r="H29" i="49" s="1"/>
  <c r="H35" i="49" s="1"/>
  <c r="AW29" i="48"/>
  <c r="AW28" i="48" s="1"/>
  <c r="AW30" i="48" s="1"/>
  <c r="J84" i="48"/>
  <c r="K75" i="48" s="1"/>
  <c r="L69" i="48"/>
  <c r="L71" i="48"/>
  <c r="L63" i="48"/>
  <c r="L64" i="48" s="1"/>
  <c r="M57" i="48"/>
  <c r="L87" i="48"/>
  <c r="L85" i="48"/>
  <c r="M73" i="48"/>
  <c r="L79" i="48"/>
  <c r="L80" i="48" s="1"/>
  <c r="K83" i="48"/>
  <c r="L74" i="48"/>
  <c r="K82" i="48"/>
  <c r="AD29" i="48"/>
  <c r="K66" i="48"/>
  <c r="K67" i="48"/>
  <c r="L58" i="48"/>
  <c r="J68" i="48"/>
  <c r="K59" i="48" s="1"/>
  <c r="J69" i="48"/>
  <c r="AK29" i="48" s="1"/>
  <c r="I86" i="48"/>
  <c r="J70" i="48" l="1"/>
  <c r="J86" i="48"/>
  <c r="L82" i="48"/>
  <c r="L83" i="48"/>
  <c r="M74" i="48"/>
  <c r="K68" i="48"/>
  <c r="L59" i="48" s="1"/>
  <c r="M69" i="48"/>
  <c r="M63" i="48"/>
  <c r="M64" i="48" s="1"/>
  <c r="N57" i="48"/>
  <c r="M71" i="48"/>
  <c r="M85" i="48"/>
  <c r="M87" i="48"/>
  <c r="N73" i="48"/>
  <c r="M79" i="48"/>
  <c r="M80" i="48" s="1"/>
  <c r="AK28" i="48"/>
  <c r="AK30" i="48" s="1"/>
  <c r="M58" i="48"/>
  <c r="AD28" i="48"/>
  <c r="AD30" i="48" s="1"/>
  <c r="F24" i="49" s="1"/>
  <c r="B29" i="48"/>
  <c r="BO29" i="48" s="1"/>
  <c r="K84" i="48"/>
  <c r="L75" i="48" s="1"/>
  <c r="K70" i="48" l="1"/>
  <c r="K86" i="48"/>
  <c r="BO28" i="48"/>
  <c r="BO30" i="48" s="1"/>
  <c r="N87" i="48"/>
  <c r="N79" i="48"/>
  <c r="N80" i="48" s="1"/>
  <c r="O73" i="48"/>
  <c r="N85" i="48"/>
  <c r="B28" i="48"/>
  <c r="C10" i="49" s="1"/>
  <c r="N58" i="48"/>
  <c r="N69" i="48"/>
  <c r="N71" i="48"/>
  <c r="O57" i="48"/>
  <c r="N63" i="48"/>
  <c r="N64" i="48" s="1"/>
  <c r="L84" i="48"/>
  <c r="M75" i="48" s="1"/>
  <c r="I24" i="49"/>
  <c r="M82" i="48"/>
  <c r="N74" i="48"/>
  <c r="M83" i="48"/>
  <c r="L86" i="48" l="1"/>
  <c r="O85" i="48"/>
  <c r="P85" i="48" s="1"/>
  <c r="O87" i="48"/>
  <c r="P87" i="48" s="1"/>
  <c r="O79" i="48"/>
  <c r="O63" i="48"/>
  <c r="O71" i="48"/>
  <c r="O69" i="48"/>
  <c r="P69" i="48" s="1"/>
  <c r="O58" i="48"/>
  <c r="C11" i="49"/>
  <c r="B30" i="48"/>
  <c r="N83" i="48"/>
  <c r="N82" i="48"/>
  <c r="O74" i="48"/>
  <c r="M84" i="48"/>
  <c r="N75" i="48" s="1"/>
  <c r="N84" i="48" l="1"/>
  <c r="O75" i="48" s="1"/>
  <c r="B32" i="48"/>
  <c r="C19" i="49"/>
  <c r="O80" i="48"/>
  <c r="P80" i="48" s="1"/>
  <c r="F76" i="48"/>
  <c r="F81" i="48" s="1"/>
  <c r="P79" i="48"/>
  <c r="O82" i="48"/>
  <c r="P82" i="48" s="1"/>
  <c r="O83" i="48"/>
  <c r="P83" i="48" s="1"/>
  <c r="M86" i="48"/>
  <c r="O64" i="48"/>
  <c r="P64" i="48" s="1"/>
  <c r="F60" i="48"/>
  <c r="P63" i="48"/>
  <c r="N86" i="48" l="1"/>
  <c r="E6" i="47"/>
  <c r="F65" i="48"/>
  <c r="F71" i="48"/>
  <c r="G71" i="48"/>
  <c r="T29" i="48" s="1"/>
  <c r="H71" i="48"/>
  <c r="AA29" i="48" s="1"/>
  <c r="I71" i="48"/>
  <c r="AH29" i="48" s="1"/>
  <c r="J71" i="48"/>
  <c r="AO29" i="48" s="1"/>
  <c r="O84" i="48"/>
  <c r="O86" i="48" s="1"/>
  <c r="P86" i="48" l="1"/>
  <c r="AA28" i="48"/>
  <c r="AA30" i="48" s="1"/>
  <c r="E28" i="49" s="1"/>
  <c r="E29" i="49" s="1"/>
  <c r="E35" i="49" s="1"/>
  <c r="AB29" i="48"/>
  <c r="AB28" i="48" s="1"/>
  <c r="AB30" i="48" s="1"/>
  <c r="AO28" i="48"/>
  <c r="AO30" i="48" s="1"/>
  <c r="AP29" i="48"/>
  <c r="AP28" i="48" s="1"/>
  <c r="AP30" i="48" s="1"/>
  <c r="M29" i="48"/>
  <c r="P71" i="48"/>
  <c r="AH28" i="48"/>
  <c r="AH30" i="48" s="1"/>
  <c r="F28" i="49" s="1"/>
  <c r="F29" i="49" s="1"/>
  <c r="F35" i="49" s="1"/>
  <c r="AI29" i="48"/>
  <c r="AI28" i="48" s="1"/>
  <c r="AI30" i="48" s="1"/>
  <c r="L66" i="48"/>
  <c r="L67" i="48"/>
  <c r="M66" i="48"/>
  <c r="M67" i="48"/>
  <c r="N67" i="48"/>
  <c r="N66" i="48"/>
  <c r="O67" i="48"/>
  <c r="O66" i="48"/>
  <c r="E8" i="47"/>
  <c r="D12" i="50" s="1"/>
  <c r="T28" i="48"/>
  <c r="T30" i="48" s="1"/>
  <c r="D28" i="49" s="1"/>
  <c r="D29" i="49" s="1"/>
  <c r="D35" i="49" s="1"/>
  <c r="U29" i="48"/>
  <c r="U28" i="48" s="1"/>
  <c r="U30" i="48" s="1"/>
  <c r="G29" i="49" l="1"/>
  <c r="G35" i="49" s="1"/>
  <c r="P66" i="48"/>
  <c r="P67" i="48"/>
  <c r="E10" i="47"/>
  <c r="E11" i="47" s="1"/>
  <c r="L68" i="48"/>
  <c r="M59" i="48" s="1"/>
  <c r="M28" i="48"/>
  <c r="M30" i="48" s="1"/>
  <c r="C28" i="49" s="1"/>
  <c r="F29" i="48"/>
  <c r="N29" i="48"/>
  <c r="N28" i="48" s="1"/>
  <c r="N30" i="48" s="1"/>
  <c r="M68" i="48" l="1"/>
  <c r="N59" i="48" s="1"/>
  <c r="F28" i="48"/>
  <c r="G29" i="48"/>
  <c r="G28" i="48" s="1"/>
  <c r="G30" i="48" s="1"/>
  <c r="I28" i="49"/>
  <c r="I29" i="49" s="1"/>
  <c r="I35" i="49" s="1"/>
  <c r="C29" i="49"/>
  <c r="C35" i="49" s="1"/>
  <c r="BS29" i="48"/>
  <c r="L70" i="48"/>
  <c r="M70" i="48" l="1"/>
  <c r="BS28" i="48"/>
  <c r="BS30" i="48" s="1"/>
  <c r="BT29" i="48"/>
  <c r="BT28" i="48" s="1"/>
  <c r="BT30" i="48" s="1"/>
  <c r="I10" i="49"/>
  <c r="F30" i="48"/>
  <c r="N68" i="48"/>
  <c r="O59" i="48" s="1"/>
  <c r="N70" i="48" l="1"/>
  <c r="O68" i="48"/>
  <c r="O70" i="48" s="1"/>
  <c r="J10" i="49"/>
  <c r="J11" i="49" s="1"/>
  <c r="J19" i="49" s="1"/>
  <c r="I11" i="49"/>
  <c r="P70" i="48" l="1"/>
  <c r="F32" i="48"/>
  <c r="I19" i="49"/>
  <c r="I20" i="49" s="1"/>
  <c r="K6" i="47"/>
  <c r="E20" i="49"/>
  <c r="D20" i="49"/>
  <c r="F20" i="49"/>
  <c r="H20" i="49"/>
  <c r="G20" i="49"/>
  <c r="C20" i="49"/>
  <c r="K8" i="47" l="1"/>
  <c r="D15" i="50" s="1"/>
  <c r="D16" i="50" s="1"/>
  <c r="L6" i="47"/>
  <c r="L8" i="47" s="1"/>
  <c r="G12" i="47" l="1"/>
  <c r="E10" i="50" s="1"/>
  <c r="J12" i="47"/>
  <c r="H12" i="47"/>
  <c r="E11" i="50" s="1"/>
  <c r="I12" i="47"/>
  <c r="E14" i="50" s="1"/>
  <c r="F12" i="47"/>
  <c r="C12" i="47"/>
  <c r="D12" i="47"/>
  <c r="E12" i="47"/>
  <c r="E12" i="50" s="1"/>
  <c r="K9" i="47"/>
  <c r="K12" i="47"/>
  <c r="E15" i="50" s="1"/>
  <c r="E13" i="50" l="1"/>
  <c r="E16" i="50" s="1"/>
  <c r="C22" i="47"/>
</calcChain>
</file>

<file path=xl/comments1.xml><?xml version="1.0" encoding="utf-8"?>
<comments xmlns="http://schemas.openxmlformats.org/spreadsheetml/2006/main">
  <authors>
    <author>hbaldivieso</author>
  </authors>
  <commentList>
    <comment ref="C5" authorId="0">
      <text>
        <r>
          <rPr>
            <b/>
            <sz val="9"/>
            <color indexed="81"/>
            <rFont val="Tahoma"/>
            <family val="2"/>
          </rPr>
          <t>hbaldivieso:</t>
        </r>
        <r>
          <rPr>
            <sz val="9"/>
            <color indexed="81"/>
            <rFont val="Tahoma"/>
            <family val="2"/>
          </rPr>
          <t xml:space="preserve">
Contingency Grantt</t>
        </r>
      </text>
    </comment>
  </commentList>
</comments>
</file>

<file path=xl/comments2.xml><?xml version="1.0" encoding="utf-8"?>
<comments xmlns="http://schemas.openxmlformats.org/spreadsheetml/2006/main">
  <authors>
    <author>hbaldivieso</author>
  </authors>
  <commentList>
    <comment ref="E21" authorId="0">
      <text>
        <r>
          <rPr>
            <b/>
            <sz val="9"/>
            <color indexed="81"/>
            <rFont val="Tahoma"/>
            <family val="2"/>
          </rPr>
          <t>hbaldivieso:</t>
        </r>
        <r>
          <rPr>
            <sz val="9"/>
            <color indexed="81"/>
            <rFont val="Tahoma"/>
            <family val="2"/>
          </rPr>
          <t xml:space="preserve">
JICA establece como condicion para que su grant facilite el GLM, que el BID aporte $6,2M para complementar sus investigaciones en Mombacho</t>
        </r>
      </text>
    </comment>
  </commentList>
</comments>
</file>

<file path=xl/sharedStrings.xml><?xml version="1.0" encoding="utf-8"?>
<sst xmlns="http://schemas.openxmlformats.org/spreadsheetml/2006/main" count="387" uniqueCount="173">
  <si>
    <t>CATEGORÍA  DE  INVERSIÓN</t>
  </si>
  <si>
    <t>TOTAL</t>
  </si>
  <si>
    <t xml:space="preserve"> SALDO INICIAL 01/01/Año 1:</t>
  </si>
  <si>
    <t xml:space="preserve"> No. AñOS NO PAGO           </t>
  </si>
  <si>
    <t xml:space="preserve"> VIDA PRESTAMO (No. Años)   </t>
  </si>
  <si>
    <t xml:space="preserve"> % COMISION DE CREDITO      </t>
  </si>
  <si>
    <t xml:space="preserve"> DESEMBOLSOS PRESTAMO </t>
  </si>
  <si>
    <t xml:space="preserve"> % TASA INTERES PTMO. </t>
  </si>
  <si>
    <t xml:space="preserve">         </t>
  </si>
  <si>
    <t xml:space="preserve">  *** CALCULOS BASICOS ***</t>
  </si>
  <si>
    <t xml:space="preserve">  Contador Desembolsos</t>
  </si>
  <si>
    <t xml:space="preserve">  Años Acum. Desembolsos</t>
  </si>
  <si>
    <t xml:space="preserve">   Saldo Inicial Préstamo</t>
  </si>
  <si>
    <t xml:space="preserve">   Total Préstamo</t>
  </si>
  <si>
    <t xml:space="preserve">  Desembolsos</t>
  </si>
  <si>
    <t xml:space="preserve">  F.I.V.</t>
  </si>
  <si>
    <t xml:space="preserve">  Interés Construcc. Financ.</t>
  </si>
  <si>
    <t xml:space="preserve">   Total Financiado Préstamo</t>
  </si>
  <si>
    <t xml:space="preserve">  Amortización Semestral</t>
  </si>
  <si>
    <t xml:space="preserve">  Amortización 1er. Semestre</t>
  </si>
  <si>
    <t xml:space="preserve">  Amortización 2do. Semestre</t>
  </si>
  <si>
    <t xml:space="preserve">   Saldo Final Préstamo</t>
  </si>
  <si>
    <t xml:space="preserve">  Interés Constr. no Financ.</t>
  </si>
  <si>
    <t xml:space="preserve">  Interés (Operaciones)</t>
  </si>
  <si>
    <t xml:space="preserve">  Comisión de Crédito</t>
  </si>
  <si>
    <t>Costo y financiamiento (US$ miles)</t>
  </si>
  <si>
    <t>Desembolsos</t>
  </si>
  <si>
    <t>2. Costos Directos</t>
  </si>
  <si>
    <t>1. Ingeniería, Supervisión y Administración</t>
  </si>
  <si>
    <t>%</t>
  </si>
  <si>
    <t>Total</t>
  </si>
  <si>
    <t>Matriz de Financiamiento</t>
  </si>
  <si>
    <t>ENATREL</t>
  </si>
  <si>
    <t>3. Imprevistos</t>
  </si>
  <si>
    <t>xxxxx</t>
  </si>
  <si>
    <t>3.1 Imprevistos Prestamo BID</t>
  </si>
  <si>
    <t>3.2 Imprevistos ENATREL</t>
  </si>
  <si>
    <t>Cuadro 2 - Cronograma de Desembolsos  (US$ millones)</t>
  </si>
  <si>
    <t>FUENTE</t>
  </si>
  <si>
    <t>Cuadro 1 - Costo y financiamiento (US$ miles)</t>
  </si>
  <si>
    <t>2.2 Transmisión para respaldar la capacidad del sistema regional</t>
  </si>
  <si>
    <t xml:space="preserve"> PTMO BID? (0 = NO 1 = SI)      (NO USAR ESTE CAMPO - DEJAR EN CERO)</t>
  </si>
  <si>
    <t xml:space="preserve"> % INTERES FINANCIADO       (NO USAR ESTE CAMPO - DEJAR EN CERO)</t>
  </si>
  <si>
    <t>1.1  Supervisión Ambiental</t>
  </si>
  <si>
    <t xml:space="preserve">    DATOS A SUMINISTRAR</t>
  </si>
  <si>
    <t xml:space="preserve"> % COMISION INICIAL</t>
  </si>
  <si>
    <t xml:space="preserve"> </t>
  </si>
  <si>
    <t>=</t>
  </si>
  <si>
    <t xml:space="preserve">                </t>
  </si>
  <si>
    <t>%FINANCIACION</t>
  </si>
  <si>
    <t>1.2  Firma Auditoría Financiera y  Operacional y Evaluaciones</t>
  </si>
  <si>
    <t>TOTAL  2017-2021</t>
  </si>
  <si>
    <t>2.1 Transmisión para apoyar los refuerzos nacionales</t>
  </si>
  <si>
    <t>Linea de Transmision 138 kV El Sauce - Villanueva y obras conexas</t>
  </si>
  <si>
    <t>Ampliación capacidad de transformación en 5 Subestaciones</t>
  </si>
  <si>
    <t>Ampliación Subestación Sébaco</t>
  </si>
  <si>
    <t>Ampliación capacidad de LT en tramos Leon-Honduras y Amayo-Costa Rica</t>
  </si>
  <si>
    <t>NI-L1094 - C2-TRANSMISIÓN</t>
  </si>
  <si>
    <t>BID (GLM)</t>
  </si>
  <si>
    <t>BID (blend)</t>
  </si>
  <si>
    <t>Korean Facility</t>
  </si>
  <si>
    <t>Modernizacion de Subestación Ticuantepe I y obras conexas</t>
  </si>
  <si>
    <t>Transformador movil para atender emergencias y mantenimientos</t>
  </si>
  <si>
    <t>Monto</t>
  </si>
  <si>
    <t>SE Catarina</t>
  </si>
  <si>
    <t>SE San Benito</t>
  </si>
  <si>
    <t>SE Diriamba</t>
  </si>
  <si>
    <t>SE Acahualinca</t>
  </si>
  <si>
    <t>SE Ticuantepe II</t>
  </si>
  <si>
    <t>Ampliacion de capacidad de transformacion en 5 subestaciones - Costo Directo</t>
  </si>
  <si>
    <t>Proyecto A</t>
  </si>
  <si>
    <t>CONTROL TOTALES SREP</t>
  </si>
  <si>
    <t>C2 a,b,c - Acceso a energia</t>
  </si>
  <si>
    <t>Reembolsable</t>
  </si>
  <si>
    <t>SREP</t>
  </si>
  <si>
    <t>Componente</t>
  </si>
  <si>
    <t>NI-Txxxx o NI-Xxxxx Apoyo Componente Acceso de Energia del PINIC</t>
  </si>
  <si>
    <t>C2 d - Transmision</t>
  </si>
  <si>
    <t>C1 - Geotermia</t>
  </si>
  <si>
    <t>FOE</t>
  </si>
  <si>
    <t>OC 2</t>
  </si>
  <si>
    <t>OC 1</t>
  </si>
  <si>
    <t>Korea Facility</t>
  </si>
  <si>
    <t>Local</t>
  </si>
  <si>
    <t>JICA</t>
  </si>
  <si>
    <t>BID-KI</t>
  </si>
  <si>
    <t>BID / BLEND</t>
  </si>
  <si>
    <t>CTF</t>
  </si>
  <si>
    <t>BID / GLM</t>
  </si>
  <si>
    <t>Plan de costos y financiamiento (US$ millones)</t>
  </si>
  <si>
    <t>NI-L1094 - Apoyo a Geotermia, y Transmision del PINIC</t>
  </si>
  <si>
    <t>Perforacion pozo exploratorio No. 6</t>
  </si>
  <si>
    <t>Perforacion pozo exploratorio No. 5</t>
  </si>
  <si>
    <t>Perforacion pozo exploratorio No. 4</t>
  </si>
  <si>
    <t>Perforacion pozo exploratorio No. 3</t>
  </si>
  <si>
    <t>Perforacion pozo exploratorio No. 2</t>
  </si>
  <si>
    <t>Perforacion pozo exploratorio No. 1</t>
  </si>
  <si>
    <t>Mobilizacion y desmobilizacion</t>
  </si>
  <si>
    <t>1.2  Auditoría financiera y operacional y evaluaciones</t>
  </si>
  <si>
    <t>1.1  Supervisión ambiental y permisos ambientales</t>
  </si>
  <si>
    <t>MEM-ENEL</t>
  </si>
  <si>
    <t>SREP (grant)</t>
  </si>
  <si>
    <t>NI-L1094 - C1-EXPLORACION GEOTERMIA</t>
  </si>
  <si>
    <t>Subtotal C1-EXPLORACION GEOTERMIA</t>
  </si>
  <si>
    <t>Subtotal C2-TRANSMISIÓN</t>
  </si>
  <si>
    <t>TOTAL NI-L1094</t>
  </si>
  <si>
    <t>Veriicacion</t>
  </si>
  <si>
    <t>SREP (Contng)</t>
  </si>
  <si>
    <t>BID GLM (FU)</t>
  </si>
  <si>
    <t>xxxx</t>
  </si>
  <si>
    <t>BID (Kor Fac)</t>
  </si>
  <si>
    <t>OC</t>
  </si>
  <si>
    <t>Blend</t>
  </si>
  <si>
    <t xml:space="preserve">  Comisión de Inicial</t>
  </si>
  <si>
    <t>Control SREP, CTF y BID</t>
  </si>
  <si>
    <t>Concesionalidad del BID (GLM) Minimo 40%</t>
  </si>
  <si>
    <t>Donación SREP y CTF</t>
  </si>
  <si>
    <t>Informe de factibilidad</t>
  </si>
  <si>
    <t>2.1 Exploracion de factibilidad</t>
  </si>
  <si>
    <t>2.2 Estrategia Implementacion proyectos geotermicos</t>
  </si>
  <si>
    <t>Concesioón del Campo Cosiguina</t>
  </si>
  <si>
    <t>Fondo de Mitigación de riesgos</t>
  </si>
  <si>
    <t xml:space="preserve">4. Gastos Financieros </t>
  </si>
  <si>
    <t>4.1  Préstamo BID (GLM)</t>
  </si>
  <si>
    <t>4.1  Préstamo BID (Blend)</t>
  </si>
  <si>
    <t>4.2  Préstamo BID (KF)</t>
  </si>
  <si>
    <t>3.1 Imprevistos Prestamo BID (BLEND y KF)</t>
  </si>
  <si>
    <t>1.5  Fortalecimiento y apoyo Unidad Ejecutora</t>
  </si>
  <si>
    <t>1.3  Supervisión técnica</t>
  </si>
  <si>
    <t>1.4  Administración Unidad Ejecutora</t>
  </si>
  <si>
    <t>xxxxxx</t>
  </si>
  <si>
    <t>Contingente</t>
  </si>
  <si>
    <t>Donacion</t>
  </si>
  <si>
    <t>CTF (Contng)</t>
  </si>
  <si>
    <t>Términos y Condiciones Financieras</t>
  </si>
  <si>
    <r>
      <t>Prestatario/Beneficiario:</t>
    </r>
    <r>
      <rPr>
        <sz val="10"/>
        <rFont val="Arial"/>
        <family val="2"/>
      </rPr>
      <t xml:space="preserve"> República de Nicaragua</t>
    </r>
  </si>
  <si>
    <t>BID (BL CO)</t>
  </si>
  <si>
    <t>(BID-GLM)</t>
  </si>
  <si>
    <t>KIF</t>
  </si>
  <si>
    <t>Plazo de amortización:</t>
  </si>
  <si>
    <t>30 años</t>
  </si>
  <si>
    <t>40 años</t>
  </si>
  <si>
    <r>
      <t>Organismo Ejecutor:</t>
    </r>
    <r>
      <rPr>
        <sz val="10"/>
        <rFont val="Arial"/>
        <family val="2"/>
      </rPr>
      <t xml:space="preserve"> Ministerio de Energía y Minas (MEM), con apoyo de la Empresa Nicaragüense de Electricidad (ENEL); y Empresa Nacional de Transmisión Eléctrica (ENATREL)  </t>
    </r>
  </si>
  <si>
    <t>Período de desembolso:</t>
  </si>
  <si>
    <t>5 años</t>
  </si>
  <si>
    <t>Período de gracia:</t>
  </si>
  <si>
    <t>6 años</t>
  </si>
  <si>
    <t>10 años</t>
  </si>
  <si>
    <t>Fuente</t>
  </si>
  <si>
    <r>
      <t>%</t>
    </r>
    <r>
      <rPr>
        <b/>
        <vertAlign val="superscript"/>
        <sz val="10"/>
        <rFont val="Arial"/>
        <family val="2"/>
      </rPr>
      <t>(e)</t>
    </r>
  </si>
  <si>
    <t>Monto (US$)</t>
  </si>
  <si>
    <r>
      <t>%</t>
    </r>
    <r>
      <rPr>
        <b/>
        <vertAlign val="superscript"/>
        <sz val="10"/>
        <rFont val="Arial"/>
        <family val="2"/>
      </rPr>
      <t>(f)</t>
    </r>
  </si>
  <si>
    <t>Comisión de inspección y vigilancia:</t>
  </si>
  <si>
    <t>(b)</t>
  </si>
  <si>
    <t>N/A</t>
  </si>
  <si>
    <t>60,0</t>
  </si>
  <si>
    <t>Cargos sobre préstamo de facilidad</t>
  </si>
  <si>
    <r>
      <t>0,1%</t>
    </r>
    <r>
      <rPr>
        <b/>
        <vertAlign val="superscript"/>
        <sz val="10"/>
        <rFont val="Arial"/>
        <family val="2"/>
      </rPr>
      <t>(c)</t>
    </r>
  </si>
  <si>
    <t>BID (BL FOE)</t>
  </si>
  <si>
    <t>40,0</t>
  </si>
  <si>
    <r>
      <t>BID (GLM-CO Mecanismo de Apalancamiento de recursos no reembolsables)</t>
    </r>
    <r>
      <rPr>
        <b/>
        <vertAlign val="superscript"/>
        <sz val="10"/>
        <rFont val="Arial"/>
        <family val="2"/>
      </rPr>
      <t>(g)</t>
    </r>
  </si>
  <si>
    <t>Tasa de interés:</t>
  </si>
  <si>
    <r>
      <t xml:space="preserve">Facilidad Unimonetaria Fija </t>
    </r>
    <r>
      <rPr>
        <vertAlign val="superscript"/>
        <sz val="10"/>
        <rFont val="Arial"/>
        <family val="2"/>
      </rPr>
      <t>(d)</t>
    </r>
  </si>
  <si>
    <t>0,25%</t>
  </si>
  <si>
    <t>1,0%</t>
  </si>
  <si>
    <r>
      <t>SREP/CTF (GLM-Grant) (Fondos no reembolsables de Cambio Climático)</t>
    </r>
    <r>
      <rPr>
        <b/>
        <vertAlign val="superscript"/>
        <sz val="10"/>
        <rFont val="Arial"/>
        <family val="2"/>
      </rPr>
      <t>(g)</t>
    </r>
  </si>
  <si>
    <t>Facilidad de Corea para el Cofinanciamiento del Desarrollo de la Infraestructura de América Latina y el Caribe (KIF)</t>
  </si>
  <si>
    <t>Comisión de crédito:</t>
  </si>
  <si>
    <t>Aporte local</t>
  </si>
  <si>
    <t>-</t>
  </si>
  <si>
    <t>Moneda de aprobación:</t>
  </si>
  <si>
    <t xml:space="preserve">Dólar Estados Unidos </t>
  </si>
  <si>
    <t>3.2 Imprevistos MEM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</si>
</sst>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5" formatCode="&quot;$&quot;#,##0_);\(&quot;$&quot;#,##0\)"/>
    <numFmt numFmtId="43" formatCode="_(* #,##0.00_);_(* \(#,##0.00\);_(* &quot;-&quot;??_);_(@_)"/>
    <numFmt numFmtId="164" formatCode="0.0%"/>
    <numFmt numFmtId="165" formatCode="0.00_)"/>
    <numFmt numFmtId="166" formatCode="hh:mm_)"/>
    <numFmt numFmtId="167" formatCode="#,##0.0_);\(#,##0.0\)"/>
    <numFmt numFmtId="168" formatCode="_(* #,##0.0_);_(* \(#,##0.0\);_(* &quot;-&quot;??_);_(@_)"/>
    <numFmt numFmtId="169" formatCode="_([$€]* #,##0.00_);_([$€]* \(#,##0.00\);_([$€]* &quot;-&quot;??_);_(@_)"/>
    <numFmt numFmtId="170" formatCode="0.00_);\(0.00\)"/>
    <numFmt numFmtId="171" formatCode="0.000_);\(0.000\)"/>
    <numFmt numFmtId="172" formatCode="0.000"/>
    <numFmt numFmtId="173" formatCode="_(* #,##0_);_(* \(#,##0\);_(* &quot;-&quot;??_);_(@_)"/>
    <numFmt numFmtId="174" formatCode="0.000%"/>
  </numFmts>
  <fonts count="3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Times New Roman"/>
      <family val="1"/>
    </font>
    <font>
      <b/>
      <sz val="14"/>
      <color indexed="12"/>
      <name val="Times New Roman"/>
      <family val="1"/>
    </font>
    <font>
      <b/>
      <sz val="12"/>
      <color indexed="8"/>
      <name val="Times New Roman"/>
      <family val="1"/>
    </font>
    <font>
      <sz val="10"/>
      <color indexed="10"/>
      <name val="Arial"/>
      <family val="2"/>
    </font>
    <font>
      <i/>
      <sz val="9"/>
      <color indexed="17"/>
      <name val="Times New Roman"/>
      <family val="1"/>
    </font>
    <font>
      <b/>
      <sz val="8"/>
      <color indexed="8"/>
      <name val="Arial"/>
      <family val="2"/>
    </font>
    <font>
      <i/>
      <sz val="7"/>
      <color indexed="8"/>
      <name val="Courier New"/>
      <family val="3"/>
    </font>
    <font>
      <b/>
      <sz val="8"/>
      <name val="Arial"/>
      <family val="2"/>
    </font>
    <font>
      <sz val="8"/>
      <name val="Arial"/>
      <family val="2"/>
    </font>
    <font>
      <sz val="10"/>
      <name val="Geneva"/>
    </font>
    <font>
      <sz val="8"/>
      <color indexed="12"/>
      <name val="Arial"/>
      <family val="2"/>
    </font>
    <font>
      <sz val="11"/>
      <color theme="1"/>
      <name val="Calibri"/>
      <family val="2"/>
      <charset val="128"/>
      <scheme val="minor"/>
    </font>
    <font>
      <sz val="8"/>
      <color rgb="FF0000FF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FF"/>
      <name val="Calibri"/>
      <family val="2"/>
      <scheme val="minor"/>
    </font>
    <font>
      <sz val="8"/>
      <color rgb="FFFF000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CCCC00"/>
        <bgColor indexed="64"/>
      </patternFill>
    </fill>
  </fills>
  <borders count="2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26">
    <xf numFmtId="0" fontId="0" fillId="0" borderId="0"/>
    <xf numFmtId="43" fontId="5" fillId="0" borderId="0" applyFont="0" applyFill="0" applyBorder="0" applyAlignment="0" applyProtection="0"/>
    <xf numFmtId="0" fontId="7" fillId="0" borderId="1" applyNumberFormat="0" applyAlignment="0"/>
    <xf numFmtId="0" fontId="8" fillId="0" borderId="1" applyNumberFormat="0" applyAlignment="0"/>
    <xf numFmtId="0" fontId="9" fillId="0" borderId="1" applyNumberFormat="0" applyAlignment="0"/>
    <xf numFmtId="0" fontId="10" fillId="0" borderId="1" applyNumberFormat="0" applyAlignment="0"/>
    <xf numFmtId="0" fontId="11" fillId="0" borderId="1" applyNumberFormat="0" applyAlignment="0"/>
    <xf numFmtId="0" fontId="12" fillId="0" borderId="1" applyNumberFormat="0" applyAlignment="0"/>
    <xf numFmtId="0" fontId="12" fillId="0" borderId="1" applyNumberFormat="0" applyAlignment="0"/>
    <xf numFmtId="3" fontId="5" fillId="0" borderId="0"/>
    <xf numFmtId="9" fontId="5" fillId="0" borderId="0" applyFont="0" applyFill="0" applyBorder="0" applyAlignment="0" applyProtection="0"/>
    <xf numFmtId="0" fontId="4" fillId="0" borderId="0"/>
    <xf numFmtId="0" fontId="5" fillId="0" borderId="0"/>
    <xf numFmtId="3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5" fillId="0" borderId="0"/>
    <xf numFmtId="169" fontId="5" fillId="0" borderId="0" applyFont="0" applyFill="0" applyBorder="0" applyAlignment="0" applyProtection="0"/>
    <xf numFmtId="3" fontId="5" fillId="0" borderId="0"/>
    <xf numFmtId="3" fontId="5" fillId="0" borderId="0"/>
    <xf numFmtId="3" fontId="5" fillId="0" borderId="0"/>
    <xf numFmtId="0" fontId="3" fillId="0" borderId="0"/>
    <xf numFmtId="0" fontId="5" fillId="0" borderId="0"/>
    <xf numFmtId="0" fontId="17" fillId="0" borderId="0">
      <alignment vertical="center"/>
    </xf>
    <xf numFmtId="0" fontId="2" fillId="0" borderId="0"/>
  </cellStyleXfs>
  <cellXfs count="229">
    <xf numFmtId="0" fontId="0" fillId="0" borderId="0" xfId="0"/>
    <xf numFmtId="0" fontId="6" fillId="0" borderId="0" xfId="0" applyFont="1" applyBorder="1"/>
    <xf numFmtId="0" fontId="5" fillId="0" borderId="0" xfId="12" applyFont="1"/>
    <xf numFmtId="0" fontId="5" fillId="0" borderId="0" xfId="12"/>
    <xf numFmtId="3" fontId="13" fillId="2" borderId="2" xfId="12" applyNumberFormat="1" applyFont="1" applyFill="1" applyBorder="1" applyAlignment="1">
      <alignment horizontal="center" vertical="center"/>
    </xf>
    <xf numFmtId="0" fontId="13" fillId="2" borderId="2" xfId="12" applyFont="1" applyFill="1" applyBorder="1" applyAlignment="1">
      <alignment horizontal="center" vertical="center"/>
    </xf>
    <xf numFmtId="3" fontId="13" fillId="3" borderId="4" xfId="13" applyFont="1" applyFill="1" applyBorder="1" applyAlignment="1">
      <alignment horizontal="center" vertical="center" wrapText="1"/>
    </xf>
    <xf numFmtId="0" fontId="13" fillId="3" borderId="5" xfId="13" applyNumberFormat="1" applyFont="1" applyFill="1" applyBorder="1" applyAlignment="1">
      <alignment horizontal="center" vertical="center"/>
    </xf>
    <xf numFmtId="0" fontId="13" fillId="3" borderId="6" xfId="13" applyNumberFormat="1" applyFont="1" applyFill="1" applyBorder="1" applyAlignment="1">
      <alignment horizontal="center" vertical="center"/>
    </xf>
    <xf numFmtId="3" fontId="14" fillId="0" borderId="7" xfId="13" applyFont="1" applyBorder="1" applyAlignment="1">
      <alignment vertical="center"/>
    </xf>
    <xf numFmtId="3" fontId="14" fillId="0" borderId="8" xfId="13" applyFont="1" applyBorder="1" applyAlignment="1">
      <alignment vertical="center"/>
    </xf>
    <xf numFmtId="0" fontId="5" fillId="0" borderId="0" xfId="12" applyFont="1" applyAlignment="1"/>
    <xf numFmtId="0" fontId="14" fillId="0" borderId="0" xfId="0" applyFont="1" applyBorder="1"/>
    <xf numFmtId="0" fontId="14" fillId="0" borderId="0" xfId="0" applyFont="1" applyAlignment="1"/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Border="1" applyAlignment="1"/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Protection="1"/>
    <xf numFmtId="167" fontId="13" fillId="0" borderId="0" xfId="1" applyNumberFormat="1" applyFont="1" applyFill="1" applyBorder="1" applyAlignment="1" applyProtection="1">
      <alignment horizontal="right"/>
      <protection locked="0"/>
    </xf>
    <xf numFmtId="9" fontId="14" fillId="0" borderId="0" xfId="0" applyNumberFormat="1" applyFont="1"/>
    <xf numFmtId="0" fontId="14" fillId="0" borderId="0" xfId="0" applyFont="1" applyFill="1" applyBorder="1" applyProtection="1"/>
    <xf numFmtId="167" fontId="14" fillId="0" borderId="0" xfId="1" applyNumberFormat="1" applyFont="1" applyFill="1" applyBorder="1" applyAlignment="1" applyProtection="1">
      <alignment horizontal="right"/>
      <protection locked="0"/>
    </xf>
    <xf numFmtId="164" fontId="14" fillId="0" borderId="0" xfId="0" applyNumberFormat="1" applyFont="1"/>
    <xf numFmtId="164" fontId="14" fillId="0" borderId="0" xfId="0" applyNumberFormat="1" applyFont="1" applyBorder="1"/>
    <xf numFmtId="0" fontId="13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 applyProtection="1">
      <alignment horizontal="left" indent="2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/>
    <xf numFmtId="37" fontId="13" fillId="0" borderId="0" xfId="0" applyNumberFormat="1" applyFont="1" applyFill="1" applyBorder="1" applyProtection="1">
      <protection locked="0"/>
    </xf>
    <xf numFmtId="10" fontId="14" fillId="0" borderId="0" xfId="10" applyNumberFormat="1" applyFont="1" applyBorder="1"/>
    <xf numFmtId="3" fontId="14" fillId="0" borderId="0" xfId="9" applyFont="1" applyBorder="1"/>
    <xf numFmtId="3" fontId="16" fillId="0" borderId="0" xfId="9" applyFont="1" applyBorder="1" applyProtection="1">
      <protection locked="0"/>
    </xf>
    <xf numFmtId="3" fontId="16" fillId="0" borderId="0" xfId="9" applyFont="1" applyBorder="1" applyAlignment="1" applyProtection="1">
      <alignment horizontal="left"/>
      <protection locked="0"/>
    </xf>
    <xf numFmtId="3" fontId="14" fillId="0" borderId="0" xfId="9" applyFont="1" applyBorder="1" applyAlignment="1" applyProtection="1">
      <alignment horizontal="left"/>
    </xf>
    <xf numFmtId="165" fontId="16" fillId="0" borderId="0" xfId="9" applyNumberFormat="1" applyFont="1" applyBorder="1" applyProtection="1">
      <protection locked="0"/>
    </xf>
    <xf numFmtId="3" fontId="14" fillId="0" borderId="0" xfId="9" applyFont="1" applyBorder="1" applyProtection="1"/>
    <xf numFmtId="165" fontId="14" fillId="0" borderId="0" xfId="9" applyNumberFormat="1" applyFont="1" applyBorder="1" applyProtection="1"/>
    <xf numFmtId="166" fontId="14" fillId="0" borderId="0" xfId="9" applyNumberFormat="1" applyFont="1" applyBorder="1" applyProtection="1"/>
    <xf numFmtId="3" fontId="14" fillId="0" borderId="0" xfId="9" applyNumberFormat="1" applyFont="1" applyBorder="1" applyProtection="1"/>
    <xf numFmtId="3" fontId="14" fillId="0" borderId="0" xfId="9" applyNumberFormat="1" applyFont="1" applyBorder="1"/>
    <xf numFmtId="3" fontId="14" fillId="0" borderId="0" xfId="9" applyNumberFormat="1" applyFont="1" applyBorder="1" applyAlignment="1" applyProtection="1">
      <alignment horizontal="left"/>
    </xf>
    <xf numFmtId="3" fontId="14" fillId="0" borderId="0" xfId="13" applyFont="1" applyBorder="1" applyAlignment="1"/>
    <xf numFmtId="3" fontId="14" fillId="0" borderId="0" xfId="13" applyFont="1" applyAlignment="1"/>
    <xf numFmtId="3" fontId="14" fillId="2" borderId="2" xfId="13" applyFont="1" applyFill="1" applyBorder="1" applyAlignment="1"/>
    <xf numFmtId="3" fontId="14" fillId="0" borderId="3" xfId="13" applyFont="1" applyBorder="1" applyAlignment="1"/>
    <xf numFmtId="0" fontId="14" fillId="0" borderId="0" xfId="12" applyFont="1" applyAlignment="1"/>
    <xf numFmtId="0" fontId="14" fillId="0" borderId="0" xfId="12" applyFont="1" applyBorder="1" applyAlignment="1"/>
    <xf numFmtId="3" fontId="13" fillId="0" borderId="0" xfId="13" applyFont="1" applyBorder="1" applyAlignment="1"/>
    <xf numFmtId="0" fontId="13" fillId="0" borderId="3" xfId="12" applyFont="1" applyFill="1" applyBorder="1" applyAlignment="1">
      <alignment horizontal="left" vertical="center"/>
    </xf>
    <xf numFmtId="3" fontId="13" fillId="2" borderId="2" xfId="13" applyFont="1" applyFill="1" applyBorder="1" applyAlignment="1">
      <alignment horizontal="center"/>
    </xf>
    <xf numFmtId="0" fontId="13" fillId="0" borderId="2" xfId="0" applyFont="1" applyFill="1" applyBorder="1" applyProtection="1"/>
    <xf numFmtId="0" fontId="13" fillId="0" borderId="2" xfId="0" applyFont="1" applyFill="1" applyBorder="1" applyAlignment="1" applyProtection="1">
      <alignment horizontal="left"/>
    </xf>
    <xf numFmtId="0" fontId="14" fillId="0" borderId="2" xfId="0" applyFont="1" applyFill="1" applyBorder="1" applyAlignment="1" applyProtection="1">
      <alignment horizontal="left"/>
    </xf>
    <xf numFmtId="165" fontId="14" fillId="0" borderId="0" xfId="9" applyNumberFormat="1" applyFont="1" applyBorder="1" applyAlignment="1" applyProtection="1">
      <alignment horizontal="left"/>
    </xf>
    <xf numFmtId="3" fontId="14" fillId="0" borderId="0" xfId="9" applyNumberFormat="1" applyFont="1" applyBorder="1" applyAlignment="1" applyProtection="1">
      <alignment horizontal="fill"/>
    </xf>
    <xf numFmtId="9" fontId="16" fillId="0" borderId="0" xfId="10" applyFont="1" applyBorder="1" applyProtection="1">
      <protection locked="0"/>
    </xf>
    <xf numFmtId="0" fontId="14" fillId="0" borderId="0" xfId="9" applyNumberFormat="1" applyFont="1" applyBorder="1"/>
    <xf numFmtId="0" fontId="13" fillId="0" borderId="0" xfId="0" applyFont="1" applyFill="1" applyBorder="1" applyAlignment="1">
      <alignment horizontal="center"/>
    </xf>
    <xf numFmtId="39" fontId="14" fillId="0" borderId="0" xfId="0" applyNumberFormat="1" applyFont="1" applyFill="1" applyBorder="1" applyProtection="1">
      <protection locked="0"/>
    </xf>
    <xf numFmtId="39" fontId="13" fillId="0" borderId="0" xfId="0" applyNumberFormat="1" applyFont="1" applyFill="1" applyBorder="1" applyProtection="1">
      <protection locked="0"/>
    </xf>
    <xf numFmtId="3" fontId="14" fillId="0" borderId="9" xfId="13" applyFont="1" applyBorder="1" applyAlignment="1">
      <alignment vertical="center"/>
    </xf>
    <xf numFmtId="0" fontId="13" fillId="0" borderId="0" xfId="0" applyFont="1" applyFill="1" applyBorder="1" applyAlignment="1">
      <alignment horizontal="center"/>
    </xf>
    <xf numFmtId="167" fontId="18" fillId="0" borderId="0" xfId="0" applyNumberFormat="1" applyFont="1" applyFill="1" applyBorder="1" applyProtection="1">
      <protection locked="0"/>
    </xf>
    <xf numFmtId="167" fontId="18" fillId="0" borderId="0" xfId="0" applyNumberFormat="1" applyFont="1" applyBorder="1"/>
    <xf numFmtId="10" fontId="14" fillId="0" borderId="0" xfId="0" applyNumberFormat="1" applyFont="1"/>
    <xf numFmtId="167" fontId="14" fillId="0" borderId="0" xfId="0" applyNumberFormat="1" applyFont="1" applyBorder="1"/>
    <xf numFmtId="0" fontId="13" fillId="4" borderId="0" xfId="0" applyFont="1" applyFill="1" applyAlignment="1">
      <alignment horizontal="center"/>
    </xf>
    <xf numFmtId="9" fontId="14" fillId="4" borderId="0" xfId="0" applyNumberFormat="1" applyFont="1" applyFill="1"/>
    <xf numFmtId="167" fontId="14" fillId="4" borderId="0" xfId="1" applyNumberFormat="1" applyFont="1" applyFill="1" applyBorder="1" applyAlignment="1" applyProtection="1">
      <alignment horizontal="right"/>
      <protection locked="0"/>
    </xf>
    <xf numFmtId="167" fontId="13" fillId="4" borderId="0" xfId="1" applyNumberFormat="1" applyFont="1" applyFill="1" applyBorder="1" applyAlignment="1" applyProtection="1">
      <alignment horizontal="right"/>
      <protection locked="0"/>
    </xf>
    <xf numFmtId="0" fontId="19" fillId="0" borderId="0" xfId="0" applyFont="1"/>
    <xf numFmtId="0" fontId="5" fillId="0" borderId="0" xfId="0" applyFont="1"/>
    <xf numFmtId="5" fontId="0" fillId="0" borderId="0" xfId="0" applyNumberFormat="1"/>
    <xf numFmtId="5" fontId="5" fillId="0" borderId="0" xfId="0" applyNumberFormat="1" applyFont="1"/>
    <xf numFmtId="0" fontId="5" fillId="4" borderId="0" xfId="0" applyFont="1" applyFill="1"/>
    <xf numFmtId="5" fontId="0" fillId="4" borderId="0" xfId="0" applyNumberFormat="1" applyFill="1"/>
    <xf numFmtId="0" fontId="13" fillId="0" borderId="0" xfId="0" applyFont="1" applyFill="1" applyBorder="1" applyAlignment="1">
      <alignment horizontal="center"/>
    </xf>
    <xf numFmtId="0" fontId="14" fillId="0" borderId="0" xfId="0" applyFont="1" applyAlignment="1"/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/>
    </xf>
    <xf numFmtId="0" fontId="2" fillId="0" borderId="0" xfId="25"/>
    <xf numFmtId="0" fontId="2" fillId="0" borderId="0" xfId="25" applyBorder="1"/>
    <xf numFmtId="170" fontId="21" fillId="0" borderId="0" xfId="25" applyNumberFormat="1" applyFont="1" applyFill="1" applyBorder="1" applyAlignment="1">
      <alignment horizontal="center" vertical="center"/>
    </xf>
    <xf numFmtId="0" fontId="20" fillId="0" borderId="0" xfId="25" applyFont="1"/>
    <xf numFmtId="0" fontId="21" fillId="0" borderId="0" xfId="25" applyFont="1" applyBorder="1" applyAlignment="1">
      <alignment vertical="center"/>
    </xf>
    <xf numFmtId="2" fontId="2" fillId="0" borderId="0" xfId="25" applyNumberFormat="1" applyAlignment="1">
      <alignment horizontal="center" vertical="center"/>
    </xf>
    <xf numFmtId="2" fontId="21" fillId="0" borderId="0" xfId="25" applyNumberFormat="1" applyFont="1" applyFill="1" applyBorder="1" applyAlignment="1">
      <alignment horizontal="center" vertical="center"/>
    </xf>
    <xf numFmtId="171" fontId="22" fillId="5" borderId="12" xfId="25" applyNumberFormat="1" applyFont="1" applyFill="1" applyBorder="1" applyAlignment="1">
      <alignment horizontal="center" vertical="center"/>
    </xf>
    <xf numFmtId="0" fontId="22" fillId="0" borderId="13" xfId="25" applyFont="1" applyBorder="1" applyAlignment="1">
      <alignment vertical="center"/>
    </xf>
    <xf numFmtId="0" fontId="22" fillId="0" borderId="14" xfId="25" applyFont="1" applyBorder="1" applyAlignment="1">
      <alignment vertical="center"/>
    </xf>
    <xf numFmtId="0" fontId="21" fillId="0" borderId="0" xfId="25" applyFont="1" applyFill="1" applyBorder="1" applyAlignment="1">
      <alignment horizontal="center" vertical="center"/>
    </xf>
    <xf numFmtId="0" fontId="22" fillId="5" borderId="15" xfId="25" applyFont="1" applyFill="1" applyBorder="1" applyAlignment="1">
      <alignment horizontal="center" vertical="center"/>
    </xf>
    <xf numFmtId="0" fontId="22" fillId="5" borderId="14" xfId="25" applyFont="1" applyFill="1" applyBorder="1" applyAlignment="1">
      <alignment horizontal="center" vertical="center"/>
    </xf>
    <xf numFmtId="0" fontId="22" fillId="0" borderId="14" xfId="25" applyFont="1" applyBorder="1" applyAlignment="1">
      <alignment horizontal="center" vertical="center"/>
    </xf>
    <xf numFmtId="0" fontId="22" fillId="0" borderId="17" xfId="25" applyFont="1" applyBorder="1" applyAlignment="1">
      <alignment horizontal="center" vertical="center"/>
    </xf>
    <xf numFmtId="0" fontId="23" fillId="0" borderId="0" xfId="25" applyFont="1" applyFill="1" applyAlignment="1">
      <alignment horizontal="center"/>
    </xf>
    <xf numFmtId="0" fontId="24" fillId="0" borderId="0" xfId="25" applyFont="1"/>
    <xf numFmtId="171" fontId="2" fillId="0" borderId="0" xfId="25" applyNumberFormat="1"/>
    <xf numFmtId="171" fontId="21" fillId="6" borderId="18" xfId="25" applyNumberFormat="1" applyFont="1" applyFill="1" applyBorder="1" applyAlignment="1">
      <alignment horizontal="center" vertical="center"/>
    </xf>
    <xf numFmtId="171" fontId="21" fillId="7" borderId="3" xfId="25" applyNumberFormat="1" applyFont="1" applyFill="1" applyBorder="1" applyAlignment="1">
      <alignment horizontal="center" vertical="center"/>
    </xf>
    <xf numFmtId="0" fontId="21" fillId="0" borderId="19" xfId="25" applyFont="1" applyFill="1" applyBorder="1" applyAlignment="1">
      <alignment vertical="center"/>
    </xf>
    <xf numFmtId="171" fontId="23" fillId="8" borderId="19" xfId="25" applyNumberFormat="1" applyFont="1" applyFill="1" applyBorder="1" applyAlignment="1">
      <alignment horizontal="center" vertical="center"/>
    </xf>
    <xf numFmtId="171" fontId="21" fillId="4" borderId="18" xfId="25" applyNumberFormat="1" applyFont="1" applyFill="1" applyBorder="1" applyAlignment="1">
      <alignment horizontal="center" vertical="center"/>
    </xf>
    <xf numFmtId="171" fontId="21" fillId="0" borderId="18" xfId="25" applyNumberFormat="1" applyFont="1" applyFill="1" applyBorder="1" applyAlignment="1">
      <alignment horizontal="center" vertical="center"/>
    </xf>
    <xf numFmtId="171" fontId="21" fillId="9" borderId="18" xfId="25" applyNumberFormat="1" applyFont="1" applyFill="1" applyBorder="1" applyAlignment="1">
      <alignment horizontal="center" vertical="center"/>
    </xf>
    <xf numFmtId="171" fontId="21" fillId="10" borderId="10" xfId="25" applyNumberFormat="1" applyFont="1" applyFill="1" applyBorder="1" applyAlignment="1">
      <alignment horizontal="center" vertical="center"/>
    </xf>
    <xf numFmtId="171" fontId="21" fillId="10" borderId="20" xfId="25" applyNumberFormat="1" applyFont="1" applyFill="1" applyBorder="1" applyAlignment="1">
      <alignment horizontal="center" vertical="center"/>
    </xf>
    <xf numFmtId="171" fontId="21" fillId="10" borderId="11" xfId="25" applyNumberFormat="1" applyFont="1" applyFill="1" applyBorder="1" applyAlignment="1">
      <alignment horizontal="center" vertical="center"/>
    </xf>
    <xf numFmtId="171" fontId="21" fillId="5" borderId="14" xfId="25" applyNumberFormat="1" applyFont="1" applyFill="1" applyBorder="1" applyAlignment="1">
      <alignment vertical="center"/>
    </xf>
    <xf numFmtId="0" fontId="21" fillId="0" borderId="15" xfId="25" applyFont="1" applyFill="1" applyBorder="1" applyAlignment="1">
      <alignment vertical="center"/>
    </xf>
    <xf numFmtId="0" fontId="22" fillId="0" borderId="0" xfId="25" applyFont="1" applyAlignment="1">
      <alignment vertical="center"/>
    </xf>
    <xf numFmtId="171" fontId="21" fillId="7" borderId="18" xfId="25" applyNumberFormat="1" applyFont="1" applyFill="1" applyBorder="1" applyAlignment="1">
      <alignment horizontal="center" vertical="center"/>
    </xf>
    <xf numFmtId="171" fontId="21" fillId="10" borderId="21" xfId="25" applyNumberFormat="1" applyFont="1" applyFill="1" applyBorder="1" applyAlignment="1">
      <alignment horizontal="center" vertical="center"/>
    </xf>
    <xf numFmtId="171" fontId="21" fillId="10" borderId="0" xfId="25" applyNumberFormat="1" applyFont="1" applyFill="1" applyBorder="1" applyAlignment="1">
      <alignment horizontal="center" vertical="center"/>
    </xf>
    <xf numFmtId="171" fontId="21" fillId="10" borderId="14" xfId="25" applyNumberFormat="1" applyFont="1" applyFill="1" applyBorder="1" applyAlignment="1">
      <alignment horizontal="center" vertical="center"/>
    </xf>
    <xf numFmtId="171" fontId="21" fillId="5" borderId="12" xfId="25" applyNumberFormat="1" applyFont="1" applyFill="1" applyBorder="1" applyAlignment="1">
      <alignment horizontal="center" vertical="center"/>
    </xf>
    <xf numFmtId="0" fontId="21" fillId="0" borderId="19" xfId="25" applyFont="1" applyBorder="1" applyAlignment="1">
      <alignment vertical="center"/>
    </xf>
    <xf numFmtId="171" fontId="22" fillId="4" borderId="18" xfId="25" applyNumberFormat="1" applyFont="1" applyFill="1" applyBorder="1" applyAlignment="1">
      <alignment horizontal="center" vertical="center"/>
    </xf>
    <xf numFmtId="171" fontId="22" fillId="0" borderId="18" xfId="25" applyNumberFormat="1" applyFont="1" applyFill="1" applyBorder="1" applyAlignment="1">
      <alignment horizontal="center" vertical="center"/>
    </xf>
    <xf numFmtId="171" fontId="22" fillId="9" borderId="18" xfId="25" applyNumberFormat="1" applyFont="1" applyFill="1" applyBorder="1" applyAlignment="1">
      <alignment horizontal="center" vertical="center"/>
    </xf>
    <xf numFmtId="171" fontId="22" fillId="7" borderId="18" xfId="25" applyNumberFormat="1" applyFont="1" applyFill="1" applyBorder="1" applyAlignment="1">
      <alignment horizontal="center" vertical="center"/>
    </xf>
    <xf numFmtId="171" fontId="22" fillId="7" borderId="3" xfId="25" applyNumberFormat="1" applyFont="1" applyFill="1" applyBorder="1" applyAlignment="1">
      <alignment horizontal="center" vertical="center"/>
    </xf>
    <xf numFmtId="171" fontId="22" fillId="10" borderId="18" xfId="25" applyNumberFormat="1" applyFont="1" applyFill="1" applyBorder="1" applyAlignment="1">
      <alignment horizontal="center" vertical="center"/>
    </xf>
    <xf numFmtId="171" fontId="22" fillId="10" borderId="3" xfId="25" applyNumberFormat="1" applyFont="1" applyFill="1" applyBorder="1" applyAlignment="1">
      <alignment horizontal="center" vertical="center"/>
    </xf>
    <xf numFmtId="171" fontId="22" fillId="10" borderId="13" xfId="25" applyNumberFormat="1" applyFont="1" applyFill="1" applyBorder="1" applyAlignment="1">
      <alignment horizontal="center" vertical="center"/>
    </xf>
    <xf numFmtId="171" fontId="22" fillId="5" borderId="13" xfId="25" applyNumberFormat="1" applyFont="1" applyFill="1" applyBorder="1" applyAlignment="1">
      <alignment horizontal="center" vertical="center"/>
    </xf>
    <xf numFmtId="0" fontId="22" fillId="0" borderId="19" xfId="25" applyFont="1" applyBorder="1" applyAlignment="1">
      <alignment vertical="center"/>
    </xf>
    <xf numFmtId="171" fontId="23" fillId="8" borderId="22" xfId="25" applyNumberFormat="1" applyFont="1" applyFill="1" applyBorder="1" applyAlignment="1">
      <alignment horizontal="center" vertical="center"/>
    </xf>
    <xf numFmtId="171" fontId="22" fillId="4" borderId="16" xfId="25" applyNumberFormat="1" applyFont="1" applyFill="1" applyBorder="1" applyAlignment="1">
      <alignment horizontal="center" vertical="center"/>
    </xf>
    <xf numFmtId="171" fontId="22" fillId="0" borderId="16" xfId="25" applyNumberFormat="1" applyFont="1" applyFill="1" applyBorder="1" applyAlignment="1">
      <alignment horizontal="center" vertical="center"/>
    </xf>
    <xf numFmtId="171" fontId="22" fillId="9" borderId="16" xfId="25" applyNumberFormat="1" applyFont="1" applyFill="1" applyBorder="1" applyAlignment="1">
      <alignment horizontal="center" vertical="center"/>
    </xf>
    <xf numFmtId="171" fontId="22" fillId="7" borderId="16" xfId="25" applyNumberFormat="1" applyFont="1" applyFill="1" applyBorder="1" applyAlignment="1">
      <alignment horizontal="center" vertical="center"/>
    </xf>
    <xf numFmtId="171" fontId="22" fillId="7" borderId="23" xfId="25" applyNumberFormat="1" applyFont="1" applyFill="1" applyBorder="1" applyAlignment="1">
      <alignment horizontal="center" vertical="center"/>
    </xf>
    <xf numFmtId="171" fontId="22" fillId="10" borderId="16" xfId="25" applyNumberFormat="1" applyFont="1" applyFill="1" applyBorder="1" applyAlignment="1">
      <alignment horizontal="center" vertical="center"/>
    </xf>
    <xf numFmtId="171" fontId="22" fillId="10" borderId="23" xfId="25" applyNumberFormat="1" applyFont="1" applyFill="1" applyBorder="1" applyAlignment="1">
      <alignment horizontal="center" vertical="center"/>
    </xf>
    <xf numFmtId="171" fontId="22" fillId="10" borderId="17" xfId="25" applyNumberFormat="1" applyFont="1" applyFill="1" applyBorder="1" applyAlignment="1">
      <alignment horizontal="center" vertical="center"/>
    </xf>
    <xf numFmtId="171" fontId="22" fillId="5" borderId="17" xfId="25" applyNumberFormat="1" applyFont="1" applyFill="1" applyBorder="1" applyAlignment="1">
      <alignment horizontal="center" vertical="center"/>
    </xf>
    <xf numFmtId="0" fontId="22" fillId="0" borderId="22" xfId="25" applyFont="1" applyBorder="1" applyAlignment="1">
      <alignment vertical="center"/>
    </xf>
    <xf numFmtId="0" fontId="25" fillId="8" borderId="15" xfId="25" applyFont="1" applyFill="1" applyBorder="1" applyAlignment="1">
      <alignment vertical="center"/>
    </xf>
    <xf numFmtId="0" fontId="21" fillId="4" borderId="21" xfId="25" applyFont="1" applyFill="1" applyBorder="1" applyAlignment="1">
      <alignment horizontal="center" vertical="center"/>
    </xf>
    <xf numFmtId="0" fontId="21" fillId="0" borderId="21" xfId="25" applyFont="1" applyFill="1" applyBorder="1" applyAlignment="1">
      <alignment horizontal="center" vertical="center"/>
    </xf>
    <xf numFmtId="0" fontId="21" fillId="9" borderId="21" xfId="25" applyFont="1" applyFill="1" applyBorder="1" applyAlignment="1">
      <alignment horizontal="center" vertical="center"/>
    </xf>
    <xf numFmtId="0" fontId="21" fillId="7" borderId="21" xfId="25" applyFont="1" applyFill="1" applyBorder="1" applyAlignment="1">
      <alignment horizontal="center" vertical="center"/>
    </xf>
    <xf numFmtId="0" fontId="21" fillId="7" borderId="0" xfId="25" applyFont="1" applyFill="1" applyBorder="1" applyAlignment="1">
      <alignment horizontal="center" vertical="center"/>
    </xf>
    <xf numFmtId="0" fontId="21" fillId="5" borderId="14" xfId="25" applyFont="1" applyFill="1" applyBorder="1" applyAlignment="1">
      <alignment horizontal="center" vertical="center"/>
    </xf>
    <xf numFmtId="0" fontId="22" fillId="0" borderId="15" xfId="25" applyFont="1" applyBorder="1" applyAlignment="1">
      <alignment vertical="center"/>
    </xf>
    <xf numFmtId="0" fontId="23" fillId="8" borderId="22" xfId="25" applyFont="1" applyFill="1" applyBorder="1" applyAlignment="1">
      <alignment horizontal="center" vertical="center"/>
    </xf>
    <xf numFmtId="0" fontId="21" fillId="4" borderId="16" xfId="25" applyFont="1" applyFill="1" applyBorder="1" applyAlignment="1">
      <alignment horizontal="center" vertical="center"/>
    </xf>
    <xf numFmtId="0" fontId="21" fillId="0" borderId="16" xfId="25" applyFont="1" applyFill="1" applyBorder="1" applyAlignment="1">
      <alignment horizontal="center" vertical="center"/>
    </xf>
    <xf numFmtId="0" fontId="21" fillId="9" borderId="16" xfId="25" applyFont="1" applyFill="1" applyBorder="1" applyAlignment="1">
      <alignment horizontal="center" vertical="center"/>
    </xf>
    <xf numFmtId="0" fontId="21" fillId="7" borderId="23" xfId="25" applyFont="1" applyFill="1" applyBorder="1" applyAlignment="1">
      <alignment horizontal="center" vertical="center" wrapText="1"/>
    </xf>
    <xf numFmtId="0" fontId="21" fillId="0" borderId="22" xfId="25" applyFont="1" applyBorder="1" applyAlignment="1">
      <alignment horizontal="center" vertical="center"/>
    </xf>
    <xf numFmtId="0" fontId="26" fillId="0" borderId="0" xfId="25" applyFont="1"/>
    <xf numFmtId="3" fontId="13" fillId="2" borderId="2" xfId="13" applyFont="1" applyFill="1" applyBorder="1" applyAlignment="1">
      <alignment horizontal="left"/>
    </xf>
    <xf numFmtId="168" fontId="13" fillId="0" borderId="0" xfId="1" applyNumberFormat="1" applyFont="1" applyFill="1" applyBorder="1" applyAlignment="1" applyProtection="1">
      <alignment horizontal="center" vertical="center"/>
      <protection locked="0"/>
    </xf>
    <xf numFmtId="173" fontId="14" fillId="0" borderId="2" xfId="1" applyNumberFormat="1" applyFont="1" applyFill="1" applyBorder="1" applyAlignment="1" applyProtection="1">
      <alignment horizontal="center" vertical="center"/>
      <protection locked="0"/>
    </xf>
    <xf numFmtId="173" fontId="13" fillId="0" borderId="2" xfId="1" applyNumberFormat="1" applyFont="1" applyFill="1" applyBorder="1" applyAlignment="1" applyProtection="1">
      <alignment horizontal="center" vertical="center"/>
      <protection locked="0"/>
    </xf>
    <xf numFmtId="173" fontId="14" fillId="0" borderId="2" xfId="1" applyNumberFormat="1" applyFont="1" applyFill="1" applyBorder="1" applyAlignment="1">
      <alignment horizontal="center" vertical="center" wrapText="1"/>
    </xf>
    <xf numFmtId="173" fontId="13" fillId="2" borderId="2" xfId="1" applyNumberFormat="1" applyFont="1" applyFill="1" applyBorder="1" applyAlignment="1">
      <alignment horizontal="center" vertical="center" wrapText="1"/>
    </xf>
    <xf numFmtId="173" fontId="13" fillId="2" borderId="2" xfId="1" applyNumberFormat="1" applyFont="1" applyFill="1" applyBorder="1" applyAlignment="1">
      <alignment horizontal="center"/>
    </xf>
    <xf numFmtId="0" fontId="1" fillId="0" borderId="0" xfId="25" applyFont="1"/>
    <xf numFmtId="10" fontId="2" fillId="0" borderId="0" xfId="10" applyNumberFormat="1" applyFont="1"/>
    <xf numFmtId="172" fontId="29" fillId="0" borderId="0" xfId="25" applyNumberFormat="1" applyFont="1" applyAlignment="1">
      <alignment horizontal="center" vertical="center"/>
    </xf>
    <xf numFmtId="174" fontId="14" fillId="0" borderId="0" xfId="0" applyNumberFormat="1" applyFont="1" applyBorder="1"/>
    <xf numFmtId="164" fontId="14" fillId="0" borderId="0" xfId="1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Border="1" applyAlignment="1">
      <alignment horizontal="center"/>
    </xf>
    <xf numFmtId="0" fontId="21" fillId="6" borderId="16" xfId="25" applyFont="1" applyFill="1" applyBorder="1" applyAlignment="1">
      <alignment horizontal="center" vertical="center"/>
    </xf>
    <xf numFmtId="0" fontId="21" fillId="10" borderId="24" xfId="25" applyFont="1" applyFill="1" applyBorder="1" applyAlignment="1">
      <alignment horizontal="center" vertical="center"/>
    </xf>
    <xf numFmtId="0" fontId="21" fillId="10" borderId="25" xfId="25" applyFont="1" applyFill="1" applyBorder="1" applyAlignment="1">
      <alignment horizontal="center" vertical="center"/>
    </xf>
    <xf numFmtId="0" fontId="21" fillId="10" borderId="26" xfId="25" applyFont="1" applyFill="1" applyBorder="1" applyAlignment="1">
      <alignment horizontal="center" vertical="center"/>
    </xf>
    <xf numFmtId="168" fontId="14" fillId="0" borderId="0" xfId="1" applyNumberFormat="1" applyFont="1"/>
    <xf numFmtId="173" fontId="30" fillId="0" borderId="2" xfId="1" applyNumberFormat="1" applyFont="1" applyFill="1" applyBorder="1" applyAlignment="1" applyProtection="1">
      <alignment horizontal="center" vertical="center"/>
      <protection locked="0"/>
    </xf>
    <xf numFmtId="10" fontId="29" fillId="0" borderId="0" xfId="10" applyNumberFormat="1" applyFont="1" applyAlignment="1">
      <alignment horizontal="center" vertical="center"/>
    </xf>
    <xf numFmtId="0" fontId="19" fillId="3" borderId="21" xfId="0" applyFont="1" applyFill="1" applyBorder="1" applyAlignment="1">
      <alignment horizontal="center" vertical="center" wrapText="1"/>
    </xf>
    <xf numFmtId="0" fontId="19" fillId="3" borderId="18" xfId="0" applyFont="1" applyFill="1" applyBorder="1" applyAlignment="1">
      <alignment horizontal="center" vertical="center" wrapText="1"/>
    </xf>
    <xf numFmtId="0" fontId="19" fillId="0" borderId="18" xfId="0" applyFont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vertical="center" wrapText="1"/>
    </xf>
    <xf numFmtId="173" fontId="5" fillId="0" borderId="18" xfId="1" applyNumberFormat="1" applyFont="1" applyBorder="1" applyAlignment="1">
      <alignment horizontal="right" vertical="center" wrapText="1"/>
    </xf>
    <xf numFmtId="173" fontId="5" fillId="0" borderId="18" xfId="0" applyNumberFormat="1" applyFont="1" applyBorder="1" applyAlignment="1">
      <alignment horizontal="right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73" fontId="30" fillId="0" borderId="2" xfId="1" applyNumberFormat="1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20" xfId="0" applyFont="1" applyFill="1" applyBorder="1" applyAlignment="1">
      <alignment horizontal="center" vertical="center" wrapText="1"/>
    </xf>
    <xf numFmtId="0" fontId="19" fillId="3" borderId="10" xfId="0" applyFont="1" applyFill="1" applyBorder="1" applyAlignment="1">
      <alignment horizontal="center" vertical="center" wrapText="1"/>
    </xf>
    <xf numFmtId="0" fontId="19" fillId="0" borderId="17" xfId="0" applyFont="1" applyBorder="1" applyAlignment="1">
      <alignment vertical="center" wrapText="1"/>
    </xf>
    <xf numFmtId="0" fontId="19" fillId="0" borderId="23" xfId="0" applyFont="1" applyBorder="1" applyAlignment="1">
      <alignment vertical="center" wrapText="1"/>
    </xf>
    <xf numFmtId="0" fontId="19" fillId="0" borderId="16" xfId="0" applyFont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19" fillId="0" borderId="0" xfId="0" applyFont="1" applyBorder="1" applyAlignment="1">
      <alignment vertical="center" wrapText="1"/>
    </xf>
    <xf numFmtId="0" fontId="19" fillId="0" borderId="21" xfId="0" applyFont="1" applyBorder="1" applyAlignment="1">
      <alignment vertical="center" wrapText="1"/>
    </xf>
    <xf numFmtId="0" fontId="0" fillId="0" borderId="13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0" fillId="0" borderId="18" xfId="0" applyBorder="1" applyAlignment="1">
      <alignment vertical="top" wrapText="1"/>
    </xf>
    <xf numFmtId="0" fontId="5" fillId="3" borderId="22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19" fillId="3" borderId="22" xfId="0" applyFont="1" applyFill="1" applyBorder="1" applyAlignment="1">
      <alignment horizontal="center" vertical="center" wrapText="1"/>
    </xf>
    <xf numFmtId="0" fontId="19" fillId="3" borderId="19" xfId="0" applyFont="1" applyFill="1" applyBorder="1" applyAlignment="1">
      <alignment horizontal="center" vertical="center" wrapText="1"/>
    </xf>
    <xf numFmtId="0" fontId="19" fillId="0" borderId="22" xfId="0" applyFont="1" applyBorder="1" applyAlignment="1">
      <alignment vertical="center" wrapText="1"/>
    </xf>
    <xf numFmtId="0" fontId="19" fillId="0" borderId="19" xfId="0" applyFont="1" applyBorder="1" applyAlignment="1">
      <alignment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9" fillId="0" borderId="13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9" fillId="0" borderId="18" xfId="0" applyFont="1" applyBorder="1" applyAlignment="1">
      <alignment vertical="center" wrapText="1"/>
    </xf>
    <xf numFmtId="172" fontId="29" fillId="0" borderId="23" xfId="25" applyNumberFormat="1" applyFont="1" applyBorder="1" applyAlignment="1">
      <alignment horizontal="center" vertical="center"/>
    </xf>
    <xf numFmtId="0" fontId="21" fillId="7" borderId="23" xfId="25" applyFont="1" applyFill="1" applyBorder="1" applyAlignment="1">
      <alignment horizontal="center" vertical="center"/>
    </xf>
    <xf numFmtId="0" fontId="2" fillId="0" borderId="16" xfId="25" applyBorder="1" applyAlignment="1">
      <alignment horizontal="center" vertical="center"/>
    </xf>
    <xf numFmtId="171" fontId="21" fillId="7" borderId="3" xfId="25" applyNumberFormat="1" applyFont="1" applyFill="1" applyBorder="1" applyAlignment="1">
      <alignment horizontal="center" vertical="center"/>
    </xf>
    <xf numFmtId="171" fontId="2" fillId="0" borderId="18" xfId="25" applyNumberFormat="1" applyBorder="1" applyAlignment="1">
      <alignment horizontal="center" vertical="center"/>
    </xf>
    <xf numFmtId="0" fontId="21" fillId="5" borderId="17" xfId="25" applyFont="1" applyFill="1" applyBorder="1" applyAlignment="1">
      <alignment horizontal="center" vertical="center"/>
    </xf>
    <xf numFmtId="0" fontId="21" fillId="5" borderId="23" xfId="25" applyFont="1" applyFill="1" applyBorder="1" applyAlignment="1">
      <alignment horizontal="center" vertical="center"/>
    </xf>
    <xf numFmtId="170" fontId="21" fillId="0" borderId="0" xfId="25" applyNumberFormat="1" applyFont="1" applyFill="1" applyBorder="1" applyAlignment="1">
      <alignment horizontal="center" vertical="center"/>
    </xf>
    <xf numFmtId="0" fontId="2" fillId="0" borderId="0" xfId="25" applyFill="1" applyBorder="1" applyAlignment="1">
      <alignment horizontal="center" vertical="center"/>
    </xf>
    <xf numFmtId="0" fontId="22" fillId="5" borderId="17" xfId="25" applyFont="1" applyFill="1" applyBorder="1" applyAlignment="1">
      <alignment horizontal="center" vertical="center"/>
    </xf>
    <xf numFmtId="0" fontId="22" fillId="5" borderId="16" xfId="25" applyFont="1" applyFill="1" applyBorder="1" applyAlignment="1">
      <alignment horizontal="center" vertical="center"/>
    </xf>
    <xf numFmtId="172" fontId="21" fillId="5" borderId="11" xfId="25" applyNumberFormat="1" applyFont="1" applyFill="1" applyBorder="1" applyAlignment="1">
      <alignment horizontal="center" vertical="center"/>
    </xf>
    <xf numFmtId="172" fontId="2" fillId="0" borderId="10" xfId="25" applyNumberFormat="1" applyBorder="1" applyAlignment="1">
      <alignment horizontal="center" vertical="center"/>
    </xf>
    <xf numFmtId="171" fontId="21" fillId="5" borderId="11" xfId="25" applyNumberFormat="1" applyFont="1" applyFill="1" applyBorder="1" applyAlignment="1">
      <alignment horizontal="center" vertical="center"/>
    </xf>
    <xf numFmtId="171" fontId="21" fillId="5" borderId="10" xfId="25" applyNumberFormat="1" applyFont="1" applyFill="1" applyBorder="1" applyAlignment="1">
      <alignment horizontal="center" vertical="center"/>
    </xf>
    <xf numFmtId="171" fontId="21" fillId="5" borderId="13" xfId="25" applyNumberFormat="1" applyFont="1" applyFill="1" applyBorder="1" applyAlignment="1">
      <alignment horizontal="center" vertical="center"/>
    </xf>
    <xf numFmtId="171" fontId="21" fillId="5" borderId="3" xfId="25" applyNumberFormat="1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Alignment="1"/>
    <xf numFmtId="0" fontId="13" fillId="0" borderId="0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</cellXfs>
  <cellStyles count="26">
    <cellStyle name="Comma" xfId="1" builtinId="3"/>
    <cellStyle name="Comma 2" xfId="14"/>
    <cellStyle name="Comma 2 2" xfId="15"/>
    <cellStyle name="Comma 3" xfId="16"/>
    <cellStyle name="Estilo 1" xfId="17"/>
    <cellStyle name="Euro" xfId="18"/>
    <cellStyle name="Nivel1" xfId="2"/>
    <cellStyle name="Nivel2" xfId="3"/>
    <cellStyle name="Nivel3" xfId="4"/>
    <cellStyle name="Nivel4" xfId="5"/>
    <cellStyle name="Nivel5" xfId="6"/>
    <cellStyle name="Nivel6" xfId="7"/>
    <cellStyle name="Nivel7" xfId="8"/>
    <cellStyle name="Normal" xfId="0" builtinId="0"/>
    <cellStyle name="Normal 2" xfId="11"/>
    <cellStyle name="Normal 2 2" xfId="12"/>
    <cellStyle name="Normal 3" xfId="13"/>
    <cellStyle name="Normal 4" xfId="19"/>
    <cellStyle name="Normal 4 2" xfId="20"/>
    <cellStyle name="Normal 5" xfId="21"/>
    <cellStyle name="Normal 6" xfId="22"/>
    <cellStyle name="Normal 7" xfId="23"/>
    <cellStyle name="Normal 8" xfId="25"/>
    <cellStyle name="Normal_NI-L1005-ppto-May07" xfId="9"/>
    <cellStyle name="Percent" xfId="10" builtinId="5"/>
    <cellStyle name="標準 3" xfId="24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6"/>
  <sheetViews>
    <sheetView tabSelected="1" workbookViewId="0">
      <selection activeCell="C10" sqref="C10"/>
    </sheetView>
  </sheetViews>
  <sheetFormatPr defaultRowHeight="12.75"/>
  <cols>
    <col min="2" max="2" width="29.28515625" customWidth="1"/>
    <col min="4" max="4" width="15.140625" customWidth="1"/>
    <col min="5" max="5" width="11" customWidth="1"/>
    <col min="6" max="6" width="19.85546875" customWidth="1"/>
    <col min="7" max="7" width="17.7109375" customWidth="1"/>
    <col min="8" max="8" width="15.7109375" customWidth="1"/>
    <col min="9" max="9" width="14.85546875" customWidth="1"/>
  </cols>
  <sheetData>
    <row r="2" spans="2:9" ht="13.5" thickBot="1"/>
    <row r="3" spans="2:9" ht="13.5" thickBot="1">
      <c r="B3" s="184" t="s">
        <v>134</v>
      </c>
      <c r="C3" s="185"/>
      <c r="D3" s="185"/>
      <c r="E3" s="185"/>
      <c r="F3" s="185"/>
      <c r="G3" s="185"/>
      <c r="H3" s="185"/>
      <c r="I3" s="186"/>
    </row>
    <row r="4" spans="2:9">
      <c r="B4" s="187"/>
      <c r="C4" s="188"/>
      <c r="D4" s="188"/>
      <c r="E4" s="189"/>
      <c r="F4" s="196" t="s">
        <v>46</v>
      </c>
      <c r="G4" s="173" t="s">
        <v>136</v>
      </c>
      <c r="H4" s="198" t="s">
        <v>79</v>
      </c>
      <c r="I4" s="198" t="s">
        <v>138</v>
      </c>
    </row>
    <row r="5" spans="2:9" ht="13.5" thickBot="1">
      <c r="B5" s="190" t="s">
        <v>135</v>
      </c>
      <c r="C5" s="191"/>
      <c r="D5" s="191"/>
      <c r="E5" s="192"/>
      <c r="F5" s="197"/>
      <c r="G5" s="174" t="s">
        <v>137</v>
      </c>
      <c r="H5" s="199"/>
      <c r="I5" s="199"/>
    </row>
    <row r="6" spans="2:9" ht="26.25" thickBot="1">
      <c r="B6" s="193"/>
      <c r="C6" s="194"/>
      <c r="D6" s="194"/>
      <c r="E6" s="195"/>
      <c r="F6" s="175" t="s">
        <v>139</v>
      </c>
      <c r="G6" s="176" t="s">
        <v>140</v>
      </c>
      <c r="H6" s="176" t="s">
        <v>141</v>
      </c>
      <c r="I6" s="176" t="s">
        <v>140</v>
      </c>
    </row>
    <row r="7" spans="2:9" ht="26.25" thickBot="1">
      <c r="B7" s="187" t="s">
        <v>142</v>
      </c>
      <c r="C7" s="188"/>
      <c r="D7" s="188"/>
      <c r="E7" s="189"/>
      <c r="F7" s="175" t="s">
        <v>143</v>
      </c>
      <c r="G7" s="176" t="s">
        <v>144</v>
      </c>
      <c r="H7" s="176" t="s">
        <v>144</v>
      </c>
      <c r="I7" s="176" t="s">
        <v>144</v>
      </c>
    </row>
    <row r="8" spans="2:9" ht="13.5" thickBot="1">
      <c r="B8" s="204"/>
      <c r="C8" s="205"/>
      <c r="D8" s="205"/>
      <c r="E8" s="206"/>
      <c r="F8" s="175" t="s">
        <v>145</v>
      </c>
      <c r="G8" s="176" t="s">
        <v>146</v>
      </c>
      <c r="H8" s="176" t="s">
        <v>141</v>
      </c>
      <c r="I8" s="176" t="s">
        <v>147</v>
      </c>
    </row>
    <row r="9" spans="2:9" ht="39" thickBot="1">
      <c r="B9" s="177" t="s">
        <v>148</v>
      </c>
      <c r="C9" s="174" t="s">
        <v>149</v>
      </c>
      <c r="D9" s="174" t="s">
        <v>150</v>
      </c>
      <c r="E9" s="174" t="s">
        <v>151</v>
      </c>
      <c r="F9" s="175" t="s">
        <v>152</v>
      </c>
      <c r="G9" s="178" t="s">
        <v>153</v>
      </c>
      <c r="H9" s="176" t="s">
        <v>154</v>
      </c>
      <c r="I9" s="176" t="s">
        <v>154</v>
      </c>
    </row>
    <row r="10" spans="2:9" ht="18.75" customHeight="1" thickBot="1">
      <c r="B10" s="179" t="s">
        <v>136</v>
      </c>
      <c r="C10" s="176" t="s">
        <v>155</v>
      </c>
      <c r="D10" s="180">
        <f>+'con CTF y GLM en C1'!G8*10^6</f>
        <v>17220000</v>
      </c>
      <c r="E10" s="182">
        <f>ROUND(+'con CTF y GLM en C1'!G12*100,1)/100</f>
        <v>0.16699999999999998</v>
      </c>
      <c r="F10" s="200" t="s">
        <v>156</v>
      </c>
      <c r="G10" s="202" t="s">
        <v>154</v>
      </c>
      <c r="H10" s="202" t="s">
        <v>154</v>
      </c>
      <c r="I10" s="202" t="s">
        <v>157</v>
      </c>
    </row>
    <row r="11" spans="2:9" ht="20.25" customHeight="1" thickBot="1">
      <c r="B11" s="179" t="s">
        <v>158</v>
      </c>
      <c r="C11" s="176" t="s">
        <v>159</v>
      </c>
      <c r="D11" s="180">
        <f>+'con CTF y GLM en C1'!H8*10^6</f>
        <v>11480000</v>
      </c>
      <c r="E11" s="182">
        <f>ROUND(+'con CTF y GLM en C1'!H12*100,1)/100</f>
        <v>0.111</v>
      </c>
      <c r="F11" s="201"/>
      <c r="G11" s="203"/>
      <c r="H11" s="203"/>
      <c r="I11" s="203"/>
    </row>
    <row r="12" spans="2:9" ht="40.5" thickBot="1">
      <c r="B12" s="179" t="s">
        <v>160</v>
      </c>
      <c r="C12" s="176">
        <v>57.1</v>
      </c>
      <c r="D12" s="180">
        <f>+'con CTF y GLM en C1'!E8*10^6</f>
        <v>22670000</v>
      </c>
      <c r="E12" s="182">
        <f>ROUND(+'con CTF y GLM en C1'!E12*100,1)/100</f>
        <v>0.21899999999999997</v>
      </c>
      <c r="F12" s="200" t="s">
        <v>161</v>
      </c>
      <c r="G12" s="202" t="s">
        <v>162</v>
      </c>
      <c r="H12" s="202" t="s">
        <v>163</v>
      </c>
      <c r="I12" s="202" t="s">
        <v>164</v>
      </c>
    </row>
    <row r="13" spans="2:9" ht="40.5" thickBot="1">
      <c r="B13" s="179" t="s">
        <v>165</v>
      </c>
      <c r="C13" s="176">
        <v>42.9</v>
      </c>
      <c r="D13" s="180">
        <f>+'con CTF y GLM en C1'!E9*10^6+12</f>
        <v>17023999.635580711</v>
      </c>
      <c r="E13" s="182">
        <f>ROUND(SUM('con CTF y GLM en C1'!C12,'con CTF y GLM en C1'!D12,'con CTF y GLM en C1'!F12)*100,1)/100-0.001</f>
        <v>0.16400000000000001</v>
      </c>
      <c r="F13" s="201"/>
      <c r="G13" s="203"/>
      <c r="H13" s="203"/>
      <c r="I13" s="203"/>
    </row>
    <row r="14" spans="2:9" ht="64.5" thickBot="1">
      <c r="B14" s="179" t="s">
        <v>166</v>
      </c>
      <c r="C14" s="176"/>
      <c r="D14" s="180">
        <f>+'con CTF y GLM en C1'!I8*10^6</f>
        <v>25000000</v>
      </c>
      <c r="E14" s="182">
        <f>ROUND(+'con CTF y GLM en C1'!I12*100,1)/100</f>
        <v>0.24199999999999999</v>
      </c>
      <c r="F14" s="175" t="s">
        <v>167</v>
      </c>
      <c r="G14" s="178" t="s">
        <v>153</v>
      </c>
      <c r="H14" s="176" t="s">
        <v>154</v>
      </c>
      <c r="I14" s="176" t="s">
        <v>154</v>
      </c>
    </row>
    <row r="15" spans="2:9" ht="13.5" thickBot="1">
      <c r="B15" s="179" t="s">
        <v>168</v>
      </c>
      <c r="C15" s="176" t="s">
        <v>169</v>
      </c>
      <c r="D15" s="180">
        <f>+'con CTF y GLM en C1'!K8*10^6</f>
        <v>10009000</v>
      </c>
      <c r="E15" s="182">
        <f>ROUND(+'con CTF y GLM en C1'!K12*100,1)/100</f>
        <v>9.6999999999999989E-2</v>
      </c>
      <c r="F15" s="200" t="s">
        <v>170</v>
      </c>
      <c r="G15" s="202" t="s">
        <v>171</v>
      </c>
      <c r="H15" s="202" t="s">
        <v>171</v>
      </c>
      <c r="I15" s="202" t="s">
        <v>171</v>
      </c>
    </row>
    <row r="16" spans="2:9" ht="13.5" thickBot="1">
      <c r="B16" s="179" t="s">
        <v>1</v>
      </c>
      <c r="C16" s="176"/>
      <c r="D16" s="181">
        <f>+SUM(D10:D15)</f>
        <v>103402999.63558072</v>
      </c>
      <c r="E16" s="182">
        <f>+SUM(E10:E15)</f>
        <v>0.99999999999999989</v>
      </c>
      <c r="F16" s="201"/>
      <c r="G16" s="203"/>
      <c r="H16" s="203"/>
      <c r="I16" s="203"/>
    </row>
  </sheetData>
  <mergeCells count="20">
    <mergeCell ref="F15:F16"/>
    <mergeCell ref="G15:G16"/>
    <mergeCell ref="H15:H16"/>
    <mergeCell ref="I15:I16"/>
    <mergeCell ref="B7:E8"/>
    <mergeCell ref="F10:F11"/>
    <mergeCell ref="G10:G11"/>
    <mergeCell ref="H10:H11"/>
    <mergeCell ref="I10:I11"/>
    <mergeCell ref="F12:F13"/>
    <mergeCell ref="G12:G13"/>
    <mergeCell ref="H12:H13"/>
    <mergeCell ref="I12:I13"/>
    <mergeCell ref="B3:I3"/>
    <mergeCell ref="B4:E4"/>
    <mergeCell ref="B5:E5"/>
    <mergeCell ref="B6:E6"/>
    <mergeCell ref="F4:F5"/>
    <mergeCell ref="H4:H5"/>
    <mergeCell ref="I4:I5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M22"/>
  <sheetViews>
    <sheetView workbookViewId="0">
      <pane xSplit="2" ySplit="2" topLeftCell="C3" activePane="bottomRight" state="frozen"/>
      <selection pane="topRight" activeCell="C1" sqref="C1"/>
      <selection pane="bottomLeft" activeCell="A4" sqref="A4"/>
      <selection pane="bottomRight" activeCell="C12" sqref="C12:D12"/>
    </sheetView>
  </sheetViews>
  <sheetFormatPr defaultRowHeight="15"/>
  <cols>
    <col min="1" max="1" width="3.42578125" style="80" customWidth="1"/>
    <col min="2" max="2" width="24.28515625" style="80" customWidth="1"/>
    <col min="3" max="5" width="14.7109375" style="80" customWidth="1"/>
    <col min="6" max="6" width="14.42578125" style="80" customWidth="1"/>
    <col min="7" max="9" width="14.7109375" style="80" customWidth="1"/>
    <col min="10" max="10" width="14.7109375" style="80" hidden="1" customWidth="1"/>
    <col min="11" max="12" width="14.7109375" style="80" customWidth="1"/>
    <col min="13" max="16384" width="9.140625" style="80"/>
  </cols>
  <sheetData>
    <row r="1" spans="2:13" ht="18.75">
      <c r="B1" s="96"/>
    </row>
    <row r="2" spans="2:13" ht="18.75">
      <c r="B2" s="96" t="s">
        <v>90</v>
      </c>
      <c r="K2" s="95"/>
    </row>
    <row r="3" spans="2:13" ht="19.5" thickBot="1">
      <c r="B3" s="152" t="s">
        <v>89</v>
      </c>
      <c r="K3" s="95"/>
    </row>
    <row r="4" spans="2:13" ht="54" customHeight="1" thickBot="1">
      <c r="B4" s="151" t="s">
        <v>75</v>
      </c>
      <c r="C4" s="212" t="s">
        <v>74</v>
      </c>
      <c r="D4" s="213"/>
      <c r="E4" s="150" t="s">
        <v>88</v>
      </c>
      <c r="F4" s="166" t="s">
        <v>87</v>
      </c>
      <c r="G4" s="208" t="s">
        <v>86</v>
      </c>
      <c r="H4" s="209"/>
      <c r="I4" s="149" t="s">
        <v>85</v>
      </c>
      <c r="J4" s="148" t="s">
        <v>84</v>
      </c>
      <c r="K4" s="147" t="s">
        <v>83</v>
      </c>
      <c r="L4" s="146" t="s">
        <v>30</v>
      </c>
      <c r="M4" s="110"/>
    </row>
    <row r="5" spans="2:13" ht="20.100000000000001" customHeight="1" thickTop="1" thickBot="1">
      <c r="B5" s="145"/>
      <c r="C5" s="144" t="s">
        <v>131</v>
      </c>
      <c r="D5" s="167" t="s">
        <v>132</v>
      </c>
      <c r="E5" s="168" t="s">
        <v>81</v>
      </c>
      <c r="F5" s="169" t="s">
        <v>131</v>
      </c>
      <c r="G5" s="143" t="s">
        <v>80</v>
      </c>
      <c r="H5" s="142" t="s">
        <v>79</v>
      </c>
      <c r="I5" s="141" t="s">
        <v>82</v>
      </c>
      <c r="J5" s="140" t="s">
        <v>73</v>
      </c>
      <c r="K5" s="139"/>
      <c r="L5" s="138"/>
      <c r="M5" s="110"/>
    </row>
    <row r="6" spans="2:13" ht="20.100000000000001" customHeight="1">
      <c r="B6" s="137" t="s">
        <v>78</v>
      </c>
      <c r="C6" s="136">
        <f>+'Resumen Costo - Desembolsos'!F19/1000</f>
        <v>6.7499876355807089</v>
      </c>
      <c r="D6" s="135">
        <f>+'Resumen Costo - Desembolsos'!G19/1000</f>
        <v>0.75</v>
      </c>
      <c r="E6" s="134">
        <f>+'Resumen Costo - Desembolsos'!C19/1000</f>
        <v>22.67</v>
      </c>
      <c r="F6" s="133">
        <f>+'Resumen Costo - Desembolsos'!H19/1000</f>
        <v>9.5239999999999991</v>
      </c>
      <c r="G6" s="132"/>
      <c r="H6" s="131"/>
      <c r="I6" s="130"/>
      <c r="J6" s="129">
        <v>0</v>
      </c>
      <c r="K6" s="128">
        <f>+'Resumen Costo - Desembolsos'!I11/1000</f>
        <v>6.3869999999999996</v>
      </c>
      <c r="L6" s="127">
        <f>SUM(C6:K6)</f>
        <v>46.080987635580712</v>
      </c>
      <c r="M6" s="110"/>
    </row>
    <row r="7" spans="2:13" ht="20.100000000000001" customHeight="1" thickBot="1">
      <c r="B7" s="126" t="s">
        <v>77</v>
      </c>
      <c r="C7" s="125"/>
      <c r="D7" s="124"/>
      <c r="E7" s="123"/>
      <c r="F7" s="122"/>
      <c r="G7" s="121">
        <f>+'Resumen Costo - Desembolsos'!D18/1000*0.6</f>
        <v>17.22</v>
      </c>
      <c r="H7" s="120">
        <f>+'Resumen Costo - Desembolsos'!D18/1000*0.4</f>
        <v>11.48</v>
      </c>
      <c r="I7" s="119">
        <f>+'Resumen Costo - Desembolsos'!E19/1000</f>
        <v>25</v>
      </c>
      <c r="J7" s="118"/>
      <c r="K7" s="117">
        <f>+'Resumen Costo - Desembolsos'!I18/1000</f>
        <v>3.6219999999999999</v>
      </c>
      <c r="L7" s="101">
        <f>SUM(C7:K7)</f>
        <v>57.322000000000003</v>
      </c>
      <c r="M7" s="110"/>
    </row>
    <row r="8" spans="2:13" ht="20.100000000000001" customHeight="1" thickBot="1">
      <c r="B8" s="116" t="s">
        <v>30</v>
      </c>
      <c r="C8" s="115">
        <f t="shared" ref="C8:L8" si="0">SUM(C6:C7)</f>
        <v>6.7499876355807089</v>
      </c>
      <c r="D8" s="114">
        <f t="shared" si="0"/>
        <v>0.75</v>
      </c>
      <c r="E8" s="113">
        <f t="shared" si="0"/>
        <v>22.67</v>
      </c>
      <c r="F8" s="112">
        <f t="shared" si="0"/>
        <v>9.5239999999999991</v>
      </c>
      <c r="G8" s="99">
        <f t="shared" ref="G8" si="1">SUM(G6:G7)</f>
        <v>17.22</v>
      </c>
      <c r="H8" s="111">
        <f t="shared" ref="H8" si="2">SUM(H6:H7)</f>
        <v>11.48</v>
      </c>
      <c r="I8" s="104">
        <f t="shared" si="0"/>
        <v>25</v>
      </c>
      <c r="J8" s="103">
        <f t="shared" si="0"/>
        <v>0</v>
      </c>
      <c r="K8" s="102">
        <f t="shared" si="0"/>
        <v>10.009</v>
      </c>
      <c r="L8" s="101">
        <f t="shared" si="0"/>
        <v>103.40298763558071</v>
      </c>
      <c r="M8" s="110"/>
    </row>
    <row r="9" spans="2:13" ht="20.100000000000001" customHeight="1" thickBot="1">
      <c r="B9" s="109" t="s">
        <v>116</v>
      </c>
      <c r="C9" s="108"/>
      <c r="D9" s="107"/>
      <c r="E9" s="106">
        <f>+C6+D6+F6</f>
        <v>17.02398763558071</v>
      </c>
      <c r="F9" s="105"/>
      <c r="G9" s="210">
        <f>SUM(G8:H8)</f>
        <v>28.7</v>
      </c>
      <c r="H9" s="211"/>
      <c r="I9" s="104">
        <f>+I8</f>
        <v>25</v>
      </c>
      <c r="J9" s="103">
        <f>+J8</f>
        <v>0</v>
      </c>
      <c r="K9" s="102">
        <f>+K8</f>
        <v>10.009</v>
      </c>
      <c r="L9" s="101"/>
    </row>
    <row r="10" spans="2:13" ht="20.100000000000001" customHeight="1" thickBot="1">
      <c r="B10" s="100" t="s">
        <v>114</v>
      </c>
      <c r="C10" s="222">
        <f>C8+D8</f>
        <v>7.4999876355807089</v>
      </c>
      <c r="D10" s="223"/>
      <c r="E10" s="99">
        <f>E8</f>
        <v>22.67</v>
      </c>
      <c r="F10" s="98">
        <f>F8</f>
        <v>9.5239999999999991</v>
      </c>
      <c r="G10" s="97"/>
      <c r="H10" s="97"/>
      <c r="I10" s="97"/>
      <c r="J10" s="97"/>
      <c r="K10" s="97"/>
      <c r="L10" s="97"/>
    </row>
    <row r="11" spans="2:13" ht="20.100000000000001" customHeight="1">
      <c r="B11" s="160" t="s">
        <v>115</v>
      </c>
      <c r="D11" s="161"/>
      <c r="E11" s="161">
        <f>+E9/(E9+E10)</f>
        <v>0.42888076128488606</v>
      </c>
    </row>
    <row r="12" spans="2:13" ht="20.100000000000001" customHeight="1">
      <c r="C12" s="172">
        <f>C8/$L$8</f>
        <v>6.5278458484869295E-2</v>
      </c>
      <c r="D12" s="172">
        <f t="shared" ref="D12:K12" si="3">D8/$L$8</f>
        <v>7.2531753399930473E-3</v>
      </c>
      <c r="E12" s="172">
        <f t="shared" si="3"/>
        <v>0.21923931327685653</v>
      </c>
      <c r="F12" s="172">
        <f t="shared" si="3"/>
        <v>9.2105655917458368E-2</v>
      </c>
      <c r="G12" s="172">
        <f t="shared" si="3"/>
        <v>0.16653290580624036</v>
      </c>
      <c r="H12" s="172">
        <f t="shared" si="3"/>
        <v>0.11102193720416025</v>
      </c>
      <c r="I12" s="172">
        <f t="shared" si="3"/>
        <v>0.24177251133310157</v>
      </c>
      <c r="J12" s="172">
        <f t="shared" si="3"/>
        <v>0</v>
      </c>
      <c r="K12" s="172">
        <f t="shared" si="3"/>
        <v>9.6796042637320542E-2</v>
      </c>
    </row>
    <row r="13" spans="2:13" ht="20.100000000000001" customHeight="1" thickBot="1">
      <c r="B13" s="96" t="s">
        <v>76</v>
      </c>
      <c r="K13" s="95"/>
    </row>
    <row r="14" spans="2:13" ht="20.100000000000001" customHeight="1">
      <c r="B14" s="94" t="s">
        <v>75</v>
      </c>
      <c r="C14" s="216" t="s">
        <v>74</v>
      </c>
      <c r="D14" s="217"/>
      <c r="E14" s="90"/>
    </row>
    <row r="15" spans="2:13" ht="20.100000000000001" customHeight="1" thickBot="1">
      <c r="B15" s="93"/>
      <c r="C15" s="92"/>
      <c r="D15" s="91"/>
      <c r="E15" s="90"/>
    </row>
    <row r="16" spans="2:13" ht="20.100000000000001" customHeight="1" thickTop="1" thickBot="1">
      <c r="B16" s="89"/>
      <c r="C16" s="167" t="s">
        <v>131</v>
      </c>
      <c r="D16" s="167" t="s">
        <v>132</v>
      </c>
      <c r="E16" s="90"/>
    </row>
    <row r="17" spans="2:10" ht="20.100000000000001" customHeight="1" thickBot="1">
      <c r="B17" s="89" t="s">
        <v>72</v>
      </c>
      <c r="C17" s="87">
        <f>6.75-C6</f>
        <v>1.236441929108878E-5</v>
      </c>
      <c r="D17" s="87">
        <f>8.25-D6-D7</f>
        <v>7.5</v>
      </c>
      <c r="E17" s="86"/>
    </row>
    <row r="18" spans="2:10" ht="20.100000000000001" customHeight="1" thickBot="1">
      <c r="B18" s="88" t="s">
        <v>30</v>
      </c>
      <c r="C18" s="87">
        <f>SUM(C17:C17)</f>
        <v>1.236441929108878E-5</v>
      </c>
      <c r="D18" s="87">
        <f>SUM(D17:D17)</f>
        <v>7.5</v>
      </c>
      <c r="E18" s="86"/>
    </row>
    <row r="19" spans="2:10" ht="20.100000000000001" customHeight="1" thickBot="1">
      <c r="B19" s="84"/>
      <c r="C19" s="218">
        <f>SUM(C18:D18)</f>
        <v>7.5000123644192911</v>
      </c>
      <c r="D19" s="219"/>
      <c r="E19" s="85"/>
    </row>
    <row r="20" spans="2:10" ht="20.100000000000001" customHeight="1" thickBot="1">
      <c r="B20" s="84"/>
      <c r="C20" s="162"/>
      <c r="D20" s="162"/>
      <c r="E20" s="84"/>
      <c r="F20" s="84"/>
      <c r="G20" s="84"/>
      <c r="H20" s="84"/>
      <c r="I20" s="84"/>
      <c r="J20" s="84"/>
    </row>
    <row r="21" spans="2:10" ht="20.100000000000001" customHeight="1" thickBot="1">
      <c r="B21" s="83" t="s">
        <v>71</v>
      </c>
      <c r="C21" s="220">
        <f>+C10+C19</f>
        <v>15</v>
      </c>
      <c r="D21" s="221"/>
      <c r="E21" s="82"/>
      <c r="F21" s="82"/>
      <c r="G21" s="214"/>
      <c r="H21" s="215"/>
    </row>
    <row r="22" spans="2:10">
      <c r="C22" s="207">
        <f>C12+D12+C20+D20</f>
        <v>7.2531633824862343E-2</v>
      </c>
      <c r="D22" s="207"/>
      <c r="E22" s="81"/>
    </row>
  </sheetData>
  <mergeCells count="9">
    <mergeCell ref="C22:D22"/>
    <mergeCell ref="G4:H4"/>
    <mergeCell ref="G9:H9"/>
    <mergeCell ref="C4:D4"/>
    <mergeCell ref="G21:H21"/>
    <mergeCell ref="C14:D14"/>
    <mergeCell ref="C19:D19"/>
    <mergeCell ref="C21:D21"/>
    <mergeCell ref="C10:D10"/>
  </mergeCells>
  <pageMargins left="0.7" right="0.7" top="0.75" bottom="0.75" header="0.3" footer="0.3"/>
  <pageSetup scale="77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5"/>
  <sheetViews>
    <sheetView topLeftCell="A6" zoomScale="140" zoomScaleNormal="140" workbookViewId="0">
      <selection activeCell="H32" sqref="H32"/>
    </sheetView>
  </sheetViews>
  <sheetFormatPr defaultColWidth="11.42578125" defaultRowHeight="12.75"/>
  <cols>
    <col min="1" max="1" width="1.42578125" style="3" customWidth="1"/>
    <col min="2" max="2" width="45.7109375" style="3" customWidth="1"/>
    <col min="3" max="10" width="9.7109375" style="3" customWidth="1"/>
    <col min="11" max="11" width="11.7109375" style="3" customWidth="1"/>
    <col min="12" max="13" width="10.7109375" style="3" customWidth="1"/>
    <col min="14" max="14" width="7.7109375" style="3" customWidth="1"/>
    <col min="15" max="16384" width="11.42578125" style="3"/>
  </cols>
  <sheetData>
    <row r="2" spans="1:14">
      <c r="A2" s="2"/>
      <c r="B2" s="47" t="s">
        <v>90</v>
      </c>
      <c r="C2" s="41"/>
      <c r="D2" s="42"/>
      <c r="E2" s="42"/>
      <c r="F2" s="45"/>
      <c r="G2" s="45"/>
      <c r="H2" s="45"/>
      <c r="I2" s="45"/>
      <c r="J2" s="45"/>
      <c r="K2" s="45"/>
      <c r="L2" s="45"/>
      <c r="M2" s="45"/>
      <c r="N2" s="2"/>
    </row>
    <row r="3" spans="1:14">
      <c r="A3" s="2"/>
      <c r="B3" s="47" t="s">
        <v>39</v>
      </c>
      <c r="C3" s="41"/>
      <c r="D3" s="41"/>
      <c r="E3" s="41"/>
      <c r="F3" s="46"/>
      <c r="N3" s="2"/>
    </row>
    <row r="4" spans="1:14" ht="12.75" customHeight="1">
      <c r="A4" s="2"/>
      <c r="B4" s="43"/>
      <c r="C4" s="4" t="str">
        <f>+Geotermia!B4</f>
        <v>BID (GLM)</v>
      </c>
      <c r="D4" s="4" t="str">
        <f>+Transmision!C4</f>
        <v>BID (blend)</v>
      </c>
      <c r="E4" s="4" t="str">
        <f>+Transmision!D4</f>
        <v>BID (Kor Fac)</v>
      </c>
      <c r="F4" s="4" t="str">
        <f>+Geotermia!C4</f>
        <v>SREP (Contng)</v>
      </c>
      <c r="G4" s="4" t="str">
        <f>+Geotermia!D4</f>
        <v>SREP (grant)</v>
      </c>
      <c r="H4" s="4" t="str">
        <f>+Geotermia!E4</f>
        <v>CTF (Contng)</v>
      </c>
      <c r="I4" s="4" t="s">
        <v>83</v>
      </c>
      <c r="J4" s="5" t="s">
        <v>1</v>
      </c>
      <c r="N4" s="2"/>
    </row>
    <row r="5" spans="1:14">
      <c r="A5" s="2"/>
      <c r="B5" s="50" t="str">
        <f>+Geotermia!A5</f>
        <v>1. Ingeniería, Supervisión y Administración</v>
      </c>
      <c r="C5" s="155">
        <f>+ROUND(Geotermia!B5,0)</f>
        <v>1670</v>
      </c>
      <c r="D5" s="155">
        <v>0</v>
      </c>
      <c r="E5" s="155">
        <v>0</v>
      </c>
      <c r="F5" s="155">
        <f>+Geotermia!C5</f>
        <v>529.46460500385012</v>
      </c>
      <c r="G5" s="155">
        <f>+ROUND(Geotermia!D5,0)</f>
        <v>59</v>
      </c>
      <c r="H5" s="155">
        <f>+ROUND(Geotermia!E5,0)</f>
        <v>747</v>
      </c>
      <c r="I5" s="155">
        <f>+ROUND(Geotermia!F5,0)</f>
        <v>500</v>
      </c>
      <c r="J5" s="156">
        <f>+SUM(C5:I5)</f>
        <v>3505.46460500385</v>
      </c>
      <c r="N5" s="2"/>
    </row>
    <row r="6" spans="1:14">
      <c r="A6" s="2"/>
      <c r="B6" s="51" t="str">
        <f>+Geotermia!A11</f>
        <v>2. Costos Directos</v>
      </c>
      <c r="C6" s="155">
        <f t="shared" ref="C6:J6" si="0">+C7+C8</f>
        <v>19031</v>
      </c>
      <c r="D6" s="155">
        <f t="shared" si="0"/>
        <v>0</v>
      </c>
      <c r="E6" s="155">
        <f t="shared" si="0"/>
        <v>0</v>
      </c>
      <c r="F6" s="155">
        <f t="shared" si="0"/>
        <v>6034.5727672570192</v>
      </c>
      <c r="G6" s="155">
        <f t="shared" si="0"/>
        <v>671</v>
      </c>
      <c r="H6" s="155">
        <f t="shared" si="0"/>
        <v>8514</v>
      </c>
      <c r="I6" s="155">
        <f>+I7+I8</f>
        <v>0</v>
      </c>
      <c r="J6" s="156">
        <f t="shared" si="0"/>
        <v>34250.572767257021</v>
      </c>
      <c r="N6" s="2"/>
    </row>
    <row r="7" spans="1:14">
      <c r="A7" s="2"/>
      <c r="B7" s="52" t="str">
        <f>+Geotermia!A12</f>
        <v>2.1 Exploracion de factibilidad</v>
      </c>
      <c r="C7" s="155">
        <f>+ROUND(Geotermia!B12,0)</f>
        <v>18753</v>
      </c>
      <c r="D7" s="155">
        <v>0</v>
      </c>
      <c r="E7" s="155">
        <v>0</v>
      </c>
      <c r="F7" s="155">
        <f>+Geotermia!C12</f>
        <v>5946.4768144503478</v>
      </c>
      <c r="G7" s="155">
        <f>+ROUND(Geotermia!D12,0)</f>
        <v>661</v>
      </c>
      <c r="H7" s="155">
        <f>+ROUND(Geotermia!E12,0)</f>
        <v>8390</v>
      </c>
      <c r="I7" s="155">
        <f>+ROUND(Geotermia!F12,0)</f>
        <v>0</v>
      </c>
      <c r="J7" s="156">
        <f t="shared" ref="J7:J8" si="1">+SUM(C7:I7)</f>
        <v>33750.476814450347</v>
      </c>
      <c r="N7" s="2"/>
    </row>
    <row r="8" spans="1:14">
      <c r="A8" s="2"/>
      <c r="B8" s="52" t="str">
        <f>+Geotermia!A22</f>
        <v>2.2 Estrategia Implementacion proyectos geotermicos</v>
      </c>
      <c r="C8" s="155">
        <f>+ROUND(Geotermia!B22,0)</f>
        <v>278</v>
      </c>
      <c r="D8" s="155">
        <v>0</v>
      </c>
      <c r="E8" s="155">
        <v>0</v>
      </c>
      <c r="F8" s="155">
        <f>+Geotermia!C22</f>
        <v>88.095952806671804</v>
      </c>
      <c r="G8" s="155">
        <f>+ROUND(Geotermia!D22,0)</f>
        <v>10</v>
      </c>
      <c r="H8" s="155">
        <f>+ROUND(Geotermia!E22,0)</f>
        <v>124</v>
      </c>
      <c r="I8" s="155">
        <f>+ROUND(Geotermia!F22,0)</f>
        <v>0</v>
      </c>
      <c r="J8" s="156">
        <f t="shared" si="1"/>
        <v>500.09595280667179</v>
      </c>
      <c r="N8" s="2"/>
    </row>
    <row r="9" spans="1:14">
      <c r="A9" s="11"/>
      <c r="B9" s="50" t="str">
        <f>+Geotermia!A25</f>
        <v>3. Imprevistos</v>
      </c>
      <c r="C9" s="183">
        <f>+ROUND(Geotermia!B25,0)-1</f>
        <v>585</v>
      </c>
      <c r="D9" s="155">
        <v>0</v>
      </c>
      <c r="E9" s="155">
        <v>0</v>
      </c>
      <c r="F9" s="157">
        <f>+Geotermia!C25</f>
        <v>185.95026331984005</v>
      </c>
      <c r="G9" s="183">
        <f>+ROUND(Geotermia!D25,0)-1</f>
        <v>20</v>
      </c>
      <c r="H9" s="183">
        <f>+ROUND(Geotermia!E25,0)+1</f>
        <v>263</v>
      </c>
      <c r="I9" s="157">
        <f>+ROUND(Geotermia!F25,0)</f>
        <v>5796</v>
      </c>
      <c r="J9" s="156">
        <f>+SUM(C9:I9)</f>
        <v>6849.9502633198399</v>
      </c>
      <c r="N9" s="2"/>
    </row>
    <row r="10" spans="1:14">
      <c r="A10" s="2"/>
      <c r="B10" s="51" t="str">
        <f>+Geotermia!A28</f>
        <v xml:space="preserve">4. Gastos Financieros </v>
      </c>
      <c r="C10" s="155">
        <f>+ROUND(Geotermia!B28,0)</f>
        <v>1384</v>
      </c>
      <c r="D10" s="155">
        <v>0</v>
      </c>
      <c r="E10" s="155">
        <v>0</v>
      </c>
      <c r="F10" s="155">
        <f>+Geotermia!C28</f>
        <v>0</v>
      </c>
      <c r="G10" s="155">
        <f>+ROUND(Geotermia!D28,0)</f>
        <v>0</v>
      </c>
      <c r="H10" s="155">
        <f>+ROUND(Geotermia!E28,0)</f>
        <v>0</v>
      </c>
      <c r="I10" s="155">
        <f>+ROUND(Geotermia!F28,0)</f>
        <v>91</v>
      </c>
      <c r="J10" s="156">
        <f>+I10+C10</f>
        <v>1475</v>
      </c>
      <c r="N10" s="2"/>
    </row>
    <row r="11" spans="1:14">
      <c r="B11" s="153" t="s">
        <v>103</v>
      </c>
      <c r="C11" s="158">
        <f t="shared" ref="C11:J11" si="2">+C5+C6+C9+C10</f>
        <v>22670</v>
      </c>
      <c r="D11" s="158">
        <f t="shared" si="2"/>
        <v>0</v>
      </c>
      <c r="E11" s="158">
        <f t="shared" si="2"/>
        <v>0</v>
      </c>
      <c r="F11" s="158">
        <f t="shared" si="2"/>
        <v>6749.9876355807091</v>
      </c>
      <c r="G11" s="158">
        <f t="shared" si="2"/>
        <v>750</v>
      </c>
      <c r="H11" s="158">
        <f t="shared" si="2"/>
        <v>9524</v>
      </c>
      <c r="I11" s="158">
        <f>+I5+I6+I9+I10</f>
        <v>6387</v>
      </c>
      <c r="J11" s="158">
        <f t="shared" si="2"/>
        <v>46080.987635580714</v>
      </c>
    </row>
    <row r="12" spans="1:14">
      <c r="B12" s="50" t="str">
        <f>+Transmision!A5</f>
        <v>1. Ingeniería, Supervisión y Administración</v>
      </c>
      <c r="C12" s="155">
        <f>+ROUND(Transmision!B5,0)</f>
        <v>0</v>
      </c>
      <c r="D12" s="155">
        <f>+ROUND(Transmision!C5,0)</f>
        <v>800</v>
      </c>
      <c r="E12" s="155">
        <f>+ROUND(Transmision!D5,0)</f>
        <v>731</v>
      </c>
      <c r="F12" s="155">
        <v>0</v>
      </c>
      <c r="G12" s="155">
        <v>0</v>
      </c>
      <c r="H12" s="155">
        <v>0</v>
      </c>
      <c r="I12" s="155">
        <f>+ROUND(Transmision!E5,0)</f>
        <v>600</v>
      </c>
      <c r="J12" s="156">
        <f>+SUM(C12:I12)</f>
        <v>2131</v>
      </c>
    </row>
    <row r="13" spans="1:14">
      <c r="B13" s="51" t="str">
        <f>+Transmision!A11</f>
        <v>2. Costos Directos</v>
      </c>
      <c r="C13" s="155">
        <f>+C14+C15</f>
        <v>0</v>
      </c>
      <c r="D13" s="155">
        <f>+D14+D15</f>
        <v>25824</v>
      </c>
      <c r="E13" s="155">
        <f>+E14+E15</f>
        <v>23582</v>
      </c>
      <c r="F13" s="155">
        <f t="shared" ref="F13:H13" si="3">+F14+F15</f>
        <v>0</v>
      </c>
      <c r="G13" s="155">
        <f t="shared" si="3"/>
        <v>0</v>
      </c>
      <c r="H13" s="155">
        <f t="shared" si="3"/>
        <v>0</v>
      </c>
      <c r="I13" s="155">
        <f>+I14+I15</f>
        <v>0</v>
      </c>
      <c r="J13" s="156">
        <f>+J14+J15</f>
        <v>49406</v>
      </c>
    </row>
    <row r="14" spans="1:14">
      <c r="B14" s="52" t="str">
        <f>+Transmision!A12</f>
        <v>2.1 Transmisión para apoyar los refuerzos nacionales</v>
      </c>
      <c r="C14" s="155">
        <f>+ROUND(Transmision!B12,0)</f>
        <v>0</v>
      </c>
      <c r="D14" s="155">
        <f>+ROUND(Transmision!C12,0)</f>
        <v>19774</v>
      </c>
      <c r="E14" s="155">
        <f>+ROUND(Transmision!D12,0)</f>
        <v>18057</v>
      </c>
      <c r="F14" s="155">
        <v>0</v>
      </c>
      <c r="G14" s="155">
        <v>0</v>
      </c>
      <c r="H14" s="155">
        <v>0</v>
      </c>
      <c r="I14" s="155">
        <f>+ROUND(Transmision!E12,0)</f>
        <v>0</v>
      </c>
      <c r="J14" s="156">
        <f>+SUM(C14:I14)</f>
        <v>37831</v>
      </c>
    </row>
    <row r="15" spans="1:14">
      <c r="B15" s="52" t="str">
        <f>+Transmision!A19</f>
        <v>2.2 Transmisión para respaldar la capacidad del sistema regional</v>
      </c>
      <c r="C15" s="155">
        <f>+ROUND(Transmision!B19,0)</f>
        <v>0</v>
      </c>
      <c r="D15" s="155">
        <f>+ROUND(Transmision!C19,0)</f>
        <v>6050</v>
      </c>
      <c r="E15" s="155">
        <f>+ROUND(Transmision!D19,0)</f>
        <v>5525</v>
      </c>
      <c r="F15" s="155">
        <v>0</v>
      </c>
      <c r="G15" s="155">
        <v>0</v>
      </c>
      <c r="H15" s="155">
        <v>0</v>
      </c>
      <c r="I15" s="155">
        <f>+ROUND(Transmision!E19,0)</f>
        <v>0</v>
      </c>
      <c r="J15" s="156">
        <f>+SUM(C15:I15)</f>
        <v>11575</v>
      </c>
    </row>
    <row r="16" spans="1:14">
      <c r="B16" s="50" t="str">
        <f>+Transmision!A23</f>
        <v>3. Imprevistos</v>
      </c>
      <c r="C16" s="157">
        <f>+ROUND(Transmision!B23,0)</f>
        <v>0</v>
      </c>
      <c r="D16" s="157">
        <f>+ROUND(Transmision!C23,0)</f>
        <v>771</v>
      </c>
      <c r="E16" s="157">
        <f>+ROUND(Transmision!D23,0)</f>
        <v>0</v>
      </c>
      <c r="F16" s="155">
        <v>0</v>
      </c>
      <c r="G16" s="155">
        <v>0</v>
      </c>
      <c r="H16" s="155">
        <v>0</v>
      </c>
      <c r="I16" s="157">
        <f>+ROUND(Transmision!E23,0)</f>
        <v>2889</v>
      </c>
      <c r="J16" s="156">
        <f>+SUM(C16:I16)</f>
        <v>3660</v>
      </c>
    </row>
    <row r="17" spans="2:11">
      <c r="B17" s="51" t="str">
        <f>+Transmision!A26</f>
        <v xml:space="preserve">4. Gastos Financieros </v>
      </c>
      <c r="C17" s="155">
        <f>+ROUND(Transmision!B26,0)</f>
        <v>0</v>
      </c>
      <c r="D17" s="155">
        <f>+ROUND(Transmision!C26,0)</f>
        <v>1305</v>
      </c>
      <c r="E17" s="171">
        <f>+ROUND(Transmision!D26,0)-1</f>
        <v>687</v>
      </c>
      <c r="F17" s="155">
        <v>0</v>
      </c>
      <c r="G17" s="155">
        <v>0</v>
      </c>
      <c r="H17" s="155">
        <v>0</v>
      </c>
      <c r="I17" s="155">
        <f>+ROUND(Transmision!E26,0)</f>
        <v>133</v>
      </c>
      <c r="J17" s="156">
        <f>+SUM(C17:I17)</f>
        <v>2125</v>
      </c>
    </row>
    <row r="18" spans="2:11">
      <c r="B18" s="153" t="s">
        <v>104</v>
      </c>
      <c r="C18" s="158">
        <f>+C12+C13+C16+C17</f>
        <v>0</v>
      </c>
      <c r="D18" s="158">
        <f>+D12+D13+D16+D17</f>
        <v>28700</v>
      </c>
      <c r="E18" s="158">
        <f>+E12+E13+E16+E17</f>
        <v>25000</v>
      </c>
      <c r="F18" s="158">
        <f t="shared" ref="F18:H18" si="4">+F12+F13+F16+F17</f>
        <v>0</v>
      </c>
      <c r="G18" s="158">
        <f t="shared" si="4"/>
        <v>0</v>
      </c>
      <c r="H18" s="158">
        <f t="shared" si="4"/>
        <v>0</v>
      </c>
      <c r="I18" s="158">
        <f>+I12+I13+I16+I17</f>
        <v>3622</v>
      </c>
      <c r="J18" s="158">
        <f>+J12+J13+J16+J17</f>
        <v>57322</v>
      </c>
    </row>
    <row r="19" spans="2:11">
      <c r="B19" s="49" t="s">
        <v>105</v>
      </c>
      <c r="C19" s="158">
        <f t="shared" ref="C19:J19" si="5">+C11+C18</f>
        <v>22670</v>
      </c>
      <c r="D19" s="158">
        <f t="shared" si="5"/>
        <v>28700</v>
      </c>
      <c r="E19" s="158">
        <f t="shared" si="5"/>
        <v>25000</v>
      </c>
      <c r="F19" s="158">
        <f t="shared" si="5"/>
        <v>6749.9876355807091</v>
      </c>
      <c r="G19" s="158">
        <f t="shared" si="5"/>
        <v>750</v>
      </c>
      <c r="H19" s="158">
        <f t="shared" si="5"/>
        <v>9524</v>
      </c>
      <c r="I19" s="158">
        <f t="shared" si="5"/>
        <v>10009</v>
      </c>
      <c r="J19" s="158">
        <f t="shared" si="5"/>
        <v>103402.98763558071</v>
      </c>
    </row>
    <row r="20" spans="2:11">
      <c r="B20" s="24"/>
      <c r="C20" s="164">
        <f>+C19/$J$19</f>
        <v>0.21923931327685653</v>
      </c>
      <c r="D20" s="164">
        <f t="shared" ref="D20:I20" si="6">+D19/$J$19</f>
        <v>0.27755484301040062</v>
      </c>
      <c r="E20" s="164">
        <f t="shared" si="6"/>
        <v>0.2417725113331016</v>
      </c>
      <c r="F20" s="164">
        <f t="shared" si="6"/>
        <v>6.5278458484869309E-2</v>
      </c>
      <c r="G20" s="164">
        <f t="shared" si="6"/>
        <v>7.2531753399930473E-3</v>
      </c>
      <c r="H20" s="164">
        <f t="shared" si="6"/>
        <v>9.2105655917458382E-2</v>
      </c>
      <c r="I20" s="164">
        <f t="shared" si="6"/>
        <v>9.6796042637320556E-2</v>
      </c>
      <c r="K20" s="154"/>
    </row>
    <row r="21" spans="2:11">
      <c r="B21" s="47" t="s">
        <v>90</v>
      </c>
      <c r="C21" s="45"/>
      <c r="D21" s="45"/>
      <c r="E21" s="45"/>
      <c r="F21" s="45"/>
      <c r="G21" s="45"/>
      <c r="H21" s="45"/>
      <c r="I21" s="45"/>
    </row>
    <row r="22" spans="2:11" ht="13.5" thickBot="1">
      <c r="B22" s="48" t="s">
        <v>37</v>
      </c>
      <c r="C22" s="44"/>
      <c r="D22" s="44"/>
      <c r="E22" s="44"/>
      <c r="F22" s="44"/>
      <c r="G22" s="44"/>
      <c r="H22" s="41"/>
      <c r="I22" s="45"/>
    </row>
    <row r="23" spans="2:11" ht="13.5" thickBot="1">
      <c r="B23" s="6" t="s">
        <v>38</v>
      </c>
      <c r="C23" s="7">
        <f>+Geotermia!I3</f>
        <v>2017</v>
      </c>
      <c r="D23" s="7">
        <f>+C23+1</f>
        <v>2018</v>
      </c>
      <c r="E23" s="7">
        <f>+D23+1</f>
        <v>2019</v>
      </c>
      <c r="F23" s="7">
        <f>+E23+1</f>
        <v>2020</v>
      </c>
      <c r="G23" s="7">
        <f>+F23+1</f>
        <v>2021</v>
      </c>
      <c r="H23" s="7">
        <f>+G23+1</f>
        <v>2022</v>
      </c>
      <c r="I23" s="8" t="s">
        <v>30</v>
      </c>
    </row>
    <row r="24" spans="2:11">
      <c r="B24" s="9" t="str">
        <f>+C4</f>
        <v>BID (GLM)</v>
      </c>
      <c r="C24" s="155">
        <f>+ROUND(Geotermia!I$30,0)</f>
        <v>196</v>
      </c>
      <c r="D24" s="155">
        <f>+ROUND(Geotermia!P$30,0)</f>
        <v>425</v>
      </c>
      <c r="E24" s="155">
        <f>+ROUND(Geotermia!W$30,0)</f>
        <v>4695</v>
      </c>
      <c r="F24" s="155">
        <f>+ROUND(Geotermia!AD$30,0)</f>
        <v>12411</v>
      </c>
      <c r="G24" s="171">
        <f>+ROUND(Geotermia!AK$30,0)</f>
        <v>4943</v>
      </c>
      <c r="H24" s="155">
        <f>+ROUND(Geotermia!AR$30,0)</f>
        <v>0</v>
      </c>
      <c r="I24" s="156">
        <f>+SUM(C24:H24)</f>
        <v>22670</v>
      </c>
    </row>
    <row r="25" spans="2:11">
      <c r="B25" s="60" t="str">
        <f>+G4</f>
        <v>SREP (grant)</v>
      </c>
      <c r="C25" s="155">
        <f>+ROUND(Geotermia!K$30,0)</f>
        <v>7</v>
      </c>
      <c r="D25" s="155">
        <f>+ROUND(Geotermia!R$30,0)</f>
        <v>14</v>
      </c>
      <c r="E25" s="155">
        <f>+ROUND(Geotermia!Y$30,0)</f>
        <v>161</v>
      </c>
      <c r="F25" s="155">
        <f>+ROUND(Geotermia!AF$30,0)</f>
        <v>421</v>
      </c>
      <c r="G25" s="171">
        <f>+ROUND(Geotermia!AM$30,0)+0.5</f>
        <v>146.5</v>
      </c>
      <c r="H25" s="155">
        <f>+ROUND(Geotermia!AT$30,0)</f>
        <v>0</v>
      </c>
      <c r="I25" s="156">
        <f>+SUM(C25:H25)</f>
        <v>749.5</v>
      </c>
    </row>
    <row r="26" spans="2:11">
      <c r="B26" s="60" t="str">
        <f>+F4</f>
        <v>SREP (Contng)</v>
      </c>
      <c r="C26" s="155">
        <f>+ROUND(Geotermia!J$30,0)</f>
        <v>61</v>
      </c>
      <c r="D26" s="155">
        <f>+ROUND(Geotermia!Q$30,0)</f>
        <v>130</v>
      </c>
      <c r="E26" s="155">
        <f>+ROUND(Geotermia!X$30,0)</f>
        <v>1451</v>
      </c>
      <c r="F26" s="155">
        <f>+ROUND(Geotermia!AE$30,0)</f>
        <v>3791</v>
      </c>
      <c r="G26" s="171">
        <f>+ROUND(Geotermia!AL$30,0)-0.6</f>
        <v>1317.4</v>
      </c>
      <c r="H26" s="155">
        <f>+ROUND(Geotermia!AS$30,0)</f>
        <v>0</v>
      </c>
      <c r="I26" s="156">
        <f>+SUM(C26:H26)</f>
        <v>6750.4</v>
      </c>
    </row>
    <row r="27" spans="2:11">
      <c r="B27" s="60" t="str">
        <f>+H4</f>
        <v>CTF (Contng)</v>
      </c>
      <c r="C27" s="155">
        <f>+ROUND(Geotermia!L$30,0)</f>
        <v>86</v>
      </c>
      <c r="D27" s="155">
        <f>+ROUND(Geotermia!S$30,0)</f>
        <v>183</v>
      </c>
      <c r="E27" s="155">
        <f>+ROUND(Geotermia!Z$30,0)</f>
        <v>2048</v>
      </c>
      <c r="F27" s="155">
        <f>+ROUND(Geotermia!AG$30,0)</f>
        <v>5348</v>
      </c>
      <c r="G27" s="171">
        <f>+ROUND(Geotermia!AN$30,0)</f>
        <v>1859</v>
      </c>
      <c r="H27" s="155">
        <f>+ROUND(Geotermia!AU$30,0)</f>
        <v>0</v>
      </c>
      <c r="I27" s="156">
        <f>+SUM(C27:H27)</f>
        <v>9524</v>
      </c>
    </row>
    <row r="28" spans="2:11">
      <c r="B28" s="10" t="s">
        <v>100</v>
      </c>
      <c r="C28" s="155">
        <f>+ROUND(Geotermia!M$30,0)</f>
        <v>76</v>
      </c>
      <c r="D28" s="155">
        <f>+ROUND(Geotermia!T$30,0)</f>
        <v>151</v>
      </c>
      <c r="E28" s="155">
        <f>+ROUND(Geotermia!AA$30,0)</f>
        <v>148</v>
      </c>
      <c r="F28" s="155">
        <f>+ROUND(Geotermia!AH$30,0)</f>
        <v>3035</v>
      </c>
      <c r="G28" s="171">
        <f>+ROUND(Geotermia!AO$30,0)+1.8</f>
        <v>2976.8</v>
      </c>
      <c r="H28" s="155">
        <f>+ROUND(Geotermia!AV$30,0)</f>
        <v>0</v>
      </c>
      <c r="I28" s="156">
        <f>+SUM(C28:H28)</f>
        <v>6386.8</v>
      </c>
    </row>
    <row r="29" spans="2:11">
      <c r="B29" s="153" t="s">
        <v>103</v>
      </c>
      <c r="C29" s="159">
        <f t="shared" ref="C29:I29" si="7">SUM(C24:C28)</f>
        <v>426</v>
      </c>
      <c r="D29" s="159">
        <f t="shared" si="7"/>
        <v>903</v>
      </c>
      <c r="E29" s="159">
        <f t="shared" si="7"/>
        <v>8503</v>
      </c>
      <c r="F29" s="159">
        <f t="shared" si="7"/>
        <v>25006</v>
      </c>
      <c r="G29" s="159">
        <f t="shared" si="7"/>
        <v>11242.7</v>
      </c>
      <c r="H29" s="159">
        <f t="shared" si="7"/>
        <v>0</v>
      </c>
      <c r="I29" s="159">
        <f t="shared" si="7"/>
        <v>46080.700000000004</v>
      </c>
    </row>
    <row r="30" spans="2:11" hidden="1">
      <c r="B30" s="9" t="s">
        <v>58</v>
      </c>
      <c r="C30" s="155">
        <f>+Transmision!H29</f>
        <v>0</v>
      </c>
      <c r="D30" s="155">
        <f>+Transmision!N29</f>
        <v>0</v>
      </c>
      <c r="E30" s="155">
        <f>+Transmision!T29</f>
        <v>0</v>
      </c>
      <c r="F30" s="155">
        <f>+Transmision!Z29</f>
        <v>0</v>
      </c>
      <c r="G30" s="155">
        <f>+Transmision!AF29</f>
        <v>0</v>
      </c>
      <c r="H30" s="155">
        <f>+Transmision!AL29</f>
        <v>0</v>
      </c>
      <c r="I30" s="155">
        <f>+SUM(C30:H30)</f>
        <v>0</v>
      </c>
    </row>
    <row r="31" spans="2:11">
      <c r="B31" s="60" t="s">
        <v>59</v>
      </c>
      <c r="C31" s="155">
        <f>+ROUND(Transmision!I$29,0)</f>
        <v>846</v>
      </c>
      <c r="D31" s="155">
        <f>+ROUND(Transmision!O$29,0)</f>
        <v>3604</v>
      </c>
      <c r="E31" s="155">
        <f>+ROUND(Transmision!U$29,0)</f>
        <v>6189</v>
      </c>
      <c r="F31" s="155">
        <f>+ROUND(Transmision!AA$29,0)</f>
        <v>11722</v>
      </c>
      <c r="G31" s="155">
        <f>+ROUND(Transmision!AG$29,0)</f>
        <v>6339</v>
      </c>
      <c r="H31" s="155">
        <f>+ROUND(Transmision!AL$29,0)</f>
        <v>0</v>
      </c>
      <c r="I31" s="155">
        <f>+SUM(C31:H31)</f>
        <v>28700</v>
      </c>
    </row>
    <row r="32" spans="2:11">
      <c r="B32" s="60" t="s">
        <v>60</v>
      </c>
      <c r="C32" s="155">
        <f>+ROUND(Transmision!J$29,0)</f>
        <v>769</v>
      </c>
      <c r="D32" s="155">
        <f>+ROUND(Transmision!P$29,0)</f>
        <v>3266</v>
      </c>
      <c r="E32" s="155">
        <f>+ROUND(Transmision!V$29,0)</f>
        <v>5580</v>
      </c>
      <c r="F32" s="155">
        <f>+ROUND(Transmision!AB$29,0)</f>
        <v>10194</v>
      </c>
      <c r="G32" s="155">
        <f>+ROUND(Transmision!AH$29,0)</f>
        <v>5191</v>
      </c>
      <c r="H32" s="155">
        <f>+ROUND(Transmision!AM$29,0)</f>
        <v>0</v>
      </c>
      <c r="I32" s="155">
        <f>+SUM(C32:H32)</f>
        <v>25000</v>
      </c>
    </row>
    <row r="33" spans="2:9">
      <c r="B33" s="10" t="s">
        <v>32</v>
      </c>
      <c r="C33" s="155">
        <f>+ROUND(Transmision!K$29,0)</f>
        <v>179</v>
      </c>
      <c r="D33" s="155">
        <f>+ROUND(Transmision!Q$29,0)</f>
        <v>151</v>
      </c>
      <c r="E33" s="155">
        <f>+ROUND(Transmision!W$29,0)</f>
        <v>145</v>
      </c>
      <c r="F33" s="155">
        <f>+ROUND(Transmision!AC$29,0)</f>
        <v>1579</v>
      </c>
      <c r="G33" s="155">
        <f>+ROUND(Transmision!AI$29,0)</f>
        <v>1568</v>
      </c>
      <c r="H33" s="155">
        <f>+ROUND(Transmision!AN$29,0)</f>
        <v>0</v>
      </c>
      <c r="I33" s="155">
        <f>+SUM(C33:H33)</f>
        <v>3622</v>
      </c>
    </row>
    <row r="34" spans="2:9">
      <c r="B34" s="153" t="s">
        <v>104</v>
      </c>
      <c r="C34" s="159">
        <f>SUM(C30:C33)</f>
        <v>1794</v>
      </c>
      <c r="D34" s="159">
        <f t="shared" ref="D34:I34" si="8">SUM(D30:D33)</f>
        <v>7021</v>
      </c>
      <c r="E34" s="159">
        <f t="shared" si="8"/>
        <v>11914</v>
      </c>
      <c r="F34" s="159">
        <f t="shared" si="8"/>
        <v>23495</v>
      </c>
      <c r="G34" s="159">
        <f t="shared" si="8"/>
        <v>13098</v>
      </c>
      <c r="H34" s="159">
        <f t="shared" ref="H34" si="9">+H30+H33</f>
        <v>0</v>
      </c>
      <c r="I34" s="159">
        <f t="shared" si="8"/>
        <v>57322</v>
      </c>
    </row>
    <row r="35" spans="2:9">
      <c r="B35" s="49" t="s">
        <v>105</v>
      </c>
      <c r="C35" s="159">
        <f>+C29+C34</f>
        <v>2220</v>
      </c>
      <c r="D35" s="159">
        <f t="shared" ref="D35:I35" si="10">+D29+D34</f>
        <v>7924</v>
      </c>
      <c r="E35" s="159">
        <f t="shared" si="10"/>
        <v>20417</v>
      </c>
      <c r="F35" s="159">
        <f t="shared" si="10"/>
        <v>48501</v>
      </c>
      <c r="G35" s="159">
        <f t="shared" si="10"/>
        <v>24340.7</v>
      </c>
      <c r="H35" s="159">
        <f t="shared" si="10"/>
        <v>0</v>
      </c>
      <c r="I35" s="159">
        <f t="shared" si="10"/>
        <v>103402.70000000001</v>
      </c>
    </row>
  </sheetData>
  <pageMargins left="0.7" right="0.7" top="0.75" bottom="0.75" header="0.3" footer="0.3"/>
  <pageSetup scale="6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BT87"/>
  <sheetViews>
    <sheetView zoomScaleNormal="100" workbookViewId="0">
      <pane xSplit="7" ySplit="4" topLeftCell="I5" activePane="bottomRight" state="frozen"/>
      <selection pane="topRight" activeCell="E1" sqref="E1"/>
      <selection pane="bottomLeft" activeCell="A5" sqref="A5"/>
      <selection pane="bottomRight" activeCell="B30" sqref="B30:F30"/>
    </sheetView>
  </sheetViews>
  <sheetFormatPr defaultRowHeight="12.75"/>
  <cols>
    <col min="1" max="1" width="48.140625" style="1" customWidth="1"/>
    <col min="2" max="72" width="10.7109375" style="1" customWidth="1"/>
    <col min="73" max="16384" width="9.140625" style="1"/>
  </cols>
  <sheetData>
    <row r="1" spans="1:72">
      <c r="A1" s="226" t="s">
        <v>102</v>
      </c>
      <c r="B1" s="226"/>
      <c r="C1" s="226"/>
      <c r="D1" s="226"/>
      <c r="E1" s="226"/>
      <c r="F1" s="225"/>
      <c r="G1" s="225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>
        <v>1383.5</v>
      </c>
      <c r="BH1" s="29">
        <f>+(B31-$BG$1)/(SUM($B$31-$BG$1,$C$31:$E$31))</f>
        <v>0.55563096279087976</v>
      </c>
      <c r="BI1" s="29">
        <f>+(C31)/(SUM($B$31-$BG$1,$C$31:$E$31))</f>
        <v>0.17619190561334361</v>
      </c>
      <c r="BJ1" s="29">
        <f>+(D31)/(SUM($B$31-$BG$1,$C$31:$E$31))</f>
        <v>1.9576878401482624E-2</v>
      </c>
      <c r="BK1" s="29">
        <f>+(E31)/(SUM($B$31-$BG$1,$C$31:$E$31))</f>
        <v>0.24860025319429399</v>
      </c>
      <c r="BL1" s="12"/>
      <c r="BM1" s="12"/>
      <c r="BN1" s="12"/>
      <c r="BO1" s="12"/>
      <c r="BP1" s="12"/>
      <c r="BQ1" s="12"/>
      <c r="BR1" s="12"/>
      <c r="BS1" s="12"/>
      <c r="BT1" s="12"/>
    </row>
    <row r="2" spans="1:72">
      <c r="A2" s="226" t="s">
        <v>25</v>
      </c>
      <c r="B2" s="226"/>
      <c r="C2" s="76"/>
      <c r="D2" s="76"/>
      <c r="E2" s="76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</row>
    <row r="3" spans="1:72">
      <c r="A3" s="224" t="s">
        <v>0</v>
      </c>
      <c r="B3" s="224" t="s">
        <v>51</v>
      </c>
      <c r="C3" s="224"/>
      <c r="D3" s="224"/>
      <c r="E3" s="224"/>
      <c r="F3" s="225"/>
      <c r="G3" s="225"/>
      <c r="H3" s="77"/>
      <c r="I3" s="224">
        <v>2017</v>
      </c>
      <c r="J3" s="224"/>
      <c r="K3" s="224"/>
      <c r="L3" s="224"/>
      <c r="M3" s="225"/>
      <c r="N3" s="225"/>
      <c r="O3" s="78"/>
      <c r="P3" s="224">
        <f>+I3+1</f>
        <v>2018</v>
      </c>
      <c r="Q3" s="224"/>
      <c r="R3" s="224"/>
      <c r="S3" s="224"/>
      <c r="T3" s="225"/>
      <c r="U3" s="225"/>
      <c r="V3" s="78"/>
      <c r="W3" s="224">
        <f>+P3+1</f>
        <v>2019</v>
      </c>
      <c r="X3" s="224"/>
      <c r="Y3" s="224"/>
      <c r="Z3" s="224"/>
      <c r="AA3" s="225"/>
      <c r="AB3" s="225"/>
      <c r="AC3" s="78"/>
      <c r="AD3" s="224">
        <f>+W3+1</f>
        <v>2020</v>
      </c>
      <c r="AE3" s="224"/>
      <c r="AF3" s="224"/>
      <c r="AG3" s="224"/>
      <c r="AH3" s="225"/>
      <c r="AI3" s="225"/>
      <c r="AJ3" s="78"/>
      <c r="AK3" s="224">
        <f>+AD3+1</f>
        <v>2021</v>
      </c>
      <c r="AL3" s="224"/>
      <c r="AM3" s="224"/>
      <c r="AN3" s="224"/>
      <c r="AO3" s="225"/>
      <c r="AP3" s="225"/>
      <c r="AQ3" s="15"/>
      <c r="AR3" s="224">
        <f>+AK3+1</f>
        <v>2022</v>
      </c>
      <c r="AS3" s="224"/>
      <c r="AT3" s="224"/>
      <c r="AU3" s="224"/>
      <c r="AV3" s="225"/>
      <c r="AW3" s="225"/>
      <c r="AX3" s="15"/>
      <c r="AY3" s="66" t="s">
        <v>63</v>
      </c>
      <c r="AZ3" s="228" t="s">
        <v>26</v>
      </c>
      <c r="BA3" s="225"/>
      <c r="BB3" s="225"/>
      <c r="BC3" s="225"/>
      <c r="BD3" s="225"/>
      <c r="BE3" s="225"/>
      <c r="BF3" s="225"/>
      <c r="BG3" s="15"/>
      <c r="BH3" s="227" t="s">
        <v>31</v>
      </c>
      <c r="BI3" s="227"/>
      <c r="BJ3" s="227"/>
      <c r="BK3" s="227"/>
      <c r="BL3" s="227"/>
      <c r="BM3" s="227"/>
      <c r="BN3" s="12"/>
      <c r="BO3" s="76"/>
      <c r="BP3" s="76"/>
      <c r="BQ3" s="76" t="s">
        <v>106</v>
      </c>
      <c r="BR3" s="76"/>
      <c r="BS3" s="76"/>
      <c r="BT3" s="76"/>
    </row>
    <row r="4" spans="1:72">
      <c r="A4" s="224"/>
      <c r="B4" s="76" t="s">
        <v>58</v>
      </c>
      <c r="C4" s="79" t="s">
        <v>107</v>
      </c>
      <c r="D4" s="79" t="s">
        <v>101</v>
      </c>
      <c r="E4" s="165" t="s">
        <v>133</v>
      </c>
      <c r="F4" s="76" t="s">
        <v>100</v>
      </c>
      <c r="G4" s="78" t="s">
        <v>30</v>
      </c>
      <c r="H4" s="78"/>
      <c r="I4" s="76" t="str">
        <f>+$B4</f>
        <v>BID (GLM)</v>
      </c>
      <c r="J4" s="79" t="str">
        <f>+$C4</f>
        <v>SREP (Contng)</v>
      </c>
      <c r="K4" s="79" t="str">
        <f>+$D4</f>
        <v>SREP (grant)</v>
      </c>
      <c r="L4" s="79" t="str">
        <f>+$E4</f>
        <v>CTF (Contng)</v>
      </c>
      <c r="M4" s="79" t="str">
        <f>+$F4</f>
        <v>MEM-ENEL</v>
      </c>
      <c r="N4" s="79" t="str">
        <f>+$G4</f>
        <v>Total</v>
      </c>
      <c r="O4" s="12"/>
      <c r="P4" s="79" t="str">
        <f>+$B4</f>
        <v>BID (GLM)</v>
      </c>
      <c r="Q4" s="79" t="str">
        <f>+$C4</f>
        <v>SREP (Contng)</v>
      </c>
      <c r="R4" s="79" t="str">
        <f>+$D4</f>
        <v>SREP (grant)</v>
      </c>
      <c r="S4" s="79" t="str">
        <f>+$E4</f>
        <v>CTF (Contng)</v>
      </c>
      <c r="T4" s="79" t="str">
        <f>+$F4</f>
        <v>MEM-ENEL</v>
      </c>
      <c r="U4" s="79" t="str">
        <f>+$G4</f>
        <v>Total</v>
      </c>
      <c r="V4" s="12"/>
      <c r="W4" s="79" t="str">
        <f>+$B4</f>
        <v>BID (GLM)</v>
      </c>
      <c r="X4" s="79" t="str">
        <f>+$C4</f>
        <v>SREP (Contng)</v>
      </c>
      <c r="Y4" s="79" t="str">
        <f>+$D4</f>
        <v>SREP (grant)</v>
      </c>
      <c r="Z4" s="79" t="str">
        <f>+$E4</f>
        <v>CTF (Contng)</v>
      </c>
      <c r="AA4" s="79" t="str">
        <f>+$F4</f>
        <v>MEM-ENEL</v>
      </c>
      <c r="AB4" s="79" t="str">
        <f>+$G4</f>
        <v>Total</v>
      </c>
      <c r="AC4" s="12"/>
      <c r="AD4" s="79" t="str">
        <f>+$B4</f>
        <v>BID (GLM)</v>
      </c>
      <c r="AE4" s="79" t="str">
        <f>+$C4</f>
        <v>SREP (Contng)</v>
      </c>
      <c r="AF4" s="79" t="str">
        <f>+$D4</f>
        <v>SREP (grant)</v>
      </c>
      <c r="AG4" s="79" t="str">
        <f>+$E4</f>
        <v>CTF (Contng)</v>
      </c>
      <c r="AH4" s="79" t="str">
        <f>+$F4</f>
        <v>MEM-ENEL</v>
      </c>
      <c r="AI4" s="79" t="str">
        <f>+$G4</f>
        <v>Total</v>
      </c>
      <c r="AJ4" s="12"/>
      <c r="AK4" s="79" t="str">
        <f>+$B4</f>
        <v>BID (GLM)</v>
      </c>
      <c r="AL4" s="79" t="str">
        <f>+$C4</f>
        <v>SREP (Contng)</v>
      </c>
      <c r="AM4" s="79" t="str">
        <f>+$D4</f>
        <v>SREP (grant)</v>
      </c>
      <c r="AN4" s="79" t="str">
        <f>+$E4</f>
        <v>CTF (Contng)</v>
      </c>
      <c r="AO4" s="79" t="str">
        <f>+$F4</f>
        <v>MEM-ENEL</v>
      </c>
      <c r="AP4" s="79" t="str">
        <f>+$G4</f>
        <v>Total</v>
      </c>
      <c r="AQ4" s="12"/>
      <c r="AR4" s="79" t="str">
        <f>+$B4</f>
        <v>BID (GLM)</v>
      </c>
      <c r="AS4" s="79" t="str">
        <f>+$C4</f>
        <v>SREP (Contng)</v>
      </c>
      <c r="AT4" s="79" t="str">
        <f>+$D4</f>
        <v>SREP (grant)</v>
      </c>
      <c r="AU4" s="79" t="str">
        <f>+$E4</f>
        <v>CTF (Contng)</v>
      </c>
      <c r="AV4" s="79" t="str">
        <f>+$F4</f>
        <v>MEM-ENEL</v>
      </c>
      <c r="AW4" s="79" t="str">
        <f>+$G4</f>
        <v>Total</v>
      </c>
      <c r="AX4" s="12"/>
      <c r="AY4" s="66" t="s">
        <v>29</v>
      </c>
      <c r="AZ4" s="76">
        <f>+I3</f>
        <v>2017</v>
      </c>
      <c r="BA4" s="76">
        <f>+AZ4+1</f>
        <v>2018</v>
      </c>
      <c r="BB4" s="76">
        <f>+BA4+1</f>
        <v>2019</v>
      </c>
      <c r="BC4" s="76">
        <f>+BB4+1</f>
        <v>2020</v>
      </c>
      <c r="BD4" s="76">
        <f>+BC4+1</f>
        <v>2021</v>
      </c>
      <c r="BE4" s="76">
        <f>+BD4+1</f>
        <v>2022</v>
      </c>
      <c r="BF4" s="76" t="s">
        <v>30</v>
      </c>
      <c r="BG4" s="76"/>
      <c r="BH4" s="79" t="str">
        <f>+$B4</f>
        <v>BID (GLM)</v>
      </c>
      <c r="BI4" s="79" t="str">
        <f>+$C4</f>
        <v>SREP (Contng)</v>
      </c>
      <c r="BJ4" s="79" t="str">
        <f>+$D4</f>
        <v>SREP (grant)</v>
      </c>
      <c r="BK4" s="79" t="str">
        <f>+$E4</f>
        <v>CTF (Contng)</v>
      </c>
      <c r="BL4" s="79" t="str">
        <f>+$F4</f>
        <v>MEM-ENEL</v>
      </c>
      <c r="BM4" s="79" t="str">
        <f>+$G4</f>
        <v>Total</v>
      </c>
      <c r="BN4" s="12"/>
      <c r="BO4" s="79" t="str">
        <f>+$B4</f>
        <v>BID (GLM)</v>
      </c>
      <c r="BP4" s="79" t="str">
        <f>+$C4</f>
        <v>SREP (Contng)</v>
      </c>
      <c r="BQ4" s="79" t="str">
        <f>+$D4</f>
        <v>SREP (grant)</v>
      </c>
      <c r="BR4" s="79" t="str">
        <f>+$E4</f>
        <v>CTF (Contng)</v>
      </c>
      <c r="BS4" s="79" t="str">
        <f>+$F4</f>
        <v>MEM-ENEL</v>
      </c>
      <c r="BT4" s="79" t="str">
        <f>+$G4</f>
        <v>Total</v>
      </c>
    </row>
    <row r="5" spans="1:72">
      <c r="A5" s="17" t="s">
        <v>28</v>
      </c>
      <c r="B5" s="18">
        <f t="shared" ref="B5:G5" si="0">+SUM(B6:B10)</f>
        <v>1669.6960465799193</v>
      </c>
      <c r="C5" s="18">
        <f t="shared" si="0"/>
        <v>529.46460500385012</v>
      </c>
      <c r="D5" s="18">
        <f t="shared" si="0"/>
        <v>58.829400555983355</v>
      </c>
      <c r="E5" s="18">
        <f t="shared" si="0"/>
        <v>747.05494786024713</v>
      </c>
      <c r="F5" s="18">
        <f t="shared" si="0"/>
        <v>500</v>
      </c>
      <c r="G5" s="18">
        <f t="shared" si="0"/>
        <v>3505.0450000000001</v>
      </c>
      <c r="H5" s="18"/>
      <c r="I5" s="18">
        <f t="shared" ref="I5:N5" si="1">+SUM(I6:I10)</f>
        <v>191.97299798358151</v>
      </c>
      <c r="J5" s="18">
        <f t="shared" si="1"/>
        <v>60.875096252985479</v>
      </c>
      <c r="K5" s="18">
        <f t="shared" si="1"/>
        <v>6.7638995836650535</v>
      </c>
      <c r="L5" s="18">
        <f t="shared" si="1"/>
        <v>85.892506179767949</v>
      </c>
      <c r="M5" s="18">
        <f t="shared" si="1"/>
        <v>50</v>
      </c>
      <c r="N5" s="18">
        <f t="shared" si="1"/>
        <v>395.50450000000001</v>
      </c>
      <c r="O5" s="12"/>
      <c r="P5" s="18">
        <f t="shared" ref="P5:U5" si="2">+SUM(P6:P10)</f>
        <v>409.08954720311658</v>
      </c>
      <c r="Q5" s="18">
        <f t="shared" si="2"/>
        <v>129.72327266676237</v>
      </c>
      <c r="R5" s="18">
        <f t="shared" si="2"/>
        <v>14.413696962973599</v>
      </c>
      <c r="S5" s="18">
        <f t="shared" si="2"/>
        <v>183.03473316714738</v>
      </c>
      <c r="T5" s="18">
        <f t="shared" si="2"/>
        <v>125</v>
      </c>
      <c r="U5" s="18">
        <f t="shared" si="2"/>
        <v>861.26125000000002</v>
      </c>
      <c r="V5" s="12"/>
      <c r="W5" s="18">
        <f t="shared" ref="W5:AB5" si="3">+SUM(W6:W10)</f>
        <v>409.08954720311658</v>
      </c>
      <c r="X5" s="18">
        <f t="shared" si="3"/>
        <v>129.72327266676237</v>
      </c>
      <c r="Y5" s="18">
        <f t="shared" si="3"/>
        <v>14.413696962973599</v>
      </c>
      <c r="Z5" s="18">
        <f t="shared" si="3"/>
        <v>183.03473316714738</v>
      </c>
      <c r="AA5" s="18">
        <f t="shared" si="3"/>
        <v>125</v>
      </c>
      <c r="AB5" s="18">
        <f t="shared" si="3"/>
        <v>861.26125000000002</v>
      </c>
      <c r="AC5" s="12"/>
      <c r="AD5" s="18">
        <f t="shared" ref="AD5:AI5" si="4">+SUM(AD6:AD10)</f>
        <v>409.08954720311658</v>
      </c>
      <c r="AE5" s="18">
        <f t="shared" si="4"/>
        <v>129.72327266676237</v>
      </c>
      <c r="AF5" s="18">
        <f t="shared" si="4"/>
        <v>14.413696962973599</v>
      </c>
      <c r="AG5" s="18">
        <f t="shared" si="4"/>
        <v>183.03473316714738</v>
      </c>
      <c r="AH5" s="18">
        <f t="shared" si="4"/>
        <v>125</v>
      </c>
      <c r="AI5" s="18">
        <f t="shared" si="4"/>
        <v>861.26125000000002</v>
      </c>
      <c r="AJ5" s="12"/>
      <c r="AK5" s="18">
        <f t="shared" ref="AK5:AP5" si="5">+SUM(AK6:AK10)</f>
        <v>250.45440698698789</v>
      </c>
      <c r="AL5" s="18">
        <f t="shared" si="5"/>
        <v>79.419690750577516</v>
      </c>
      <c r="AM5" s="18">
        <f t="shared" si="5"/>
        <v>8.8244100833975025</v>
      </c>
      <c r="AN5" s="18">
        <f t="shared" si="5"/>
        <v>112.05824217903708</v>
      </c>
      <c r="AO5" s="18">
        <f t="shared" si="5"/>
        <v>75</v>
      </c>
      <c r="AP5" s="18">
        <f t="shared" si="5"/>
        <v>525.75675000000001</v>
      </c>
      <c r="AQ5" s="12"/>
      <c r="AR5" s="18">
        <f t="shared" ref="AR5:AW5" si="6">+SUM(AR6:AR10)</f>
        <v>0</v>
      </c>
      <c r="AS5" s="18">
        <f t="shared" si="6"/>
        <v>0</v>
      </c>
      <c r="AT5" s="18">
        <f t="shared" si="6"/>
        <v>0</v>
      </c>
      <c r="AU5" s="18">
        <f t="shared" si="6"/>
        <v>0</v>
      </c>
      <c r="AV5" s="18">
        <f t="shared" si="6"/>
        <v>0</v>
      </c>
      <c r="AW5" s="18">
        <f t="shared" si="6"/>
        <v>0</v>
      </c>
      <c r="AX5" s="12"/>
      <c r="AY5" s="67"/>
      <c r="AZ5" s="19"/>
      <c r="BA5" s="19"/>
      <c r="BB5" s="19"/>
      <c r="BC5" s="19"/>
      <c r="BD5" s="19"/>
      <c r="BE5" s="19"/>
      <c r="BF5" s="12"/>
      <c r="BG5" s="12"/>
      <c r="BH5" s="12"/>
      <c r="BI5" s="12"/>
      <c r="BJ5" s="12"/>
      <c r="BK5" s="12"/>
      <c r="BL5" s="12"/>
      <c r="BM5" s="12"/>
      <c r="BN5" s="12"/>
      <c r="BO5" s="18">
        <f>+SUM(BO6:BO10)</f>
        <v>0</v>
      </c>
      <c r="BP5" s="18">
        <f t="shared" ref="BP5:BS5" si="7">+SUM(BP6:BP10)</f>
        <v>0</v>
      </c>
      <c r="BQ5" s="18">
        <f t="shared" si="7"/>
        <v>0</v>
      </c>
      <c r="BR5" s="18">
        <f t="shared" si="7"/>
        <v>0</v>
      </c>
      <c r="BS5" s="18">
        <f t="shared" si="7"/>
        <v>0</v>
      </c>
      <c r="BT5" s="18">
        <f>+SUM(BT6:BT10)</f>
        <v>0</v>
      </c>
    </row>
    <row r="6" spans="1:72">
      <c r="A6" s="20" t="s">
        <v>99</v>
      </c>
      <c r="B6" s="21">
        <f t="shared" ref="B6:F10" si="8">+I6+P6+W6+AD6+AK6+AR6</f>
        <v>222.25238511635189</v>
      </c>
      <c r="C6" s="21">
        <f t="shared" si="8"/>
        <v>70.47676224533744</v>
      </c>
      <c r="D6" s="21">
        <f t="shared" si="8"/>
        <v>7.8307513605930499</v>
      </c>
      <c r="E6" s="21">
        <f t="shared" si="8"/>
        <v>99.440101277717588</v>
      </c>
      <c r="F6" s="21">
        <f t="shared" si="8"/>
        <v>0</v>
      </c>
      <c r="G6" s="21">
        <f>+SUM(B6:F6)</f>
        <v>400</v>
      </c>
      <c r="H6" s="21"/>
      <c r="I6" s="21">
        <f t="shared" ref="I6:M10" si="9">+$AY6*$AZ6*BH6</f>
        <v>22.22523851163519</v>
      </c>
      <c r="J6" s="21">
        <f t="shared" si="9"/>
        <v>7.0476762245337445</v>
      </c>
      <c r="K6" s="21">
        <f t="shared" si="9"/>
        <v>0.7830751360593049</v>
      </c>
      <c r="L6" s="21">
        <f t="shared" si="9"/>
        <v>9.9440101277717599</v>
      </c>
      <c r="M6" s="21">
        <f t="shared" si="9"/>
        <v>0</v>
      </c>
      <c r="N6" s="21">
        <f>SUM(I6:M6)</f>
        <v>40</v>
      </c>
      <c r="O6" s="12"/>
      <c r="P6" s="21">
        <f t="shared" ref="P6:T10" si="10">+$AY6*$BA6*BH6</f>
        <v>55.563096279087972</v>
      </c>
      <c r="Q6" s="21">
        <f t="shared" si="10"/>
        <v>17.61919056133436</v>
      </c>
      <c r="R6" s="21">
        <f t="shared" si="10"/>
        <v>1.9576878401482625</v>
      </c>
      <c r="S6" s="21">
        <f t="shared" si="10"/>
        <v>24.860025319429401</v>
      </c>
      <c r="T6" s="21">
        <f t="shared" si="10"/>
        <v>0</v>
      </c>
      <c r="U6" s="21">
        <f>SUM(P6:T6)</f>
        <v>100</v>
      </c>
      <c r="V6" s="12"/>
      <c r="W6" s="21">
        <f t="shared" ref="W6:AA10" si="11">+$AY6*$BB6*BH6</f>
        <v>55.563096279087972</v>
      </c>
      <c r="X6" s="21">
        <f t="shared" si="11"/>
        <v>17.61919056133436</v>
      </c>
      <c r="Y6" s="21">
        <f t="shared" si="11"/>
        <v>1.9576878401482625</v>
      </c>
      <c r="Z6" s="21">
        <f t="shared" si="11"/>
        <v>24.860025319429401</v>
      </c>
      <c r="AA6" s="21">
        <f t="shared" si="11"/>
        <v>0</v>
      </c>
      <c r="AB6" s="21">
        <f>SUM(W6:AA6)</f>
        <v>100</v>
      </c>
      <c r="AC6" s="12"/>
      <c r="AD6" s="21">
        <f t="shared" ref="AD6:AH10" si="12">+$AY6*$BC6*BH6</f>
        <v>55.563096279087972</v>
      </c>
      <c r="AE6" s="21">
        <f t="shared" si="12"/>
        <v>17.61919056133436</v>
      </c>
      <c r="AF6" s="21">
        <f t="shared" si="12"/>
        <v>1.9576878401482625</v>
      </c>
      <c r="AG6" s="21">
        <f t="shared" si="12"/>
        <v>24.860025319429401</v>
      </c>
      <c r="AH6" s="21">
        <f t="shared" si="12"/>
        <v>0</v>
      </c>
      <c r="AI6" s="21">
        <f>SUM(AD6:AH6)</f>
        <v>100</v>
      </c>
      <c r="AJ6" s="12"/>
      <c r="AK6" s="21">
        <f t="shared" ref="AK6:AO10" si="13">+$AY6*$BD6*BH6</f>
        <v>33.337857767452789</v>
      </c>
      <c r="AL6" s="21">
        <f t="shared" si="13"/>
        <v>10.571514336800616</v>
      </c>
      <c r="AM6" s="21">
        <f t="shared" si="13"/>
        <v>1.1746127040889573</v>
      </c>
      <c r="AN6" s="21">
        <f t="shared" si="13"/>
        <v>14.916015191657639</v>
      </c>
      <c r="AO6" s="21">
        <f t="shared" si="13"/>
        <v>0</v>
      </c>
      <c r="AP6" s="21">
        <f>SUM(AK6:AO6)</f>
        <v>60</v>
      </c>
      <c r="AQ6" s="12"/>
      <c r="AR6" s="21">
        <f t="shared" ref="AR6:AV10" si="14">+$AY6*$BE6*BH6</f>
        <v>0</v>
      </c>
      <c r="AS6" s="21">
        <f t="shared" si="14"/>
        <v>0</v>
      </c>
      <c r="AT6" s="21">
        <f t="shared" si="14"/>
        <v>0</v>
      </c>
      <c r="AU6" s="21">
        <f t="shared" si="14"/>
        <v>0</v>
      </c>
      <c r="AV6" s="21">
        <f t="shared" si="14"/>
        <v>0</v>
      </c>
      <c r="AW6" s="21">
        <f>SUM(AR6:AV6)</f>
        <v>0</v>
      </c>
      <c r="AX6" s="12"/>
      <c r="AY6" s="68">
        <v>400</v>
      </c>
      <c r="AZ6" s="19">
        <v>0.1</v>
      </c>
      <c r="BA6" s="19">
        <v>0.25</v>
      </c>
      <c r="BB6" s="19">
        <v>0.25</v>
      </c>
      <c r="BC6" s="19">
        <v>0.25</v>
      </c>
      <c r="BD6" s="19">
        <v>0.15</v>
      </c>
      <c r="BE6" s="19">
        <v>0</v>
      </c>
      <c r="BF6" s="19">
        <f>+SUM(AZ6:BE6)</f>
        <v>1</v>
      </c>
      <c r="BG6" s="12"/>
      <c r="BH6" s="22">
        <f>+BH$1</f>
        <v>0.55563096279087976</v>
      </c>
      <c r="BI6" s="22">
        <f t="shared" ref="BI6:BL10" si="15">+BI$1</f>
        <v>0.17619190561334361</v>
      </c>
      <c r="BJ6" s="22">
        <f t="shared" si="15"/>
        <v>1.9576878401482624E-2</v>
      </c>
      <c r="BK6" s="22">
        <f t="shared" si="15"/>
        <v>0.24860025319429399</v>
      </c>
      <c r="BL6" s="22">
        <f t="shared" si="15"/>
        <v>0</v>
      </c>
      <c r="BM6" s="23">
        <f>+SUM(BH6:BL6)</f>
        <v>1</v>
      </c>
      <c r="BN6" s="12"/>
      <c r="BO6" s="21">
        <f>+I6+P6+W6+AD6+AK6+AR6-B6</f>
        <v>0</v>
      </c>
      <c r="BP6" s="21">
        <f t="shared" ref="BP6:BS10" si="16">+J6+Q6+X6+AE6+AL6+AS6-C6</f>
        <v>0</v>
      </c>
      <c r="BQ6" s="21">
        <f t="shared" si="16"/>
        <v>0</v>
      </c>
      <c r="BR6" s="21">
        <f t="shared" si="16"/>
        <v>0</v>
      </c>
      <c r="BS6" s="21">
        <f t="shared" si="16"/>
        <v>0</v>
      </c>
      <c r="BT6" s="21">
        <f>SUM(BO6:BS6)</f>
        <v>0</v>
      </c>
    </row>
    <row r="7" spans="1:72">
      <c r="A7" s="20" t="s">
        <v>98</v>
      </c>
      <c r="B7" s="21">
        <f t="shared" si="8"/>
        <v>138.90774069771993</v>
      </c>
      <c r="C7" s="21">
        <f t="shared" si="8"/>
        <v>44.047976403335895</v>
      </c>
      <c r="D7" s="21">
        <f t="shared" si="8"/>
        <v>4.894219600370656</v>
      </c>
      <c r="E7" s="21">
        <f t="shared" si="8"/>
        <v>62.150063298573507</v>
      </c>
      <c r="F7" s="21">
        <f t="shared" si="8"/>
        <v>0</v>
      </c>
      <c r="G7" s="21">
        <f>+SUM(B7:F7)</f>
        <v>250</v>
      </c>
      <c r="H7" s="21"/>
      <c r="I7" s="21">
        <f t="shared" si="9"/>
        <v>13.890774069771993</v>
      </c>
      <c r="J7" s="21">
        <f t="shared" si="9"/>
        <v>4.40479764033359</v>
      </c>
      <c r="K7" s="21">
        <f t="shared" si="9"/>
        <v>0.48942196003706562</v>
      </c>
      <c r="L7" s="21">
        <f t="shared" si="9"/>
        <v>6.2150063298573501</v>
      </c>
      <c r="M7" s="21">
        <f t="shared" si="9"/>
        <v>0</v>
      </c>
      <c r="N7" s="21">
        <f>SUM(I7:M7)</f>
        <v>25</v>
      </c>
      <c r="O7" s="12"/>
      <c r="P7" s="21">
        <f t="shared" si="10"/>
        <v>34.726935174429983</v>
      </c>
      <c r="Q7" s="21">
        <f t="shared" si="10"/>
        <v>11.011994100833975</v>
      </c>
      <c r="R7" s="21">
        <f t="shared" si="10"/>
        <v>1.223554900092664</v>
      </c>
      <c r="S7" s="21">
        <f t="shared" si="10"/>
        <v>15.537515824643375</v>
      </c>
      <c r="T7" s="21">
        <f t="shared" si="10"/>
        <v>0</v>
      </c>
      <c r="U7" s="21">
        <f>SUM(P7:T7)</f>
        <v>62.5</v>
      </c>
      <c r="V7" s="12"/>
      <c r="W7" s="21">
        <f t="shared" si="11"/>
        <v>34.726935174429983</v>
      </c>
      <c r="X7" s="21">
        <f t="shared" si="11"/>
        <v>11.011994100833975</v>
      </c>
      <c r="Y7" s="21">
        <f t="shared" si="11"/>
        <v>1.223554900092664</v>
      </c>
      <c r="Z7" s="21">
        <f t="shared" si="11"/>
        <v>15.537515824643375</v>
      </c>
      <c r="AA7" s="21">
        <f t="shared" si="11"/>
        <v>0</v>
      </c>
      <c r="AB7" s="21">
        <f>SUM(W7:AA7)</f>
        <v>62.5</v>
      </c>
      <c r="AC7" s="12"/>
      <c r="AD7" s="21">
        <f t="shared" si="12"/>
        <v>34.726935174429983</v>
      </c>
      <c r="AE7" s="21">
        <f t="shared" si="12"/>
        <v>11.011994100833975</v>
      </c>
      <c r="AF7" s="21">
        <f t="shared" si="12"/>
        <v>1.223554900092664</v>
      </c>
      <c r="AG7" s="21">
        <f t="shared" si="12"/>
        <v>15.537515824643375</v>
      </c>
      <c r="AH7" s="21">
        <f t="shared" si="12"/>
        <v>0</v>
      </c>
      <c r="AI7" s="21">
        <f>SUM(AD7:AH7)</f>
        <v>62.5</v>
      </c>
      <c r="AJ7" s="12"/>
      <c r="AK7" s="21">
        <f t="shared" si="13"/>
        <v>20.83616110465799</v>
      </c>
      <c r="AL7" s="21">
        <f t="shared" si="13"/>
        <v>6.6071964605003854</v>
      </c>
      <c r="AM7" s="21">
        <f t="shared" si="13"/>
        <v>0.73413294005559837</v>
      </c>
      <c r="AN7" s="21">
        <f t="shared" si="13"/>
        <v>9.3225094947860239</v>
      </c>
      <c r="AO7" s="21">
        <f t="shared" si="13"/>
        <v>0</v>
      </c>
      <c r="AP7" s="21">
        <f>SUM(AK7:AO7)</f>
        <v>37.5</v>
      </c>
      <c r="AQ7" s="12"/>
      <c r="AR7" s="21">
        <f t="shared" si="14"/>
        <v>0</v>
      </c>
      <c r="AS7" s="21">
        <f t="shared" si="14"/>
        <v>0</v>
      </c>
      <c r="AT7" s="21">
        <f t="shared" si="14"/>
        <v>0</v>
      </c>
      <c r="AU7" s="21">
        <f t="shared" si="14"/>
        <v>0</v>
      </c>
      <c r="AV7" s="21">
        <f t="shared" si="14"/>
        <v>0</v>
      </c>
      <c r="AW7" s="21">
        <f>SUM(AR7:AV7)</f>
        <v>0</v>
      </c>
      <c r="AX7" s="12"/>
      <c r="AY7" s="68">
        <v>250</v>
      </c>
      <c r="AZ7" s="19">
        <v>0.1</v>
      </c>
      <c r="BA7" s="19">
        <v>0.25</v>
      </c>
      <c r="BB7" s="19">
        <v>0.25</v>
      </c>
      <c r="BC7" s="19">
        <v>0.25</v>
      </c>
      <c r="BD7" s="19">
        <v>0.15</v>
      </c>
      <c r="BE7" s="19">
        <v>0</v>
      </c>
      <c r="BF7" s="19">
        <f>+SUM(AZ7:BE7)</f>
        <v>1</v>
      </c>
      <c r="BG7" s="12"/>
      <c r="BH7" s="22">
        <f t="shared" ref="BH7:BH8" si="17">+BH$1</f>
        <v>0.55563096279087976</v>
      </c>
      <c r="BI7" s="22">
        <f t="shared" si="15"/>
        <v>0.17619190561334361</v>
      </c>
      <c r="BJ7" s="22">
        <f t="shared" si="15"/>
        <v>1.9576878401482624E-2</v>
      </c>
      <c r="BK7" s="22">
        <f t="shared" si="15"/>
        <v>0.24860025319429399</v>
      </c>
      <c r="BL7" s="22">
        <f t="shared" si="15"/>
        <v>0</v>
      </c>
      <c r="BM7" s="23">
        <f>+SUM(BH7:BL7)</f>
        <v>1</v>
      </c>
      <c r="BN7" s="12"/>
      <c r="BO7" s="21">
        <f>+I7+P7+W7+AD7+AK7+AR7-B7</f>
        <v>0</v>
      </c>
      <c r="BP7" s="21">
        <f t="shared" si="16"/>
        <v>0</v>
      </c>
      <c r="BQ7" s="21">
        <f t="shared" si="16"/>
        <v>0</v>
      </c>
      <c r="BR7" s="21">
        <f t="shared" si="16"/>
        <v>0</v>
      </c>
      <c r="BS7" s="21">
        <f t="shared" si="16"/>
        <v>0</v>
      </c>
      <c r="BT7" s="21">
        <f>SUM(BO7:BS7)</f>
        <v>0</v>
      </c>
    </row>
    <row r="8" spans="1:72">
      <c r="A8" s="20" t="s">
        <v>128</v>
      </c>
      <c r="B8" s="21">
        <f t="shared" si="8"/>
        <v>1141.8466319285835</v>
      </c>
      <c r="C8" s="21">
        <f t="shared" si="8"/>
        <v>362.08229467117371</v>
      </c>
      <c r="D8" s="21">
        <f t="shared" si="8"/>
        <v>40.231366074574858</v>
      </c>
      <c r="E8" s="21">
        <f t="shared" si="8"/>
        <v>510.88470732566793</v>
      </c>
      <c r="F8" s="21">
        <f t="shared" si="8"/>
        <v>0</v>
      </c>
      <c r="G8" s="21">
        <f>+SUM(B8:F8)</f>
        <v>2055.0450000000001</v>
      </c>
      <c r="H8" s="21"/>
      <c r="I8" s="21">
        <f t="shared" si="9"/>
        <v>114.18466319285835</v>
      </c>
      <c r="J8" s="21">
        <f t="shared" si="9"/>
        <v>36.20822946711737</v>
      </c>
      <c r="K8" s="21">
        <f t="shared" si="9"/>
        <v>4.0231366074574861</v>
      </c>
      <c r="L8" s="21">
        <f t="shared" si="9"/>
        <v>51.08847073256679</v>
      </c>
      <c r="M8" s="21">
        <f t="shared" si="9"/>
        <v>0</v>
      </c>
      <c r="N8" s="21">
        <f>SUM(I8:M8)</f>
        <v>205.50450000000001</v>
      </c>
      <c r="O8" s="12"/>
      <c r="P8" s="21">
        <f t="shared" si="10"/>
        <v>285.46165798214588</v>
      </c>
      <c r="Q8" s="21">
        <f t="shared" si="10"/>
        <v>90.520573667793428</v>
      </c>
      <c r="R8" s="21">
        <f t="shared" si="10"/>
        <v>10.057841518643714</v>
      </c>
      <c r="S8" s="21">
        <f t="shared" si="10"/>
        <v>127.72117683141698</v>
      </c>
      <c r="T8" s="21">
        <f t="shared" si="10"/>
        <v>0</v>
      </c>
      <c r="U8" s="21">
        <f>SUM(P8:T8)</f>
        <v>513.76125000000002</v>
      </c>
      <c r="V8" s="12"/>
      <c r="W8" s="21">
        <f t="shared" si="11"/>
        <v>285.46165798214588</v>
      </c>
      <c r="X8" s="21">
        <f t="shared" si="11"/>
        <v>90.520573667793428</v>
      </c>
      <c r="Y8" s="21">
        <f t="shared" si="11"/>
        <v>10.057841518643714</v>
      </c>
      <c r="Z8" s="21">
        <f t="shared" si="11"/>
        <v>127.72117683141698</v>
      </c>
      <c r="AA8" s="21">
        <f t="shared" si="11"/>
        <v>0</v>
      </c>
      <c r="AB8" s="21">
        <f>SUM(W8:AA8)</f>
        <v>513.76125000000002</v>
      </c>
      <c r="AC8" s="12"/>
      <c r="AD8" s="21">
        <f t="shared" si="12"/>
        <v>285.46165798214588</v>
      </c>
      <c r="AE8" s="21">
        <f t="shared" si="12"/>
        <v>90.520573667793428</v>
      </c>
      <c r="AF8" s="21">
        <f t="shared" si="12"/>
        <v>10.057841518643714</v>
      </c>
      <c r="AG8" s="21">
        <f t="shared" si="12"/>
        <v>127.72117683141698</v>
      </c>
      <c r="AH8" s="21">
        <f t="shared" si="12"/>
        <v>0</v>
      </c>
      <c r="AI8" s="21">
        <f>SUM(AD8:AH8)</f>
        <v>513.76125000000002</v>
      </c>
      <c r="AJ8" s="12"/>
      <c r="AK8" s="21">
        <f t="shared" si="13"/>
        <v>171.27699478928753</v>
      </c>
      <c r="AL8" s="21">
        <f t="shared" si="13"/>
        <v>54.312344200676058</v>
      </c>
      <c r="AM8" s="21">
        <f t="shared" si="13"/>
        <v>6.0347049111862292</v>
      </c>
      <c r="AN8" s="21">
        <f t="shared" si="13"/>
        <v>76.632706098850193</v>
      </c>
      <c r="AO8" s="21">
        <f t="shared" si="13"/>
        <v>0</v>
      </c>
      <c r="AP8" s="21">
        <f>SUM(AK8:AO8)</f>
        <v>308.25675000000001</v>
      </c>
      <c r="AQ8" s="12"/>
      <c r="AR8" s="21">
        <f t="shared" si="14"/>
        <v>0</v>
      </c>
      <c r="AS8" s="21">
        <f t="shared" si="14"/>
        <v>0</v>
      </c>
      <c r="AT8" s="21">
        <f t="shared" si="14"/>
        <v>0</v>
      </c>
      <c r="AU8" s="21">
        <f t="shared" si="14"/>
        <v>0</v>
      </c>
      <c r="AV8" s="21">
        <f t="shared" si="14"/>
        <v>0</v>
      </c>
      <c r="AW8" s="21">
        <f>SUM(AR8:AV8)</f>
        <v>0</v>
      </c>
      <c r="AX8" s="12"/>
      <c r="AY8" s="68">
        <f>SUM($AY$13:$AY$27)*0.05</f>
        <v>2055.0450000000001</v>
      </c>
      <c r="AZ8" s="19">
        <v>0.1</v>
      </c>
      <c r="BA8" s="19">
        <v>0.25</v>
      </c>
      <c r="BB8" s="19">
        <v>0.25</v>
      </c>
      <c r="BC8" s="19">
        <v>0.25</v>
      </c>
      <c r="BD8" s="19">
        <v>0.15</v>
      </c>
      <c r="BE8" s="19">
        <v>0</v>
      </c>
      <c r="BF8" s="19">
        <f>+SUM(AZ8:BE8)</f>
        <v>1</v>
      </c>
      <c r="BG8" s="12"/>
      <c r="BH8" s="22">
        <f t="shared" si="17"/>
        <v>0.55563096279087976</v>
      </c>
      <c r="BI8" s="22">
        <f t="shared" si="15"/>
        <v>0.17619190561334361</v>
      </c>
      <c r="BJ8" s="22">
        <f t="shared" si="15"/>
        <v>1.9576878401482624E-2</v>
      </c>
      <c r="BK8" s="22">
        <f t="shared" si="15"/>
        <v>0.24860025319429399</v>
      </c>
      <c r="BL8" s="22">
        <f t="shared" si="15"/>
        <v>0</v>
      </c>
      <c r="BM8" s="23">
        <f>+SUM(BH8:BL8)</f>
        <v>1</v>
      </c>
      <c r="BN8" s="12"/>
      <c r="BO8" s="21">
        <f>+I8+P8+W8+AD8+AK8+AR8-B8</f>
        <v>0</v>
      </c>
      <c r="BP8" s="21">
        <f t="shared" si="16"/>
        <v>0</v>
      </c>
      <c r="BQ8" s="21">
        <f t="shared" si="16"/>
        <v>0</v>
      </c>
      <c r="BR8" s="21">
        <f t="shared" si="16"/>
        <v>0</v>
      </c>
      <c r="BS8" s="21">
        <f t="shared" si="16"/>
        <v>0</v>
      </c>
      <c r="BT8" s="21">
        <f>SUM(BO8:BS8)</f>
        <v>0</v>
      </c>
    </row>
    <row r="9" spans="1:72">
      <c r="A9" s="20" t="s">
        <v>129</v>
      </c>
      <c r="B9" s="21">
        <f t="shared" ref="B9" si="18">+I9+P9+W9+AD9+AK9+AR9</f>
        <v>0</v>
      </c>
      <c r="C9" s="21">
        <f t="shared" ref="C9" si="19">+J9+Q9+X9+AE9+AL9+AS9</f>
        <v>0</v>
      </c>
      <c r="D9" s="21">
        <f t="shared" ref="D9" si="20">+K9+R9+Y9+AF9+AM9+AT9</f>
        <v>0</v>
      </c>
      <c r="E9" s="21">
        <f t="shared" ref="E9" si="21">+L9+S9+Z9+AG9+AN9+AU9</f>
        <v>0</v>
      </c>
      <c r="F9" s="21">
        <f t="shared" ref="F9" si="22">+M9+T9+AA9+AH9+AO9+AV9</f>
        <v>500</v>
      </c>
      <c r="G9" s="21">
        <f>+SUM(B9:F9)</f>
        <v>500</v>
      </c>
      <c r="H9" s="21"/>
      <c r="I9" s="21">
        <f t="shared" ref="I9" si="23">+$AY9*$AZ9*BH9</f>
        <v>0</v>
      </c>
      <c r="J9" s="21">
        <f t="shared" ref="J9" si="24">+$AY9*$AZ9*BI9</f>
        <v>0</v>
      </c>
      <c r="K9" s="21">
        <f t="shared" ref="K9" si="25">+$AY9*$AZ9*BJ9</f>
        <v>0</v>
      </c>
      <c r="L9" s="21">
        <f t="shared" ref="L9" si="26">+$AY9*$AZ9*BK9</f>
        <v>0</v>
      </c>
      <c r="M9" s="21">
        <f t="shared" ref="M9" si="27">+$AY9*$AZ9*BL9</f>
        <v>50</v>
      </c>
      <c r="N9" s="21">
        <f>SUM(I9:M9)</f>
        <v>50</v>
      </c>
      <c r="O9" s="12"/>
      <c r="P9" s="21">
        <f t="shared" ref="P9" si="28">+$AY9*$BA9*BH9</f>
        <v>0</v>
      </c>
      <c r="Q9" s="21">
        <f t="shared" ref="Q9" si="29">+$AY9*$BA9*BI9</f>
        <v>0</v>
      </c>
      <c r="R9" s="21">
        <f t="shared" ref="R9" si="30">+$AY9*$BA9*BJ9</f>
        <v>0</v>
      </c>
      <c r="S9" s="21">
        <f t="shared" ref="S9" si="31">+$AY9*$BA9*BK9</f>
        <v>0</v>
      </c>
      <c r="T9" s="21">
        <f t="shared" ref="T9" si="32">+$AY9*$BA9*BL9</f>
        <v>125</v>
      </c>
      <c r="U9" s="21">
        <f>SUM(P9:T9)</f>
        <v>125</v>
      </c>
      <c r="V9" s="12"/>
      <c r="W9" s="21">
        <f t="shared" ref="W9" si="33">+$AY9*$BB9*BH9</f>
        <v>0</v>
      </c>
      <c r="X9" s="21">
        <f t="shared" ref="X9" si="34">+$AY9*$BB9*BI9</f>
        <v>0</v>
      </c>
      <c r="Y9" s="21">
        <f t="shared" ref="Y9" si="35">+$AY9*$BB9*BJ9</f>
        <v>0</v>
      </c>
      <c r="Z9" s="21">
        <f t="shared" ref="Z9" si="36">+$AY9*$BB9*BK9</f>
        <v>0</v>
      </c>
      <c r="AA9" s="21">
        <f t="shared" ref="AA9" si="37">+$AY9*$BB9*BL9</f>
        <v>125</v>
      </c>
      <c r="AB9" s="21">
        <f>SUM(W9:AA9)</f>
        <v>125</v>
      </c>
      <c r="AC9" s="12"/>
      <c r="AD9" s="21">
        <f t="shared" ref="AD9" si="38">+$AY9*$BC9*BH9</f>
        <v>0</v>
      </c>
      <c r="AE9" s="21">
        <f t="shared" ref="AE9" si="39">+$AY9*$BC9*BI9</f>
        <v>0</v>
      </c>
      <c r="AF9" s="21">
        <f t="shared" ref="AF9" si="40">+$AY9*$BC9*BJ9</f>
        <v>0</v>
      </c>
      <c r="AG9" s="21">
        <f t="shared" ref="AG9" si="41">+$AY9*$BC9*BK9</f>
        <v>0</v>
      </c>
      <c r="AH9" s="21">
        <f t="shared" ref="AH9" si="42">+$AY9*$BC9*BL9</f>
        <v>125</v>
      </c>
      <c r="AI9" s="21">
        <f>SUM(AD9:AH9)</f>
        <v>125</v>
      </c>
      <c r="AJ9" s="12"/>
      <c r="AK9" s="21">
        <f t="shared" ref="AK9" si="43">+$AY9*$BD9*BH9</f>
        <v>0</v>
      </c>
      <c r="AL9" s="21">
        <f t="shared" ref="AL9" si="44">+$AY9*$BD9*BI9</f>
        <v>0</v>
      </c>
      <c r="AM9" s="21">
        <f t="shared" ref="AM9" si="45">+$AY9*$BD9*BJ9</f>
        <v>0</v>
      </c>
      <c r="AN9" s="21">
        <f t="shared" ref="AN9" si="46">+$AY9*$BD9*BK9</f>
        <v>0</v>
      </c>
      <c r="AO9" s="21">
        <f t="shared" ref="AO9" si="47">+$AY9*$BD9*BL9</f>
        <v>75</v>
      </c>
      <c r="AP9" s="21">
        <f>SUM(AK9:AO9)</f>
        <v>75</v>
      </c>
      <c r="AQ9" s="12"/>
      <c r="AR9" s="21">
        <f t="shared" ref="AR9" si="48">+$AY9*$BE9*BH9</f>
        <v>0</v>
      </c>
      <c r="AS9" s="21">
        <f t="shared" ref="AS9" si="49">+$AY9*$BE9*BI9</f>
        <v>0</v>
      </c>
      <c r="AT9" s="21">
        <f t="shared" ref="AT9" si="50">+$AY9*$BE9*BJ9</f>
        <v>0</v>
      </c>
      <c r="AU9" s="21">
        <f t="shared" ref="AU9" si="51">+$AY9*$BE9*BK9</f>
        <v>0</v>
      </c>
      <c r="AV9" s="21">
        <f t="shared" ref="AV9" si="52">+$AY9*$BE9*BL9</f>
        <v>0</v>
      </c>
      <c r="AW9" s="21">
        <f>SUM(AR9:AV9)</f>
        <v>0</v>
      </c>
      <c r="AX9" s="12"/>
      <c r="AY9" s="68">
        <v>500</v>
      </c>
      <c r="AZ9" s="19">
        <v>0.1</v>
      </c>
      <c r="BA9" s="19">
        <v>0.25</v>
      </c>
      <c r="BB9" s="19">
        <v>0.25</v>
      </c>
      <c r="BC9" s="19">
        <v>0.25</v>
      </c>
      <c r="BD9" s="19">
        <v>0.15</v>
      </c>
      <c r="BE9" s="19">
        <v>0</v>
      </c>
      <c r="BF9" s="19">
        <f>+SUM(AZ9:BE9)</f>
        <v>1</v>
      </c>
      <c r="BG9" s="12"/>
      <c r="BH9" s="22">
        <v>0</v>
      </c>
      <c r="BI9" s="64">
        <v>0</v>
      </c>
      <c r="BJ9" s="64">
        <v>0</v>
      </c>
      <c r="BK9" s="22">
        <v>0</v>
      </c>
      <c r="BL9" s="64">
        <f>(100%-SUM(BH9:BK9))</f>
        <v>1</v>
      </c>
      <c r="BM9" s="23">
        <f>+SUM(BH9:BL9)</f>
        <v>1</v>
      </c>
      <c r="BN9" s="12"/>
      <c r="BO9" s="21">
        <f>+I9+P9+W9+AD9+AK9+AR9-B9</f>
        <v>0</v>
      </c>
      <c r="BP9" s="21">
        <f t="shared" ref="BP9" si="53">+J9+Q9+X9+AE9+AL9+AS9-C9</f>
        <v>0</v>
      </c>
      <c r="BQ9" s="21">
        <f t="shared" ref="BQ9" si="54">+K9+R9+Y9+AF9+AM9+AT9-D9</f>
        <v>0</v>
      </c>
      <c r="BR9" s="21">
        <f t="shared" ref="BR9" si="55">+L9+S9+Z9+AG9+AN9+AU9-E9</f>
        <v>0</v>
      </c>
      <c r="BS9" s="21">
        <f t="shared" ref="BS9" si="56">+M9+T9+AA9+AH9+AO9+AV9-F9</f>
        <v>0</v>
      </c>
      <c r="BT9" s="21">
        <f>SUM(BO9:BS9)</f>
        <v>0</v>
      </c>
    </row>
    <row r="10" spans="1:72">
      <c r="A10" s="20" t="s">
        <v>127</v>
      </c>
      <c r="B10" s="21">
        <f t="shared" si="8"/>
        <v>166.68928883726394</v>
      </c>
      <c r="C10" s="21">
        <f t="shared" si="8"/>
        <v>52.857571684003084</v>
      </c>
      <c r="D10" s="21">
        <f t="shared" si="8"/>
        <v>5.873063520444787</v>
      </c>
      <c r="E10" s="21">
        <f t="shared" si="8"/>
        <v>74.580075958288191</v>
      </c>
      <c r="F10" s="21">
        <f t="shared" si="8"/>
        <v>0</v>
      </c>
      <c r="G10" s="21">
        <f>+SUM(B10:F10)</f>
        <v>300</v>
      </c>
      <c r="H10" s="21"/>
      <c r="I10" s="21">
        <f t="shared" si="9"/>
        <v>41.672322209315979</v>
      </c>
      <c r="J10" s="21">
        <f t="shared" si="9"/>
        <v>13.214392921000771</v>
      </c>
      <c r="K10" s="21">
        <f t="shared" si="9"/>
        <v>1.4682658801111967</v>
      </c>
      <c r="L10" s="21">
        <f t="shared" si="9"/>
        <v>18.645018989572048</v>
      </c>
      <c r="M10" s="21">
        <f t="shared" si="9"/>
        <v>0</v>
      </c>
      <c r="N10" s="21">
        <f>SUM(I10:M10)</f>
        <v>75</v>
      </c>
      <c r="O10" s="12"/>
      <c r="P10" s="21">
        <f t="shared" si="10"/>
        <v>33.337857767452789</v>
      </c>
      <c r="Q10" s="21">
        <f t="shared" si="10"/>
        <v>10.571514336800616</v>
      </c>
      <c r="R10" s="21">
        <f t="shared" si="10"/>
        <v>1.1746127040889573</v>
      </c>
      <c r="S10" s="21">
        <f t="shared" si="10"/>
        <v>14.916015191657639</v>
      </c>
      <c r="T10" s="21">
        <f t="shared" si="10"/>
        <v>0</v>
      </c>
      <c r="U10" s="21">
        <f>SUM(P10:T10)</f>
        <v>60</v>
      </c>
      <c r="V10" s="12"/>
      <c r="W10" s="21">
        <f t="shared" si="11"/>
        <v>33.337857767452789</v>
      </c>
      <c r="X10" s="21">
        <f t="shared" si="11"/>
        <v>10.571514336800616</v>
      </c>
      <c r="Y10" s="21">
        <f t="shared" si="11"/>
        <v>1.1746127040889573</v>
      </c>
      <c r="Z10" s="21">
        <f t="shared" si="11"/>
        <v>14.916015191657639</v>
      </c>
      <c r="AA10" s="21">
        <f t="shared" si="11"/>
        <v>0</v>
      </c>
      <c r="AB10" s="21">
        <f>SUM(W10:AA10)</f>
        <v>60</v>
      </c>
      <c r="AC10" s="12"/>
      <c r="AD10" s="21">
        <f t="shared" si="12"/>
        <v>33.337857767452789</v>
      </c>
      <c r="AE10" s="21">
        <f t="shared" si="12"/>
        <v>10.571514336800616</v>
      </c>
      <c r="AF10" s="21">
        <f t="shared" si="12"/>
        <v>1.1746127040889573</v>
      </c>
      <c r="AG10" s="21">
        <f t="shared" si="12"/>
        <v>14.916015191657639</v>
      </c>
      <c r="AH10" s="21">
        <f t="shared" si="12"/>
        <v>0</v>
      </c>
      <c r="AI10" s="21">
        <f>SUM(AD10:AH10)</f>
        <v>60</v>
      </c>
      <c r="AJ10" s="12"/>
      <c r="AK10" s="21">
        <f t="shared" si="13"/>
        <v>25.003393325589588</v>
      </c>
      <c r="AL10" s="21">
        <f t="shared" si="13"/>
        <v>7.9286357526004627</v>
      </c>
      <c r="AM10" s="21">
        <f t="shared" si="13"/>
        <v>0.88095952806671807</v>
      </c>
      <c r="AN10" s="21">
        <f t="shared" si="13"/>
        <v>11.18701139374323</v>
      </c>
      <c r="AO10" s="21">
        <f t="shared" si="13"/>
        <v>0</v>
      </c>
      <c r="AP10" s="21">
        <f>SUM(AK10:AO10)</f>
        <v>45</v>
      </c>
      <c r="AQ10" s="12"/>
      <c r="AR10" s="21">
        <f t="shared" si="14"/>
        <v>0</v>
      </c>
      <c r="AS10" s="21">
        <f t="shared" si="14"/>
        <v>0</v>
      </c>
      <c r="AT10" s="21">
        <f t="shared" si="14"/>
        <v>0</v>
      </c>
      <c r="AU10" s="21">
        <f t="shared" si="14"/>
        <v>0</v>
      </c>
      <c r="AV10" s="21">
        <f t="shared" si="14"/>
        <v>0</v>
      </c>
      <c r="AW10" s="21">
        <f>SUM(AR10:AV10)</f>
        <v>0</v>
      </c>
      <c r="AX10" s="12"/>
      <c r="AY10" s="68">
        <v>300</v>
      </c>
      <c r="AZ10" s="19">
        <v>0.25</v>
      </c>
      <c r="BA10" s="19">
        <v>0.2</v>
      </c>
      <c r="BB10" s="19">
        <v>0.2</v>
      </c>
      <c r="BC10" s="19">
        <v>0.2</v>
      </c>
      <c r="BD10" s="19">
        <v>0.15</v>
      </c>
      <c r="BE10" s="19">
        <v>0</v>
      </c>
      <c r="BF10" s="19">
        <f>+SUM(AZ10:BE10)</f>
        <v>1</v>
      </c>
      <c r="BG10" s="12"/>
      <c r="BH10" s="22">
        <f>+BH$1</f>
        <v>0.55563096279087976</v>
      </c>
      <c r="BI10" s="22">
        <f t="shared" si="15"/>
        <v>0.17619190561334361</v>
      </c>
      <c r="BJ10" s="22">
        <f t="shared" si="15"/>
        <v>1.9576878401482624E-2</v>
      </c>
      <c r="BK10" s="22">
        <f t="shared" si="15"/>
        <v>0.24860025319429399</v>
      </c>
      <c r="BL10" s="22">
        <f t="shared" si="15"/>
        <v>0</v>
      </c>
      <c r="BM10" s="23">
        <f>+SUM(BH10:BL10)</f>
        <v>1</v>
      </c>
      <c r="BN10" s="12"/>
      <c r="BO10" s="21">
        <f>+I10+P10+W10+AD10+AK10+AR10-B10</f>
        <v>0</v>
      </c>
      <c r="BP10" s="21">
        <f t="shared" si="16"/>
        <v>0</v>
      </c>
      <c r="BQ10" s="21">
        <f t="shared" si="16"/>
        <v>0</v>
      </c>
      <c r="BR10" s="21">
        <f t="shared" si="16"/>
        <v>0</v>
      </c>
      <c r="BS10" s="21">
        <f t="shared" si="16"/>
        <v>0</v>
      </c>
      <c r="BT10" s="21">
        <f>SUM(BO10:BS10)</f>
        <v>0</v>
      </c>
    </row>
    <row r="11" spans="1:72">
      <c r="A11" s="24" t="s">
        <v>27</v>
      </c>
      <c r="B11" s="18">
        <f t="shared" ref="B11:G11" si="57">+B12+B22</f>
        <v>19030.360475587629</v>
      </c>
      <c r="C11" s="18">
        <f t="shared" si="57"/>
        <v>6034.5727672570192</v>
      </c>
      <c r="D11" s="18">
        <f t="shared" si="57"/>
        <v>670.50808525077991</v>
      </c>
      <c r="E11" s="18">
        <f t="shared" si="57"/>
        <v>8514.5586719045696</v>
      </c>
      <c r="F11" s="18">
        <f t="shared" si="57"/>
        <v>0</v>
      </c>
      <c r="G11" s="18">
        <f t="shared" si="57"/>
        <v>34250</v>
      </c>
      <c r="H11" s="18"/>
      <c r="I11" s="18">
        <f t="shared" ref="I11:N11" si="58">+I12+I22</f>
        <v>0</v>
      </c>
      <c r="J11" s="18">
        <f t="shared" si="58"/>
        <v>0</v>
      </c>
      <c r="K11" s="18">
        <f t="shared" si="58"/>
        <v>0</v>
      </c>
      <c r="L11" s="18">
        <f t="shared" si="58"/>
        <v>0</v>
      </c>
      <c r="M11" s="18">
        <f t="shared" si="58"/>
        <v>0</v>
      </c>
      <c r="N11" s="18">
        <f t="shared" si="58"/>
        <v>0</v>
      </c>
      <c r="O11" s="12"/>
      <c r="P11" s="18">
        <f t="shared" ref="P11:U11" si="59">+P12+P22</f>
        <v>0</v>
      </c>
      <c r="Q11" s="18">
        <f t="shared" si="59"/>
        <v>0</v>
      </c>
      <c r="R11" s="18">
        <f t="shared" si="59"/>
        <v>0</v>
      </c>
      <c r="S11" s="18">
        <f t="shared" si="59"/>
        <v>0</v>
      </c>
      <c r="T11" s="18">
        <f t="shared" si="59"/>
        <v>0</v>
      </c>
      <c r="U11" s="18">
        <f t="shared" si="59"/>
        <v>0</v>
      </c>
      <c r="V11" s="12"/>
      <c r="W11" s="18">
        <f t="shared" ref="W11:AB11" si="60">+W12+W22</f>
        <v>4167.232220931598</v>
      </c>
      <c r="X11" s="18">
        <f t="shared" si="60"/>
        <v>1321.4392921000772</v>
      </c>
      <c r="Y11" s="18">
        <f t="shared" si="60"/>
        <v>146.82658801111967</v>
      </c>
      <c r="Z11" s="18">
        <f t="shared" si="60"/>
        <v>1864.5018989572047</v>
      </c>
      <c r="AA11" s="18">
        <f t="shared" si="60"/>
        <v>0</v>
      </c>
      <c r="AB11" s="18">
        <f t="shared" si="60"/>
        <v>7500</v>
      </c>
      <c r="AC11" s="12"/>
      <c r="AD11" s="18">
        <f t="shared" ref="AD11:AI11" si="61">+AD12+AD22</f>
        <v>11251.526996515315</v>
      </c>
      <c r="AE11" s="18">
        <f t="shared" si="61"/>
        <v>3567.8860886702082</v>
      </c>
      <c r="AF11" s="18">
        <f t="shared" si="61"/>
        <v>396.43178763002311</v>
      </c>
      <c r="AG11" s="18">
        <f t="shared" si="61"/>
        <v>5034.1551271844537</v>
      </c>
      <c r="AH11" s="18">
        <f t="shared" si="61"/>
        <v>0</v>
      </c>
      <c r="AI11" s="18">
        <f t="shared" si="61"/>
        <v>20250</v>
      </c>
      <c r="AJ11" s="12"/>
      <c r="AK11" s="18">
        <f t="shared" ref="AK11:AP11" si="62">+AK12+AK22</f>
        <v>3611.6012581407181</v>
      </c>
      <c r="AL11" s="18">
        <f t="shared" si="62"/>
        <v>1145.2473864867336</v>
      </c>
      <c r="AM11" s="18">
        <f t="shared" si="62"/>
        <v>127.24970960963705</v>
      </c>
      <c r="AN11" s="18">
        <f t="shared" si="62"/>
        <v>1615.9016457629109</v>
      </c>
      <c r="AO11" s="18">
        <f t="shared" si="62"/>
        <v>0</v>
      </c>
      <c r="AP11" s="18">
        <f t="shared" si="62"/>
        <v>6500</v>
      </c>
      <c r="AQ11" s="12"/>
      <c r="AR11" s="18">
        <f t="shared" ref="AR11:AW11" si="63">+AR12+AR22</f>
        <v>0</v>
      </c>
      <c r="AS11" s="18">
        <f t="shared" si="63"/>
        <v>0</v>
      </c>
      <c r="AT11" s="18">
        <f t="shared" si="63"/>
        <v>0</v>
      </c>
      <c r="AU11" s="18">
        <f t="shared" si="63"/>
        <v>0</v>
      </c>
      <c r="AV11" s="18">
        <f t="shared" si="63"/>
        <v>0</v>
      </c>
      <c r="AW11" s="18">
        <f t="shared" si="63"/>
        <v>0</v>
      </c>
      <c r="AX11" s="12"/>
      <c r="AY11" s="69"/>
      <c r="AZ11" s="18"/>
      <c r="BA11" s="18"/>
      <c r="BB11" s="18"/>
      <c r="BC11" s="18"/>
      <c r="BD11" s="18"/>
      <c r="BE11" s="18"/>
      <c r="BF11" s="12"/>
      <c r="BG11" s="12"/>
      <c r="BH11" s="12"/>
      <c r="BI11" s="12"/>
      <c r="BJ11" s="12"/>
      <c r="BK11" s="12"/>
      <c r="BL11" s="22"/>
      <c r="BM11" s="12"/>
      <c r="BN11" s="12"/>
      <c r="BO11" s="18">
        <f t="shared" ref="BO11:BT11" si="64">+BO12+BO22</f>
        <v>0</v>
      </c>
      <c r="BP11" s="18">
        <f t="shared" si="64"/>
        <v>0</v>
      </c>
      <c r="BQ11" s="18">
        <f t="shared" si="64"/>
        <v>0</v>
      </c>
      <c r="BR11" s="18">
        <f t="shared" si="64"/>
        <v>0</v>
      </c>
      <c r="BS11" s="18">
        <f t="shared" si="64"/>
        <v>0</v>
      </c>
      <c r="BT11" s="18">
        <f t="shared" si="64"/>
        <v>0</v>
      </c>
    </row>
    <row r="12" spans="1:72">
      <c r="A12" s="24" t="s">
        <v>118</v>
      </c>
      <c r="B12" s="18">
        <f t="shared" ref="B12:G12" si="65">+SUM(B13:B21)</f>
        <v>18752.544994192191</v>
      </c>
      <c r="C12" s="18">
        <f t="shared" si="65"/>
        <v>5946.4768144503478</v>
      </c>
      <c r="D12" s="18">
        <f t="shared" si="65"/>
        <v>660.71964605003859</v>
      </c>
      <c r="E12" s="18">
        <f t="shared" si="65"/>
        <v>8390.2585453074225</v>
      </c>
      <c r="F12" s="18">
        <f t="shared" si="65"/>
        <v>0</v>
      </c>
      <c r="G12" s="18">
        <f t="shared" si="65"/>
        <v>33750</v>
      </c>
      <c r="H12" s="18"/>
      <c r="I12" s="18">
        <f t="shared" ref="I12:N12" si="66">+SUM(I13:I21)</f>
        <v>0</v>
      </c>
      <c r="J12" s="18">
        <f t="shared" si="66"/>
        <v>0</v>
      </c>
      <c r="K12" s="18">
        <f t="shared" si="66"/>
        <v>0</v>
      </c>
      <c r="L12" s="18">
        <f t="shared" si="66"/>
        <v>0</v>
      </c>
      <c r="M12" s="18">
        <f t="shared" si="66"/>
        <v>0</v>
      </c>
      <c r="N12" s="18">
        <f t="shared" si="66"/>
        <v>0</v>
      </c>
      <c r="O12" s="12"/>
      <c r="P12" s="18">
        <f t="shared" ref="P12:U12" si="67">+SUM(P13:P21)</f>
        <v>0</v>
      </c>
      <c r="Q12" s="18">
        <f t="shared" si="67"/>
        <v>0</v>
      </c>
      <c r="R12" s="18">
        <f t="shared" si="67"/>
        <v>0</v>
      </c>
      <c r="S12" s="18">
        <f t="shared" si="67"/>
        <v>0</v>
      </c>
      <c r="T12" s="18">
        <f t="shared" si="67"/>
        <v>0</v>
      </c>
      <c r="U12" s="18">
        <f t="shared" si="67"/>
        <v>0</v>
      </c>
      <c r="V12" s="12"/>
      <c r="W12" s="18">
        <f t="shared" ref="W12:AB12" si="68">+SUM(W13:W21)</f>
        <v>4167.232220931598</v>
      </c>
      <c r="X12" s="18">
        <f t="shared" si="68"/>
        <v>1321.4392921000772</v>
      </c>
      <c r="Y12" s="18">
        <f t="shared" si="68"/>
        <v>146.82658801111967</v>
      </c>
      <c r="Z12" s="18">
        <f t="shared" si="68"/>
        <v>1864.5018989572047</v>
      </c>
      <c r="AA12" s="18">
        <f t="shared" si="68"/>
        <v>0</v>
      </c>
      <c r="AB12" s="18">
        <f t="shared" si="68"/>
        <v>7500</v>
      </c>
      <c r="AC12" s="12"/>
      <c r="AD12" s="18">
        <f t="shared" ref="AD12:AI12" si="69">+SUM(AD13:AD21)</f>
        <v>11251.526996515315</v>
      </c>
      <c r="AE12" s="18">
        <f t="shared" si="69"/>
        <v>3567.8860886702082</v>
      </c>
      <c r="AF12" s="18">
        <f t="shared" si="69"/>
        <v>396.43178763002311</v>
      </c>
      <c r="AG12" s="18">
        <f t="shared" si="69"/>
        <v>5034.1551271844537</v>
      </c>
      <c r="AH12" s="18">
        <f t="shared" si="69"/>
        <v>0</v>
      </c>
      <c r="AI12" s="18">
        <f t="shared" si="69"/>
        <v>20250</v>
      </c>
      <c r="AJ12" s="12"/>
      <c r="AK12" s="18">
        <f t="shared" ref="AK12:AP12" si="70">+SUM(AK13:AK21)</f>
        <v>3333.7857767452783</v>
      </c>
      <c r="AL12" s="18">
        <f t="shared" si="70"/>
        <v>1057.1514336800617</v>
      </c>
      <c r="AM12" s="18">
        <f t="shared" si="70"/>
        <v>117.46127040889574</v>
      </c>
      <c r="AN12" s="18">
        <f t="shared" si="70"/>
        <v>1491.6015191657639</v>
      </c>
      <c r="AO12" s="18">
        <f t="shared" si="70"/>
        <v>0</v>
      </c>
      <c r="AP12" s="18">
        <f t="shared" si="70"/>
        <v>6000</v>
      </c>
      <c r="AQ12" s="12"/>
      <c r="AR12" s="18">
        <f t="shared" ref="AR12:AW12" si="71">+SUM(AR13:AR21)</f>
        <v>0</v>
      </c>
      <c r="AS12" s="18">
        <f t="shared" si="71"/>
        <v>0</v>
      </c>
      <c r="AT12" s="18">
        <f t="shared" si="71"/>
        <v>0</v>
      </c>
      <c r="AU12" s="18">
        <f t="shared" si="71"/>
        <v>0</v>
      </c>
      <c r="AV12" s="18">
        <f t="shared" si="71"/>
        <v>0</v>
      </c>
      <c r="AW12" s="18">
        <f t="shared" si="71"/>
        <v>0</v>
      </c>
      <c r="AX12" s="12"/>
      <c r="AY12" s="69"/>
      <c r="AZ12" s="18"/>
      <c r="BA12" s="18"/>
      <c r="BB12" s="18"/>
      <c r="BC12" s="18"/>
      <c r="BD12" s="18"/>
      <c r="BE12" s="18"/>
      <c r="BF12" s="12"/>
      <c r="BG12" s="12"/>
      <c r="BH12" s="12"/>
      <c r="BI12" s="12"/>
      <c r="BJ12" s="12"/>
      <c r="BK12" s="12"/>
      <c r="BL12" s="22"/>
      <c r="BM12" s="12"/>
      <c r="BN12" s="12"/>
      <c r="BO12" s="18">
        <f>+SUM(BO13:BO21)</f>
        <v>0</v>
      </c>
      <c r="BP12" s="18">
        <f t="shared" ref="BP12:BS12" si="72">+SUM(BP13:BP21)</f>
        <v>0</v>
      </c>
      <c r="BQ12" s="18">
        <f t="shared" si="72"/>
        <v>0</v>
      </c>
      <c r="BR12" s="18">
        <f t="shared" si="72"/>
        <v>0</v>
      </c>
      <c r="BS12" s="18">
        <f t="shared" si="72"/>
        <v>0</v>
      </c>
      <c r="BT12" s="18">
        <f>+SUM(BT13:BT21)</f>
        <v>0</v>
      </c>
    </row>
    <row r="13" spans="1:72">
      <c r="A13" s="25" t="s">
        <v>97</v>
      </c>
      <c r="B13" s="21">
        <f t="shared" ref="B13" si="73">+I13+P13+W13+AD13+AK13+AR13</f>
        <v>1666.8928883726392</v>
      </c>
      <c r="C13" s="21">
        <f t="shared" ref="C13" si="74">+J13+Q13+X13+AE13+AL13+AS13</f>
        <v>528.57571684003085</v>
      </c>
      <c r="D13" s="21">
        <f t="shared" ref="D13" si="75">+K13+R13+Y13+AF13+AM13+AT13</f>
        <v>58.730635204447871</v>
      </c>
      <c r="E13" s="21">
        <f t="shared" ref="E13" si="76">+L13+S13+Z13+AG13+AN13+AU13</f>
        <v>745.80075958288194</v>
      </c>
      <c r="F13" s="21">
        <f t="shared" ref="F13" si="77">+M13+T13+AA13+AH13+AO13+AV13</f>
        <v>0</v>
      </c>
      <c r="G13" s="21">
        <f t="shared" ref="G13" si="78">+SUM(B13:F13)</f>
        <v>3000</v>
      </c>
      <c r="H13" s="18"/>
      <c r="I13" s="21">
        <f t="shared" ref="I13" si="79">+$AY13*$AZ13*BH13</f>
        <v>0</v>
      </c>
      <c r="J13" s="21">
        <f t="shared" ref="J13" si="80">+$AY13*$AZ13*BI13</f>
        <v>0</v>
      </c>
      <c r="K13" s="21">
        <f t="shared" ref="K13" si="81">+$AY13*$AZ13*BJ13</f>
        <v>0</v>
      </c>
      <c r="L13" s="21">
        <f t="shared" ref="L13" si="82">+$AY13*$AZ13*BK13</f>
        <v>0</v>
      </c>
      <c r="M13" s="21">
        <f t="shared" ref="M13" si="83">+$AY13*$AZ13*BL13</f>
        <v>0</v>
      </c>
      <c r="N13" s="21">
        <f t="shared" ref="N13" si="84">SUM(I13:M13)</f>
        <v>0</v>
      </c>
      <c r="O13" s="12"/>
      <c r="P13" s="21">
        <f t="shared" ref="P13" si="85">+$AY13*$BA13*BH13</f>
        <v>0</v>
      </c>
      <c r="Q13" s="21">
        <f t="shared" ref="Q13" si="86">+$AY13*$BA13*BI13</f>
        <v>0</v>
      </c>
      <c r="R13" s="21">
        <f t="shared" ref="R13" si="87">+$AY13*$BA13*BJ13</f>
        <v>0</v>
      </c>
      <c r="S13" s="21">
        <f t="shared" ref="S13" si="88">+$AY13*$BA13*BK13</f>
        <v>0</v>
      </c>
      <c r="T13" s="21">
        <f t="shared" ref="T13" si="89">+$AY13*$BA13*BL13</f>
        <v>0</v>
      </c>
      <c r="U13" s="21">
        <f t="shared" ref="U13" si="90">SUM(P13:T13)</f>
        <v>0</v>
      </c>
      <c r="V13" s="12"/>
      <c r="W13" s="21">
        <f t="shared" ref="W13" si="91">+$AY13*$BB13*BH13</f>
        <v>833.44644418631958</v>
      </c>
      <c r="X13" s="21">
        <f t="shared" ref="X13" si="92">+$AY13*$BB13*BI13</f>
        <v>264.28785842001543</v>
      </c>
      <c r="Y13" s="21">
        <f t="shared" ref="Y13" si="93">+$AY13*$BB13*BJ13</f>
        <v>29.365317602223936</v>
      </c>
      <c r="Z13" s="21">
        <f t="shared" ref="Z13" si="94">+$AY13*$BB13*BK13</f>
        <v>372.90037979144097</v>
      </c>
      <c r="AA13" s="21">
        <f t="shared" ref="AA13" si="95">+$AY13*$BB13*BL13</f>
        <v>0</v>
      </c>
      <c r="AB13" s="21">
        <f t="shared" ref="AB13" si="96">SUM(W13:AA13)</f>
        <v>1500</v>
      </c>
      <c r="AC13" s="12"/>
      <c r="AD13" s="21">
        <f t="shared" ref="AD13" si="97">+$AY13*$BC13*BH13</f>
        <v>0</v>
      </c>
      <c r="AE13" s="21">
        <f t="shared" ref="AE13" si="98">+$AY13*$BC13*BI13</f>
        <v>0</v>
      </c>
      <c r="AF13" s="21">
        <f t="shared" ref="AF13" si="99">+$AY13*$BC13*BJ13</f>
        <v>0</v>
      </c>
      <c r="AG13" s="21">
        <f t="shared" ref="AG13" si="100">+$AY13*$BC13*BK13</f>
        <v>0</v>
      </c>
      <c r="AH13" s="21">
        <f t="shared" ref="AH13" si="101">+$AY13*$BC13*BL13</f>
        <v>0</v>
      </c>
      <c r="AI13" s="21">
        <f t="shared" ref="AI13" si="102">SUM(AD13:AH13)</f>
        <v>0</v>
      </c>
      <c r="AJ13" s="12"/>
      <c r="AK13" s="21">
        <f t="shared" ref="AK13" si="103">+$AY13*$BD13*BH13</f>
        <v>833.44644418631958</v>
      </c>
      <c r="AL13" s="21">
        <f t="shared" ref="AL13" si="104">+$AY13*$BD13*BI13</f>
        <v>264.28785842001543</v>
      </c>
      <c r="AM13" s="21">
        <f t="shared" ref="AM13" si="105">+$AY13*$BD13*BJ13</f>
        <v>29.365317602223936</v>
      </c>
      <c r="AN13" s="21">
        <f t="shared" ref="AN13" si="106">+$AY13*$BD13*BK13</f>
        <v>372.90037979144097</v>
      </c>
      <c r="AO13" s="21">
        <f t="shared" ref="AO13" si="107">+$AY13*$BD13*BL13</f>
        <v>0</v>
      </c>
      <c r="AP13" s="21">
        <f t="shared" ref="AP13" si="108">SUM(AK13:AO13)</f>
        <v>1500</v>
      </c>
      <c r="AQ13" s="12"/>
      <c r="AR13" s="21">
        <f t="shared" ref="AR13" si="109">+$AY13*$BE13*BH13</f>
        <v>0</v>
      </c>
      <c r="AS13" s="21">
        <f t="shared" ref="AS13" si="110">+$AY13*$BE13*BI13</f>
        <v>0</v>
      </c>
      <c r="AT13" s="21">
        <f t="shared" ref="AT13" si="111">+$AY13*$BE13*BJ13</f>
        <v>0</v>
      </c>
      <c r="AU13" s="21">
        <f t="shared" ref="AU13" si="112">+$AY13*$BE13*BK13</f>
        <v>0</v>
      </c>
      <c r="AV13" s="21">
        <f t="shared" ref="AV13" si="113">+$AY13*$BE13*BL13</f>
        <v>0</v>
      </c>
      <c r="AW13" s="21">
        <f t="shared" ref="AW13" si="114">SUM(AR13:AV13)</f>
        <v>0</v>
      </c>
      <c r="AX13" s="12"/>
      <c r="AY13" s="68">
        <f>SUM(AY14:AY19)*10%</f>
        <v>3000</v>
      </c>
      <c r="AZ13" s="19">
        <v>0</v>
      </c>
      <c r="BA13" s="19">
        <v>0</v>
      </c>
      <c r="BB13" s="19">
        <v>0.5</v>
      </c>
      <c r="BC13" s="19">
        <v>0</v>
      </c>
      <c r="BD13" s="19">
        <v>0.5</v>
      </c>
      <c r="BE13" s="19">
        <v>0</v>
      </c>
      <c r="BF13" s="19">
        <f t="shared" ref="BF13" si="115">+SUM(AZ13:BE13)</f>
        <v>1</v>
      </c>
      <c r="BG13" s="12"/>
      <c r="BH13" s="22">
        <f t="shared" ref="BH13:BL20" si="116">+BH$1</f>
        <v>0.55563096279087976</v>
      </c>
      <c r="BI13" s="22">
        <f t="shared" si="116"/>
        <v>0.17619190561334361</v>
      </c>
      <c r="BJ13" s="22">
        <f t="shared" si="116"/>
        <v>1.9576878401482624E-2</v>
      </c>
      <c r="BK13" s="22">
        <f t="shared" si="116"/>
        <v>0.24860025319429399</v>
      </c>
      <c r="BL13" s="22">
        <f t="shared" si="116"/>
        <v>0</v>
      </c>
      <c r="BM13" s="23">
        <f t="shared" ref="BM13" si="117">+SUM(BH13:BL13)</f>
        <v>1</v>
      </c>
      <c r="BN13" s="12"/>
      <c r="BO13" s="21">
        <f t="shared" ref="BO13" si="118">+I13+P13+W13+AD13+AK13+AR13-B13</f>
        <v>0</v>
      </c>
      <c r="BP13" s="21">
        <f t="shared" ref="BP13" si="119">+J13+Q13+X13+AE13+AL13+AS13-C13</f>
        <v>0</v>
      </c>
      <c r="BQ13" s="21">
        <f t="shared" ref="BQ13" si="120">+K13+R13+Y13+AF13+AM13+AT13-D13</f>
        <v>0</v>
      </c>
      <c r="BR13" s="21">
        <f t="shared" ref="BR13" si="121">+L13+S13+Z13+AG13+AN13+AU13-E13</f>
        <v>0</v>
      </c>
      <c r="BS13" s="21">
        <f t="shared" ref="BS13" si="122">+M13+T13+AA13+AH13+AO13+AV13-F13</f>
        <v>0</v>
      </c>
      <c r="BT13" s="21">
        <f t="shared" ref="BT13" si="123">SUM(BO13:BS13)</f>
        <v>0</v>
      </c>
    </row>
    <row r="14" spans="1:72">
      <c r="A14" s="25" t="s">
        <v>96</v>
      </c>
      <c r="B14" s="21">
        <f t="shared" ref="B14:F19" si="124">+I14+P14+W14+AD14+AK14+AR14</f>
        <v>3333.7857767452783</v>
      </c>
      <c r="C14" s="21">
        <f t="shared" si="124"/>
        <v>1057.1514336800617</v>
      </c>
      <c r="D14" s="21">
        <f t="shared" si="124"/>
        <v>117.46127040889574</v>
      </c>
      <c r="E14" s="21">
        <f t="shared" si="124"/>
        <v>1491.6015191657639</v>
      </c>
      <c r="F14" s="21">
        <f t="shared" si="124"/>
        <v>0</v>
      </c>
      <c r="G14" s="21">
        <f t="shared" ref="G14:G19" si="125">+SUM(B14:F14)</f>
        <v>6000</v>
      </c>
      <c r="H14" s="18"/>
      <c r="I14" s="21">
        <f t="shared" ref="I14:M19" si="126">+$AY14*$AZ14*BH14</f>
        <v>0</v>
      </c>
      <c r="J14" s="21">
        <f t="shared" si="126"/>
        <v>0</v>
      </c>
      <c r="K14" s="21">
        <f t="shared" si="126"/>
        <v>0</v>
      </c>
      <c r="L14" s="21">
        <f t="shared" si="126"/>
        <v>0</v>
      </c>
      <c r="M14" s="21">
        <f t="shared" si="126"/>
        <v>0</v>
      </c>
      <c r="N14" s="21">
        <f t="shared" ref="N14:N19" si="127">SUM(I14:M14)</f>
        <v>0</v>
      </c>
      <c r="O14" s="12"/>
      <c r="P14" s="21">
        <f t="shared" ref="P14:T19" si="128">+$AY14*$BA14*BH14</f>
        <v>0</v>
      </c>
      <c r="Q14" s="21">
        <f t="shared" si="128"/>
        <v>0</v>
      </c>
      <c r="R14" s="21">
        <f t="shared" si="128"/>
        <v>0</v>
      </c>
      <c r="S14" s="21">
        <f t="shared" si="128"/>
        <v>0</v>
      </c>
      <c r="T14" s="21">
        <f t="shared" si="128"/>
        <v>0</v>
      </c>
      <c r="U14" s="21">
        <f t="shared" ref="U14:U19" si="129">SUM(P14:T14)</f>
        <v>0</v>
      </c>
      <c r="V14" s="12"/>
      <c r="W14" s="21">
        <f t="shared" ref="W14:AA19" si="130">+$AY14*$BB14*BH14</f>
        <v>1666.8928883726392</v>
      </c>
      <c r="X14" s="21">
        <f t="shared" si="130"/>
        <v>528.57571684003085</v>
      </c>
      <c r="Y14" s="21">
        <f t="shared" si="130"/>
        <v>58.730635204447871</v>
      </c>
      <c r="Z14" s="21">
        <f t="shared" si="130"/>
        <v>745.80075958288194</v>
      </c>
      <c r="AA14" s="21">
        <f t="shared" si="130"/>
        <v>0</v>
      </c>
      <c r="AB14" s="21">
        <f t="shared" ref="AB14:AB19" si="131">SUM(W14:AA14)</f>
        <v>3000</v>
      </c>
      <c r="AC14" s="12"/>
      <c r="AD14" s="21">
        <f t="shared" ref="AD14:AH19" si="132">+$AY14*$BC14*BH14</f>
        <v>1666.8928883726392</v>
      </c>
      <c r="AE14" s="21">
        <f t="shared" si="132"/>
        <v>528.57571684003085</v>
      </c>
      <c r="AF14" s="21">
        <f t="shared" si="132"/>
        <v>58.730635204447871</v>
      </c>
      <c r="AG14" s="21">
        <f t="shared" si="132"/>
        <v>745.80075958288194</v>
      </c>
      <c r="AH14" s="21">
        <f t="shared" si="132"/>
        <v>0</v>
      </c>
      <c r="AI14" s="21">
        <f t="shared" ref="AI14:AI19" si="133">SUM(AD14:AH14)</f>
        <v>3000</v>
      </c>
      <c r="AJ14" s="12"/>
      <c r="AK14" s="21">
        <f t="shared" ref="AK14:AO19" si="134">+$AY14*$BD14*BH14</f>
        <v>0</v>
      </c>
      <c r="AL14" s="21">
        <f t="shared" si="134"/>
        <v>0</v>
      </c>
      <c r="AM14" s="21">
        <f t="shared" si="134"/>
        <v>0</v>
      </c>
      <c r="AN14" s="21">
        <f t="shared" si="134"/>
        <v>0</v>
      </c>
      <c r="AO14" s="21">
        <f t="shared" si="134"/>
        <v>0</v>
      </c>
      <c r="AP14" s="21">
        <f t="shared" ref="AP14:AP19" si="135">SUM(AK14:AO14)</f>
        <v>0</v>
      </c>
      <c r="AQ14" s="12"/>
      <c r="AR14" s="21">
        <f t="shared" ref="AR14:AV19" si="136">+$AY14*$BE14*BH14</f>
        <v>0</v>
      </c>
      <c r="AS14" s="21">
        <f t="shared" si="136"/>
        <v>0</v>
      </c>
      <c r="AT14" s="21">
        <f t="shared" si="136"/>
        <v>0</v>
      </c>
      <c r="AU14" s="21">
        <f t="shared" si="136"/>
        <v>0</v>
      </c>
      <c r="AV14" s="21">
        <f t="shared" si="136"/>
        <v>0</v>
      </c>
      <c r="AW14" s="21">
        <f t="shared" ref="AW14:AW19" si="137">SUM(AR14:AV14)</f>
        <v>0</v>
      </c>
      <c r="AX14" s="12"/>
      <c r="AY14" s="68">
        <f>6000</f>
        <v>6000</v>
      </c>
      <c r="AZ14" s="19">
        <v>0</v>
      </c>
      <c r="BA14" s="19">
        <v>0</v>
      </c>
      <c r="BB14" s="19">
        <v>0.5</v>
      </c>
      <c r="BC14" s="19">
        <v>0.5</v>
      </c>
      <c r="BD14" s="19">
        <v>0</v>
      </c>
      <c r="BE14" s="19">
        <v>0</v>
      </c>
      <c r="BF14" s="19">
        <f t="shared" ref="BF14:BF19" si="138">+SUM(AZ14:BE14)</f>
        <v>1</v>
      </c>
      <c r="BG14" s="12"/>
      <c r="BH14" s="22">
        <f t="shared" si="116"/>
        <v>0.55563096279087976</v>
      </c>
      <c r="BI14" s="22">
        <f t="shared" si="116"/>
        <v>0.17619190561334361</v>
      </c>
      <c r="BJ14" s="22">
        <f t="shared" si="116"/>
        <v>1.9576878401482624E-2</v>
      </c>
      <c r="BK14" s="22">
        <f t="shared" si="116"/>
        <v>0.24860025319429399</v>
      </c>
      <c r="BL14" s="22">
        <f t="shared" si="116"/>
        <v>0</v>
      </c>
      <c r="BM14" s="23">
        <f t="shared" ref="BM14:BM19" si="139">+SUM(BH14:BL14)</f>
        <v>1</v>
      </c>
      <c r="BN14" s="12"/>
      <c r="BO14" s="21">
        <f t="shared" ref="BO14:BS19" si="140">+I14+P14+W14+AD14+AK14+AR14-B14</f>
        <v>0</v>
      </c>
      <c r="BP14" s="21">
        <f t="shared" si="140"/>
        <v>0</v>
      </c>
      <c r="BQ14" s="21">
        <f t="shared" si="140"/>
        <v>0</v>
      </c>
      <c r="BR14" s="21">
        <f t="shared" si="140"/>
        <v>0</v>
      </c>
      <c r="BS14" s="21">
        <f t="shared" si="140"/>
        <v>0</v>
      </c>
      <c r="BT14" s="21">
        <f t="shared" ref="BT14:BT19" si="141">SUM(BO14:BS14)</f>
        <v>0</v>
      </c>
    </row>
    <row r="15" spans="1:72">
      <c r="A15" s="25" t="s">
        <v>95</v>
      </c>
      <c r="B15" s="21">
        <f t="shared" si="124"/>
        <v>3333.7857767452783</v>
      </c>
      <c r="C15" s="21">
        <f t="shared" si="124"/>
        <v>1057.1514336800617</v>
      </c>
      <c r="D15" s="21">
        <f t="shared" si="124"/>
        <v>117.46127040889574</v>
      </c>
      <c r="E15" s="21">
        <f t="shared" si="124"/>
        <v>1491.6015191657639</v>
      </c>
      <c r="F15" s="21">
        <f t="shared" si="124"/>
        <v>0</v>
      </c>
      <c r="G15" s="21">
        <f t="shared" si="125"/>
        <v>6000</v>
      </c>
      <c r="H15" s="18"/>
      <c r="I15" s="21">
        <f t="shared" si="126"/>
        <v>0</v>
      </c>
      <c r="J15" s="21">
        <f t="shared" si="126"/>
        <v>0</v>
      </c>
      <c r="K15" s="21">
        <f t="shared" si="126"/>
        <v>0</v>
      </c>
      <c r="L15" s="21">
        <f t="shared" si="126"/>
        <v>0</v>
      </c>
      <c r="M15" s="21">
        <f t="shared" si="126"/>
        <v>0</v>
      </c>
      <c r="N15" s="21">
        <f t="shared" si="127"/>
        <v>0</v>
      </c>
      <c r="O15" s="12"/>
      <c r="P15" s="21">
        <f t="shared" si="128"/>
        <v>0</v>
      </c>
      <c r="Q15" s="21">
        <f t="shared" si="128"/>
        <v>0</v>
      </c>
      <c r="R15" s="21">
        <f t="shared" si="128"/>
        <v>0</v>
      </c>
      <c r="S15" s="21">
        <f t="shared" si="128"/>
        <v>0</v>
      </c>
      <c r="T15" s="21">
        <f t="shared" si="128"/>
        <v>0</v>
      </c>
      <c r="U15" s="21">
        <f t="shared" si="129"/>
        <v>0</v>
      </c>
      <c r="V15" s="12"/>
      <c r="W15" s="21">
        <f t="shared" si="130"/>
        <v>1666.8928883726392</v>
      </c>
      <c r="X15" s="21">
        <f t="shared" si="130"/>
        <v>528.57571684003085</v>
      </c>
      <c r="Y15" s="21">
        <f t="shared" si="130"/>
        <v>58.730635204447871</v>
      </c>
      <c r="Z15" s="21">
        <f t="shared" si="130"/>
        <v>745.80075958288194</v>
      </c>
      <c r="AA15" s="21">
        <f t="shared" si="130"/>
        <v>0</v>
      </c>
      <c r="AB15" s="21">
        <f t="shared" si="131"/>
        <v>3000</v>
      </c>
      <c r="AC15" s="12"/>
      <c r="AD15" s="21">
        <f t="shared" si="132"/>
        <v>1666.8928883726392</v>
      </c>
      <c r="AE15" s="21">
        <f t="shared" si="132"/>
        <v>528.57571684003085</v>
      </c>
      <c r="AF15" s="21">
        <f t="shared" si="132"/>
        <v>58.730635204447871</v>
      </c>
      <c r="AG15" s="21">
        <f t="shared" si="132"/>
        <v>745.80075958288194</v>
      </c>
      <c r="AH15" s="21">
        <f t="shared" si="132"/>
        <v>0</v>
      </c>
      <c r="AI15" s="21">
        <f t="shared" si="133"/>
        <v>3000</v>
      </c>
      <c r="AJ15" s="12"/>
      <c r="AK15" s="21">
        <f t="shared" si="134"/>
        <v>0</v>
      </c>
      <c r="AL15" s="21">
        <f t="shared" si="134"/>
        <v>0</v>
      </c>
      <c r="AM15" s="21">
        <f t="shared" si="134"/>
        <v>0</v>
      </c>
      <c r="AN15" s="21">
        <f t="shared" si="134"/>
        <v>0</v>
      </c>
      <c r="AO15" s="21">
        <f t="shared" si="134"/>
        <v>0</v>
      </c>
      <c r="AP15" s="21">
        <f t="shared" si="135"/>
        <v>0</v>
      </c>
      <c r="AQ15" s="12"/>
      <c r="AR15" s="21">
        <f t="shared" si="136"/>
        <v>0</v>
      </c>
      <c r="AS15" s="21">
        <f t="shared" si="136"/>
        <v>0</v>
      </c>
      <c r="AT15" s="21">
        <f t="shared" si="136"/>
        <v>0</v>
      </c>
      <c r="AU15" s="21">
        <f t="shared" si="136"/>
        <v>0</v>
      </c>
      <c r="AV15" s="21">
        <f t="shared" si="136"/>
        <v>0</v>
      </c>
      <c r="AW15" s="21">
        <f t="shared" si="137"/>
        <v>0</v>
      </c>
      <c r="AX15" s="12"/>
      <c r="AY15" s="68">
        <f>6000</f>
        <v>6000</v>
      </c>
      <c r="AZ15" s="19">
        <v>0</v>
      </c>
      <c r="BA15" s="19">
        <v>0</v>
      </c>
      <c r="BB15" s="19">
        <v>0.5</v>
      </c>
      <c r="BC15" s="19">
        <v>0.5</v>
      </c>
      <c r="BD15" s="19">
        <v>0</v>
      </c>
      <c r="BE15" s="19">
        <v>0</v>
      </c>
      <c r="BF15" s="19">
        <f t="shared" si="138"/>
        <v>1</v>
      </c>
      <c r="BG15" s="12"/>
      <c r="BH15" s="22">
        <f t="shared" si="116"/>
        <v>0.55563096279087976</v>
      </c>
      <c r="BI15" s="22">
        <f t="shared" si="116"/>
        <v>0.17619190561334361</v>
      </c>
      <c r="BJ15" s="22">
        <f t="shared" si="116"/>
        <v>1.9576878401482624E-2</v>
      </c>
      <c r="BK15" s="22">
        <f t="shared" si="116"/>
        <v>0.24860025319429399</v>
      </c>
      <c r="BL15" s="22">
        <f t="shared" si="116"/>
        <v>0</v>
      </c>
      <c r="BM15" s="23">
        <f t="shared" si="139"/>
        <v>1</v>
      </c>
      <c r="BN15" s="12"/>
      <c r="BO15" s="21">
        <f t="shared" si="140"/>
        <v>0</v>
      </c>
      <c r="BP15" s="21">
        <f t="shared" si="140"/>
        <v>0</v>
      </c>
      <c r="BQ15" s="21">
        <f t="shared" si="140"/>
        <v>0</v>
      </c>
      <c r="BR15" s="21">
        <f t="shared" si="140"/>
        <v>0</v>
      </c>
      <c r="BS15" s="21">
        <f t="shared" si="140"/>
        <v>0</v>
      </c>
      <c r="BT15" s="21">
        <f t="shared" si="141"/>
        <v>0</v>
      </c>
    </row>
    <row r="16" spans="1:72">
      <c r="A16" s="25" t="s">
        <v>94</v>
      </c>
      <c r="B16" s="21">
        <f t="shared" si="124"/>
        <v>3333.7857767452788</v>
      </c>
      <c r="C16" s="21">
        <f t="shared" si="124"/>
        <v>1057.1514336800617</v>
      </c>
      <c r="D16" s="21">
        <f t="shared" si="124"/>
        <v>117.46127040889574</v>
      </c>
      <c r="E16" s="21">
        <f t="shared" si="124"/>
        <v>1491.6015191657639</v>
      </c>
      <c r="F16" s="21">
        <f t="shared" si="124"/>
        <v>0</v>
      </c>
      <c r="G16" s="21">
        <f t="shared" si="125"/>
        <v>6000</v>
      </c>
      <c r="H16" s="18"/>
      <c r="I16" s="21">
        <f t="shared" si="126"/>
        <v>0</v>
      </c>
      <c r="J16" s="21">
        <f t="shared" si="126"/>
        <v>0</v>
      </c>
      <c r="K16" s="21">
        <f t="shared" si="126"/>
        <v>0</v>
      </c>
      <c r="L16" s="21">
        <f t="shared" si="126"/>
        <v>0</v>
      </c>
      <c r="M16" s="21">
        <f t="shared" si="126"/>
        <v>0</v>
      </c>
      <c r="N16" s="21">
        <f t="shared" si="127"/>
        <v>0</v>
      </c>
      <c r="O16" s="12"/>
      <c r="P16" s="21">
        <f t="shared" si="128"/>
        <v>0</v>
      </c>
      <c r="Q16" s="21">
        <f t="shared" si="128"/>
        <v>0</v>
      </c>
      <c r="R16" s="21">
        <f t="shared" si="128"/>
        <v>0</v>
      </c>
      <c r="S16" s="21">
        <f t="shared" si="128"/>
        <v>0</v>
      </c>
      <c r="T16" s="21">
        <f t="shared" si="128"/>
        <v>0</v>
      </c>
      <c r="U16" s="21">
        <f t="shared" si="129"/>
        <v>0</v>
      </c>
      <c r="V16" s="12"/>
      <c r="W16" s="21">
        <f t="shared" si="130"/>
        <v>0</v>
      </c>
      <c r="X16" s="21">
        <f t="shared" si="130"/>
        <v>0</v>
      </c>
      <c r="Y16" s="21">
        <f t="shared" si="130"/>
        <v>0</v>
      </c>
      <c r="Z16" s="21">
        <f t="shared" si="130"/>
        <v>0</v>
      </c>
      <c r="AA16" s="21">
        <f t="shared" si="130"/>
        <v>0</v>
      </c>
      <c r="AB16" s="21">
        <f t="shared" si="131"/>
        <v>0</v>
      </c>
      <c r="AC16" s="12"/>
      <c r="AD16" s="21">
        <f t="shared" si="132"/>
        <v>2500.3393325589591</v>
      </c>
      <c r="AE16" s="21">
        <f t="shared" si="132"/>
        <v>792.86357526004622</v>
      </c>
      <c r="AF16" s="21">
        <f t="shared" si="132"/>
        <v>88.095952806671804</v>
      </c>
      <c r="AG16" s="21">
        <f t="shared" si="132"/>
        <v>1118.701139374323</v>
      </c>
      <c r="AH16" s="21">
        <f t="shared" si="132"/>
        <v>0</v>
      </c>
      <c r="AI16" s="21">
        <f t="shared" si="133"/>
        <v>4500</v>
      </c>
      <c r="AJ16" s="12"/>
      <c r="AK16" s="21">
        <f t="shared" si="134"/>
        <v>833.44644418631958</v>
      </c>
      <c r="AL16" s="21">
        <f t="shared" si="134"/>
        <v>264.28785842001543</v>
      </c>
      <c r="AM16" s="21">
        <f t="shared" si="134"/>
        <v>29.365317602223936</v>
      </c>
      <c r="AN16" s="21">
        <f t="shared" si="134"/>
        <v>372.90037979144097</v>
      </c>
      <c r="AO16" s="21">
        <f t="shared" si="134"/>
        <v>0</v>
      </c>
      <c r="AP16" s="21">
        <f t="shared" si="135"/>
        <v>1500</v>
      </c>
      <c r="AQ16" s="12"/>
      <c r="AR16" s="21">
        <f t="shared" si="136"/>
        <v>0</v>
      </c>
      <c r="AS16" s="21">
        <f t="shared" si="136"/>
        <v>0</v>
      </c>
      <c r="AT16" s="21">
        <f t="shared" si="136"/>
        <v>0</v>
      </c>
      <c r="AU16" s="21">
        <f t="shared" si="136"/>
        <v>0</v>
      </c>
      <c r="AV16" s="21">
        <f t="shared" si="136"/>
        <v>0</v>
      </c>
      <c r="AW16" s="21">
        <f t="shared" si="137"/>
        <v>0</v>
      </c>
      <c r="AX16" s="12"/>
      <c r="AY16" s="68">
        <f>6000</f>
        <v>6000</v>
      </c>
      <c r="AZ16" s="19">
        <v>0</v>
      </c>
      <c r="BA16" s="19">
        <v>0</v>
      </c>
      <c r="BB16" s="19">
        <v>0</v>
      </c>
      <c r="BC16" s="19">
        <v>0.75</v>
      </c>
      <c r="BD16" s="19">
        <v>0.25</v>
      </c>
      <c r="BE16" s="19">
        <v>0</v>
      </c>
      <c r="BF16" s="19">
        <f t="shared" si="138"/>
        <v>1</v>
      </c>
      <c r="BG16" s="12"/>
      <c r="BH16" s="22">
        <f t="shared" si="116"/>
        <v>0.55563096279087976</v>
      </c>
      <c r="BI16" s="22">
        <f t="shared" si="116"/>
        <v>0.17619190561334361</v>
      </c>
      <c r="BJ16" s="22">
        <f t="shared" si="116"/>
        <v>1.9576878401482624E-2</v>
      </c>
      <c r="BK16" s="22">
        <f t="shared" si="116"/>
        <v>0.24860025319429399</v>
      </c>
      <c r="BL16" s="22">
        <f t="shared" si="116"/>
        <v>0</v>
      </c>
      <c r="BM16" s="23">
        <f t="shared" si="139"/>
        <v>1</v>
      </c>
      <c r="BN16" s="12"/>
      <c r="BO16" s="21">
        <f t="shared" si="140"/>
        <v>0</v>
      </c>
      <c r="BP16" s="21">
        <f t="shared" si="140"/>
        <v>0</v>
      </c>
      <c r="BQ16" s="21">
        <f t="shared" si="140"/>
        <v>0</v>
      </c>
      <c r="BR16" s="21">
        <f t="shared" si="140"/>
        <v>0</v>
      </c>
      <c r="BS16" s="21">
        <f t="shared" si="140"/>
        <v>0</v>
      </c>
      <c r="BT16" s="21">
        <f t="shared" si="141"/>
        <v>0</v>
      </c>
    </row>
    <row r="17" spans="1:72">
      <c r="A17" s="25" t="s">
        <v>93</v>
      </c>
      <c r="B17" s="21">
        <f t="shared" si="124"/>
        <v>3333.7857767452788</v>
      </c>
      <c r="C17" s="21">
        <f t="shared" si="124"/>
        <v>1057.1514336800617</v>
      </c>
      <c r="D17" s="21">
        <f t="shared" si="124"/>
        <v>117.46127040889574</v>
      </c>
      <c r="E17" s="21">
        <f t="shared" si="124"/>
        <v>1491.6015191657639</v>
      </c>
      <c r="F17" s="21">
        <f t="shared" si="124"/>
        <v>0</v>
      </c>
      <c r="G17" s="21">
        <f t="shared" si="125"/>
        <v>6000</v>
      </c>
      <c r="H17" s="18"/>
      <c r="I17" s="21">
        <f t="shared" si="126"/>
        <v>0</v>
      </c>
      <c r="J17" s="21">
        <f t="shared" si="126"/>
        <v>0</v>
      </c>
      <c r="K17" s="21">
        <f t="shared" si="126"/>
        <v>0</v>
      </c>
      <c r="L17" s="21">
        <f t="shared" si="126"/>
        <v>0</v>
      </c>
      <c r="M17" s="21">
        <f t="shared" si="126"/>
        <v>0</v>
      </c>
      <c r="N17" s="21">
        <f t="shared" si="127"/>
        <v>0</v>
      </c>
      <c r="O17" s="12"/>
      <c r="P17" s="21">
        <f t="shared" si="128"/>
        <v>0</v>
      </c>
      <c r="Q17" s="21">
        <f t="shared" si="128"/>
        <v>0</v>
      </c>
      <c r="R17" s="21">
        <f t="shared" si="128"/>
        <v>0</v>
      </c>
      <c r="S17" s="21">
        <f t="shared" si="128"/>
        <v>0</v>
      </c>
      <c r="T17" s="21">
        <f t="shared" si="128"/>
        <v>0</v>
      </c>
      <c r="U17" s="21">
        <f t="shared" si="129"/>
        <v>0</v>
      </c>
      <c r="V17" s="12"/>
      <c r="W17" s="21">
        <f t="shared" si="130"/>
        <v>0</v>
      </c>
      <c r="X17" s="21">
        <f t="shared" si="130"/>
        <v>0</v>
      </c>
      <c r="Y17" s="21">
        <f t="shared" si="130"/>
        <v>0</v>
      </c>
      <c r="Z17" s="21">
        <f t="shared" si="130"/>
        <v>0</v>
      </c>
      <c r="AA17" s="21">
        <f t="shared" si="130"/>
        <v>0</v>
      </c>
      <c r="AB17" s="21">
        <f t="shared" si="131"/>
        <v>0</v>
      </c>
      <c r="AC17" s="12"/>
      <c r="AD17" s="21">
        <f t="shared" si="132"/>
        <v>2500.3393325589591</v>
      </c>
      <c r="AE17" s="21">
        <f t="shared" si="132"/>
        <v>792.86357526004622</v>
      </c>
      <c r="AF17" s="21">
        <f t="shared" si="132"/>
        <v>88.095952806671804</v>
      </c>
      <c r="AG17" s="21">
        <f t="shared" si="132"/>
        <v>1118.701139374323</v>
      </c>
      <c r="AH17" s="21">
        <f t="shared" si="132"/>
        <v>0</v>
      </c>
      <c r="AI17" s="21">
        <f t="shared" si="133"/>
        <v>4500</v>
      </c>
      <c r="AJ17" s="12"/>
      <c r="AK17" s="21">
        <f t="shared" si="134"/>
        <v>833.44644418631958</v>
      </c>
      <c r="AL17" s="21">
        <f t="shared" si="134"/>
        <v>264.28785842001543</v>
      </c>
      <c r="AM17" s="21">
        <f t="shared" si="134"/>
        <v>29.365317602223936</v>
      </c>
      <c r="AN17" s="21">
        <f t="shared" si="134"/>
        <v>372.90037979144097</v>
      </c>
      <c r="AO17" s="21">
        <f t="shared" si="134"/>
        <v>0</v>
      </c>
      <c r="AP17" s="21">
        <f t="shared" si="135"/>
        <v>1500</v>
      </c>
      <c r="AQ17" s="12"/>
      <c r="AR17" s="21">
        <f t="shared" si="136"/>
        <v>0</v>
      </c>
      <c r="AS17" s="21">
        <f t="shared" si="136"/>
        <v>0</v>
      </c>
      <c r="AT17" s="21">
        <f t="shared" si="136"/>
        <v>0</v>
      </c>
      <c r="AU17" s="21">
        <f t="shared" si="136"/>
        <v>0</v>
      </c>
      <c r="AV17" s="21">
        <f t="shared" si="136"/>
        <v>0</v>
      </c>
      <c r="AW17" s="21">
        <f t="shared" si="137"/>
        <v>0</v>
      </c>
      <c r="AX17" s="12"/>
      <c r="AY17" s="68">
        <f>6000</f>
        <v>6000</v>
      </c>
      <c r="AZ17" s="19">
        <v>0</v>
      </c>
      <c r="BA17" s="19">
        <v>0</v>
      </c>
      <c r="BB17" s="19">
        <v>0</v>
      </c>
      <c r="BC17" s="19">
        <v>0.75</v>
      </c>
      <c r="BD17" s="19">
        <v>0.25</v>
      </c>
      <c r="BE17" s="19">
        <v>0</v>
      </c>
      <c r="BF17" s="19">
        <f t="shared" si="138"/>
        <v>1</v>
      </c>
      <c r="BG17" s="12"/>
      <c r="BH17" s="22">
        <f t="shared" si="116"/>
        <v>0.55563096279087976</v>
      </c>
      <c r="BI17" s="22">
        <f t="shared" si="116"/>
        <v>0.17619190561334361</v>
      </c>
      <c r="BJ17" s="22">
        <f t="shared" si="116"/>
        <v>1.9576878401482624E-2</v>
      </c>
      <c r="BK17" s="22">
        <f t="shared" si="116"/>
        <v>0.24860025319429399</v>
      </c>
      <c r="BL17" s="22">
        <f t="shared" si="116"/>
        <v>0</v>
      </c>
      <c r="BM17" s="23">
        <f t="shared" si="139"/>
        <v>1</v>
      </c>
      <c r="BN17" s="12"/>
      <c r="BO17" s="21">
        <f t="shared" si="140"/>
        <v>0</v>
      </c>
      <c r="BP17" s="21">
        <f t="shared" si="140"/>
        <v>0</v>
      </c>
      <c r="BQ17" s="21">
        <f t="shared" si="140"/>
        <v>0</v>
      </c>
      <c r="BR17" s="21">
        <f t="shared" si="140"/>
        <v>0</v>
      </c>
      <c r="BS17" s="21">
        <f t="shared" si="140"/>
        <v>0</v>
      </c>
      <c r="BT17" s="21">
        <f t="shared" si="141"/>
        <v>0</v>
      </c>
    </row>
    <row r="18" spans="1:72">
      <c r="A18" s="25" t="s">
        <v>92</v>
      </c>
      <c r="B18" s="21">
        <f t="shared" si="124"/>
        <v>3333.7857767452788</v>
      </c>
      <c r="C18" s="21">
        <f t="shared" si="124"/>
        <v>1057.1514336800617</v>
      </c>
      <c r="D18" s="21">
        <f t="shared" si="124"/>
        <v>117.46127040889574</v>
      </c>
      <c r="E18" s="21">
        <f t="shared" si="124"/>
        <v>1491.6015191657639</v>
      </c>
      <c r="F18" s="21">
        <f t="shared" si="124"/>
        <v>0</v>
      </c>
      <c r="G18" s="21">
        <f t="shared" si="125"/>
        <v>6000</v>
      </c>
      <c r="H18" s="18"/>
      <c r="I18" s="21">
        <f t="shared" si="126"/>
        <v>0</v>
      </c>
      <c r="J18" s="21">
        <f t="shared" si="126"/>
        <v>0</v>
      </c>
      <c r="K18" s="21">
        <f t="shared" si="126"/>
        <v>0</v>
      </c>
      <c r="L18" s="21">
        <f t="shared" si="126"/>
        <v>0</v>
      </c>
      <c r="M18" s="21">
        <f t="shared" si="126"/>
        <v>0</v>
      </c>
      <c r="N18" s="21">
        <f t="shared" si="127"/>
        <v>0</v>
      </c>
      <c r="O18" s="12"/>
      <c r="P18" s="21">
        <f t="shared" si="128"/>
        <v>0</v>
      </c>
      <c r="Q18" s="21">
        <f t="shared" si="128"/>
        <v>0</v>
      </c>
      <c r="R18" s="21">
        <f t="shared" si="128"/>
        <v>0</v>
      </c>
      <c r="S18" s="21">
        <f t="shared" si="128"/>
        <v>0</v>
      </c>
      <c r="T18" s="21">
        <f t="shared" si="128"/>
        <v>0</v>
      </c>
      <c r="U18" s="21">
        <f t="shared" si="129"/>
        <v>0</v>
      </c>
      <c r="V18" s="12"/>
      <c r="W18" s="21">
        <f t="shared" si="130"/>
        <v>0</v>
      </c>
      <c r="X18" s="21">
        <f t="shared" si="130"/>
        <v>0</v>
      </c>
      <c r="Y18" s="21">
        <f t="shared" si="130"/>
        <v>0</v>
      </c>
      <c r="Z18" s="21">
        <f t="shared" si="130"/>
        <v>0</v>
      </c>
      <c r="AA18" s="21">
        <f t="shared" si="130"/>
        <v>0</v>
      </c>
      <c r="AB18" s="21">
        <f t="shared" si="131"/>
        <v>0</v>
      </c>
      <c r="AC18" s="12"/>
      <c r="AD18" s="21">
        <f t="shared" si="132"/>
        <v>2500.3393325589591</v>
      </c>
      <c r="AE18" s="21">
        <f t="shared" si="132"/>
        <v>792.86357526004622</v>
      </c>
      <c r="AF18" s="21">
        <f t="shared" si="132"/>
        <v>88.095952806671804</v>
      </c>
      <c r="AG18" s="21">
        <f t="shared" si="132"/>
        <v>1118.701139374323</v>
      </c>
      <c r="AH18" s="21">
        <f t="shared" si="132"/>
        <v>0</v>
      </c>
      <c r="AI18" s="21">
        <f t="shared" si="133"/>
        <v>4500</v>
      </c>
      <c r="AJ18" s="12"/>
      <c r="AK18" s="21">
        <f t="shared" si="134"/>
        <v>833.44644418631958</v>
      </c>
      <c r="AL18" s="21">
        <f t="shared" si="134"/>
        <v>264.28785842001543</v>
      </c>
      <c r="AM18" s="21">
        <f t="shared" si="134"/>
        <v>29.365317602223936</v>
      </c>
      <c r="AN18" s="21">
        <f t="shared" si="134"/>
        <v>372.90037979144097</v>
      </c>
      <c r="AO18" s="21">
        <f t="shared" si="134"/>
        <v>0</v>
      </c>
      <c r="AP18" s="21">
        <f t="shared" si="135"/>
        <v>1500</v>
      </c>
      <c r="AQ18" s="12"/>
      <c r="AR18" s="21">
        <f t="shared" si="136"/>
        <v>0</v>
      </c>
      <c r="AS18" s="21">
        <f t="shared" si="136"/>
        <v>0</v>
      </c>
      <c r="AT18" s="21">
        <f t="shared" si="136"/>
        <v>0</v>
      </c>
      <c r="AU18" s="21">
        <f t="shared" si="136"/>
        <v>0</v>
      </c>
      <c r="AV18" s="21">
        <f t="shared" si="136"/>
        <v>0</v>
      </c>
      <c r="AW18" s="21">
        <f t="shared" si="137"/>
        <v>0</v>
      </c>
      <c r="AX18" s="12"/>
      <c r="AY18" s="68">
        <f>6000</f>
        <v>6000</v>
      </c>
      <c r="AZ18" s="19">
        <v>0</v>
      </c>
      <c r="BA18" s="19">
        <v>0</v>
      </c>
      <c r="BB18" s="19">
        <v>0</v>
      </c>
      <c r="BC18" s="19">
        <v>0.75</v>
      </c>
      <c r="BD18" s="19">
        <v>0.25</v>
      </c>
      <c r="BE18" s="19">
        <v>0</v>
      </c>
      <c r="BF18" s="19">
        <f t="shared" si="138"/>
        <v>1</v>
      </c>
      <c r="BG18" s="12"/>
      <c r="BH18" s="22">
        <f t="shared" si="116"/>
        <v>0.55563096279087976</v>
      </c>
      <c r="BI18" s="22">
        <f t="shared" si="116"/>
        <v>0.17619190561334361</v>
      </c>
      <c r="BJ18" s="22">
        <f t="shared" si="116"/>
        <v>1.9576878401482624E-2</v>
      </c>
      <c r="BK18" s="22">
        <f t="shared" si="116"/>
        <v>0.24860025319429399</v>
      </c>
      <c r="BL18" s="22">
        <f t="shared" si="116"/>
        <v>0</v>
      </c>
      <c r="BM18" s="23">
        <f t="shared" si="139"/>
        <v>1</v>
      </c>
      <c r="BN18" s="12"/>
      <c r="BO18" s="21">
        <f t="shared" si="140"/>
        <v>0</v>
      </c>
      <c r="BP18" s="21">
        <f t="shared" si="140"/>
        <v>0</v>
      </c>
      <c r="BQ18" s="21">
        <f t="shared" si="140"/>
        <v>0</v>
      </c>
      <c r="BR18" s="21">
        <f t="shared" si="140"/>
        <v>0</v>
      </c>
      <c r="BS18" s="21">
        <f t="shared" si="140"/>
        <v>0</v>
      </c>
      <c r="BT18" s="21">
        <f t="shared" si="141"/>
        <v>0</v>
      </c>
    </row>
    <row r="19" spans="1:72" hidden="1">
      <c r="A19" s="25" t="s">
        <v>91</v>
      </c>
      <c r="B19" s="21">
        <f t="shared" si="124"/>
        <v>0</v>
      </c>
      <c r="C19" s="21">
        <f t="shared" si="124"/>
        <v>0</v>
      </c>
      <c r="D19" s="21">
        <f t="shared" si="124"/>
        <v>0</v>
      </c>
      <c r="E19" s="21">
        <f t="shared" si="124"/>
        <v>0</v>
      </c>
      <c r="F19" s="21">
        <f t="shared" si="124"/>
        <v>0</v>
      </c>
      <c r="G19" s="21">
        <f t="shared" si="125"/>
        <v>0</v>
      </c>
      <c r="H19" s="18"/>
      <c r="I19" s="21">
        <f t="shared" si="126"/>
        <v>0</v>
      </c>
      <c r="J19" s="21">
        <f t="shared" si="126"/>
        <v>0</v>
      </c>
      <c r="K19" s="21">
        <f t="shared" si="126"/>
        <v>0</v>
      </c>
      <c r="L19" s="21">
        <f t="shared" si="126"/>
        <v>0</v>
      </c>
      <c r="M19" s="21">
        <f t="shared" si="126"/>
        <v>0</v>
      </c>
      <c r="N19" s="21">
        <f t="shared" si="127"/>
        <v>0</v>
      </c>
      <c r="O19" s="12"/>
      <c r="P19" s="21">
        <f t="shared" si="128"/>
        <v>0</v>
      </c>
      <c r="Q19" s="21">
        <f t="shared" si="128"/>
        <v>0</v>
      </c>
      <c r="R19" s="21">
        <f t="shared" si="128"/>
        <v>0</v>
      </c>
      <c r="S19" s="21">
        <f t="shared" si="128"/>
        <v>0</v>
      </c>
      <c r="T19" s="21">
        <f t="shared" si="128"/>
        <v>0</v>
      </c>
      <c r="U19" s="21">
        <f t="shared" si="129"/>
        <v>0</v>
      </c>
      <c r="V19" s="12"/>
      <c r="W19" s="21">
        <f t="shared" si="130"/>
        <v>0</v>
      </c>
      <c r="X19" s="21">
        <f t="shared" si="130"/>
        <v>0</v>
      </c>
      <c r="Y19" s="21">
        <f t="shared" si="130"/>
        <v>0</v>
      </c>
      <c r="Z19" s="21">
        <f t="shared" si="130"/>
        <v>0</v>
      </c>
      <c r="AA19" s="21">
        <f t="shared" si="130"/>
        <v>0</v>
      </c>
      <c r="AB19" s="21">
        <f t="shared" si="131"/>
        <v>0</v>
      </c>
      <c r="AC19" s="12"/>
      <c r="AD19" s="21">
        <f t="shared" si="132"/>
        <v>0</v>
      </c>
      <c r="AE19" s="21">
        <f t="shared" si="132"/>
        <v>0</v>
      </c>
      <c r="AF19" s="21">
        <f t="shared" si="132"/>
        <v>0</v>
      </c>
      <c r="AG19" s="21">
        <f t="shared" si="132"/>
        <v>0</v>
      </c>
      <c r="AH19" s="21">
        <f t="shared" si="132"/>
        <v>0</v>
      </c>
      <c r="AI19" s="21">
        <f t="shared" si="133"/>
        <v>0</v>
      </c>
      <c r="AJ19" s="12"/>
      <c r="AK19" s="21">
        <f t="shared" si="134"/>
        <v>0</v>
      </c>
      <c r="AL19" s="21">
        <f t="shared" si="134"/>
        <v>0</v>
      </c>
      <c r="AM19" s="21">
        <f t="shared" si="134"/>
        <v>0</v>
      </c>
      <c r="AN19" s="21">
        <f t="shared" si="134"/>
        <v>0</v>
      </c>
      <c r="AO19" s="21">
        <f t="shared" si="134"/>
        <v>0</v>
      </c>
      <c r="AP19" s="21">
        <f t="shared" si="135"/>
        <v>0</v>
      </c>
      <c r="AQ19" s="12"/>
      <c r="AR19" s="21">
        <f t="shared" si="136"/>
        <v>0</v>
      </c>
      <c r="AS19" s="21">
        <f t="shared" si="136"/>
        <v>0</v>
      </c>
      <c r="AT19" s="21">
        <f t="shared" si="136"/>
        <v>0</v>
      </c>
      <c r="AU19" s="21">
        <f t="shared" si="136"/>
        <v>0</v>
      </c>
      <c r="AV19" s="21">
        <f t="shared" si="136"/>
        <v>0</v>
      </c>
      <c r="AW19" s="21">
        <f t="shared" si="137"/>
        <v>0</v>
      </c>
      <c r="AX19" s="12"/>
      <c r="AY19" s="68">
        <f>0*1.2</f>
        <v>0</v>
      </c>
      <c r="AZ19" s="19">
        <v>0</v>
      </c>
      <c r="BA19" s="19">
        <v>0</v>
      </c>
      <c r="BB19" s="19">
        <v>0</v>
      </c>
      <c r="BC19" s="19">
        <v>0</v>
      </c>
      <c r="BD19" s="19">
        <v>1</v>
      </c>
      <c r="BE19" s="19">
        <v>0</v>
      </c>
      <c r="BF19" s="19">
        <f t="shared" si="138"/>
        <v>1</v>
      </c>
      <c r="BG19" s="12"/>
      <c r="BH19" s="22">
        <f t="shared" si="116"/>
        <v>0.55563096279087976</v>
      </c>
      <c r="BI19" s="22">
        <f t="shared" si="116"/>
        <v>0.17619190561334361</v>
      </c>
      <c r="BJ19" s="22">
        <f t="shared" si="116"/>
        <v>1.9576878401482624E-2</v>
      </c>
      <c r="BK19" s="22">
        <f t="shared" si="116"/>
        <v>0.24860025319429399</v>
      </c>
      <c r="BL19" s="22">
        <f t="shared" ref="BL19:BL20" si="142">(100%-SUM(BH19:BK19))</f>
        <v>0</v>
      </c>
      <c r="BM19" s="23">
        <f t="shared" si="139"/>
        <v>1</v>
      </c>
      <c r="BN19" s="12"/>
      <c r="BO19" s="21">
        <f t="shared" si="140"/>
        <v>0</v>
      </c>
      <c r="BP19" s="21">
        <f t="shared" si="140"/>
        <v>0</v>
      </c>
      <c r="BQ19" s="21">
        <f t="shared" si="140"/>
        <v>0</v>
      </c>
      <c r="BR19" s="21">
        <f t="shared" si="140"/>
        <v>0</v>
      </c>
      <c r="BS19" s="21">
        <f t="shared" si="140"/>
        <v>0</v>
      </c>
      <c r="BT19" s="21">
        <f t="shared" si="141"/>
        <v>0</v>
      </c>
    </row>
    <row r="20" spans="1:72">
      <c r="A20" s="25" t="s">
        <v>117</v>
      </c>
      <c r="B20" s="21">
        <f t="shared" ref="B20:F21" si="143">+I20+P20+W20+AD20+AK20+AR20</f>
        <v>416.72322209315979</v>
      </c>
      <c r="C20" s="21">
        <f t="shared" si="143"/>
        <v>132.14392921000771</v>
      </c>
      <c r="D20" s="21">
        <f t="shared" si="143"/>
        <v>14.682658801111968</v>
      </c>
      <c r="E20" s="21">
        <f t="shared" si="143"/>
        <v>186.45018989572048</v>
      </c>
      <c r="F20" s="21">
        <f t="shared" si="143"/>
        <v>0</v>
      </c>
      <c r="G20" s="21">
        <f t="shared" ref="G20:G21" si="144">+SUM(B20:F20)</f>
        <v>750</v>
      </c>
      <c r="H20" s="18"/>
      <c r="I20" s="21">
        <f t="shared" ref="I20:M21" si="145">+$AY20*$AZ20*BH20</f>
        <v>0</v>
      </c>
      <c r="J20" s="21">
        <f t="shared" si="145"/>
        <v>0</v>
      </c>
      <c r="K20" s="21">
        <f t="shared" si="145"/>
        <v>0</v>
      </c>
      <c r="L20" s="21">
        <f t="shared" si="145"/>
        <v>0</v>
      </c>
      <c r="M20" s="21">
        <f t="shared" si="145"/>
        <v>0</v>
      </c>
      <c r="N20" s="21">
        <f t="shared" ref="N20:N21" si="146">SUM(I20:M20)</f>
        <v>0</v>
      </c>
      <c r="O20" s="12"/>
      <c r="P20" s="21">
        <f t="shared" ref="P20:T21" si="147">+$AY20*$BA20*BH20</f>
        <v>0</v>
      </c>
      <c r="Q20" s="21">
        <f t="shared" si="147"/>
        <v>0</v>
      </c>
      <c r="R20" s="21">
        <f t="shared" si="147"/>
        <v>0</v>
      </c>
      <c r="S20" s="21">
        <f t="shared" si="147"/>
        <v>0</v>
      </c>
      <c r="T20" s="21">
        <f t="shared" si="147"/>
        <v>0</v>
      </c>
      <c r="U20" s="21">
        <f t="shared" ref="U20:U21" si="148">SUM(P20:T20)</f>
        <v>0</v>
      </c>
      <c r="V20" s="12"/>
      <c r="W20" s="21">
        <f t="shared" ref="W20:AA21" si="149">+$AY20*$BB20*BH20</f>
        <v>0</v>
      </c>
      <c r="X20" s="21">
        <f t="shared" si="149"/>
        <v>0</v>
      </c>
      <c r="Y20" s="21">
        <f t="shared" si="149"/>
        <v>0</v>
      </c>
      <c r="Z20" s="21">
        <f t="shared" si="149"/>
        <v>0</v>
      </c>
      <c r="AA20" s="21">
        <f t="shared" si="149"/>
        <v>0</v>
      </c>
      <c r="AB20" s="21">
        <f t="shared" ref="AB20:AB21" si="150">SUM(W20:AA20)</f>
        <v>0</v>
      </c>
      <c r="AC20" s="12"/>
      <c r="AD20" s="21">
        <f t="shared" ref="AD20:AH21" si="151">+$AY20*$BC20*BH20</f>
        <v>416.72322209315979</v>
      </c>
      <c r="AE20" s="21">
        <f t="shared" si="151"/>
        <v>132.14392921000771</v>
      </c>
      <c r="AF20" s="21">
        <f t="shared" si="151"/>
        <v>14.682658801111968</v>
      </c>
      <c r="AG20" s="21">
        <f t="shared" si="151"/>
        <v>186.45018989572048</v>
      </c>
      <c r="AH20" s="21">
        <f t="shared" si="151"/>
        <v>0</v>
      </c>
      <c r="AI20" s="21">
        <f t="shared" ref="AI20:AI21" si="152">SUM(AD20:AH20)</f>
        <v>750</v>
      </c>
      <c r="AJ20" s="12"/>
      <c r="AK20" s="21">
        <f t="shared" ref="AK20:AO21" si="153">+$AY20*$BD20*BH20</f>
        <v>0</v>
      </c>
      <c r="AL20" s="21">
        <f t="shared" si="153"/>
        <v>0</v>
      </c>
      <c r="AM20" s="21">
        <f t="shared" si="153"/>
        <v>0</v>
      </c>
      <c r="AN20" s="21">
        <f t="shared" si="153"/>
        <v>0</v>
      </c>
      <c r="AO20" s="21">
        <f t="shared" si="153"/>
        <v>0</v>
      </c>
      <c r="AP20" s="21">
        <f t="shared" ref="AP20:AP21" si="154">SUM(AK20:AO20)</f>
        <v>0</v>
      </c>
      <c r="AQ20" s="12"/>
      <c r="AR20" s="21">
        <f t="shared" ref="AR20:AV21" si="155">+$AY20*$BE20*BH20</f>
        <v>0</v>
      </c>
      <c r="AS20" s="21">
        <f t="shared" si="155"/>
        <v>0</v>
      </c>
      <c r="AT20" s="21">
        <f t="shared" si="155"/>
        <v>0</v>
      </c>
      <c r="AU20" s="21">
        <f t="shared" si="155"/>
        <v>0</v>
      </c>
      <c r="AV20" s="21">
        <f t="shared" si="155"/>
        <v>0</v>
      </c>
      <c r="AW20" s="21">
        <f t="shared" ref="AW20:AW21" si="156">SUM(AR20:AV20)</f>
        <v>0</v>
      </c>
      <c r="AX20" s="12"/>
      <c r="AY20" s="68">
        <v>750</v>
      </c>
      <c r="AZ20" s="19">
        <v>0</v>
      </c>
      <c r="BA20" s="19">
        <v>0</v>
      </c>
      <c r="BB20" s="19">
        <v>0</v>
      </c>
      <c r="BC20" s="19">
        <v>1</v>
      </c>
      <c r="BD20" s="19">
        <v>0</v>
      </c>
      <c r="BE20" s="19">
        <v>0</v>
      </c>
      <c r="BF20" s="19">
        <f t="shared" ref="BF20:BF21" si="157">+SUM(AZ20:BE20)</f>
        <v>1</v>
      </c>
      <c r="BG20" s="12"/>
      <c r="BH20" s="22">
        <f t="shared" si="116"/>
        <v>0.55563096279087976</v>
      </c>
      <c r="BI20" s="22">
        <f t="shared" si="116"/>
        <v>0.17619190561334361</v>
      </c>
      <c r="BJ20" s="22">
        <f t="shared" si="116"/>
        <v>1.9576878401482624E-2</v>
      </c>
      <c r="BK20" s="22">
        <f t="shared" si="116"/>
        <v>0.24860025319429399</v>
      </c>
      <c r="BL20" s="22">
        <f t="shared" si="142"/>
        <v>0</v>
      </c>
      <c r="BM20" s="23">
        <f t="shared" ref="BM20:BM21" si="158">+SUM(BH20:BL20)</f>
        <v>1</v>
      </c>
      <c r="BN20" s="12"/>
      <c r="BO20" s="21">
        <f t="shared" ref="BO20:BO21" si="159">+I20+P20+W20+AD20+AK20+AR20-B20</f>
        <v>0</v>
      </c>
      <c r="BP20" s="21">
        <f t="shared" ref="BP20:BP21" si="160">+J20+Q20+X20+AE20+AL20+AS20-C20</f>
        <v>0</v>
      </c>
      <c r="BQ20" s="21">
        <f t="shared" ref="BQ20:BQ21" si="161">+K20+R20+Y20+AF20+AM20+AT20-D20</f>
        <v>0</v>
      </c>
      <c r="BR20" s="21">
        <f t="shared" ref="BR20:BR21" si="162">+L20+S20+Z20+AG20+AN20+AU20-E20</f>
        <v>0</v>
      </c>
      <c r="BS20" s="21">
        <f t="shared" ref="BS20:BS21" si="163">+M20+T20+AA20+AH20+AO20+AV20-F20</f>
        <v>0</v>
      </c>
      <c r="BT20" s="21">
        <f t="shared" ref="BT20:BT21" si="164">SUM(BO20:BS20)</f>
        <v>0</v>
      </c>
    </row>
    <row r="21" spans="1:72" hidden="1">
      <c r="A21" s="25" t="s">
        <v>130</v>
      </c>
      <c r="B21" s="21">
        <f t="shared" si="143"/>
        <v>0</v>
      </c>
      <c r="C21" s="21">
        <f t="shared" si="143"/>
        <v>0</v>
      </c>
      <c r="D21" s="21">
        <f t="shared" si="143"/>
        <v>0</v>
      </c>
      <c r="E21" s="21">
        <f t="shared" si="143"/>
        <v>0</v>
      </c>
      <c r="F21" s="21">
        <f t="shared" si="143"/>
        <v>0</v>
      </c>
      <c r="G21" s="21">
        <f t="shared" si="144"/>
        <v>0</v>
      </c>
      <c r="H21" s="18"/>
      <c r="I21" s="21">
        <f t="shared" si="145"/>
        <v>0</v>
      </c>
      <c r="J21" s="21">
        <f t="shared" si="145"/>
        <v>0</v>
      </c>
      <c r="K21" s="21">
        <f t="shared" si="145"/>
        <v>0</v>
      </c>
      <c r="L21" s="21">
        <f t="shared" si="145"/>
        <v>0</v>
      </c>
      <c r="M21" s="21">
        <f t="shared" si="145"/>
        <v>0</v>
      </c>
      <c r="N21" s="21">
        <f t="shared" si="146"/>
        <v>0</v>
      </c>
      <c r="O21" s="12"/>
      <c r="P21" s="21">
        <f t="shared" si="147"/>
        <v>0</v>
      </c>
      <c r="Q21" s="21">
        <f t="shared" si="147"/>
        <v>0</v>
      </c>
      <c r="R21" s="21">
        <f t="shared" si="147"/>
        <v>0</v>
      </c>
      <c r="S21" s="21">
        <f t="shared" si="147"/>
        <v>0</v>
      </c>
      <c r="T21" s="21">
        <f t="shared" si="147"/>
        <v>0</v>
      </c>
      <c r="U21" s="21">
        <f t="shared" si="148"/>
        <v>0</v>
      </c>
      <c r="V21" s="12"/>
      <c r="W21" s="21">
        <f t="shared" si="149"/>
        <v>0</v>
      </c>
      <c r="X21" s="21">
        <f t="shared" si="149"/>
        <v>0</v>
      </c>
      <c r="Y21" s="21">
        <f t="shared" si="149"/>
        <v>0</v>
      </c>
      <c r="Z21" s="21">
        <f t="shared" si="149"/>
        <v>0</v>
      </c>
      <c r="AA21" s="21">
        <f t="shared" si="149"/>
        <v>0</v>
      </c>
      <c r="AB21" s="21">
        <f t="shared" si="150"/>
        <v>0</v>
      </c>
      <c r="AC21" s="12"/>
      <c r="AD21" s="21">
        <f t="shared" si="151"/>
        <v>0</v>
      </c>
      <c r="AE21" s="21">
        <f t="shared" si="151"/>
        <v>0</v>
      </c>
      <c r="AF21" s="21">
        <f t="shared" si="151"/>
        <v>0</v>
      </c>
      <c r="AG21" s="21">
        <f t="shared" si="151"/>
        <v>0</v>
      </c>
      <c r="AH21" s="21">
        <f t="shared" si="151"/>
        <v>0</v>
      </c>
      <c r="AI21" s="21">
        <f t="shared" si="152"/>
        <v>0</v>
      </c>
      <c r="AJ21" s="12"/>
      <c r="AK21" s="21">
        <f t="shared" si="153"/>
        <v>0</v>
      </c>
      <c r="AL21" s="21">
        <f t="shared" si="153"/>
        <v>0</v>
      </c>
      <c r="AM21" s="21">
        <f t="shared" si="153"/>
        <v>0</v>
      </c>
      <c r="AN21" s="21">
        <f t="shared" si="153"/>
        <v>0</v>
      </c>
      <c r="AO21" s="21">
        <f t="shared" si="153"/>
        <v>0</v>
      </c>
      <c r="AP21" s="21">
        <f t="shared" si="154"/>
        <v>0</v>
      </c>
      <c r="AQ21" s="12"/>
      <c r="AR21" s="21">
        <f t="shared" si="155"/>
        <v>0</v>
      </c>
      <c r="AS21" s="21">
        <f t="shared" si="155"/>
        <v>0</v>
      </c>
      <c r="AT21" s="21">
        <f t="shared" si="155"/>
        <v>0</v>
      </c>
      <c r="AU21" s="21">
        <f t="shared" si="155"/>
        <v>0</v>
      </c>
      <c r="AV21" s="21">
        <f t="shared" si="155"/>
        <v>0</v>
      </c>
      <c r="AW21" s="21">
        <f t="shared" si="156"/>
        <v>0</v>
      </c>
      <c r="AX21" s="12"/>
      <c r="AY21" s="68">
        <f>6200*0</f>
        <v>0</v>
      </c>
      <c r="AZ21" s="19">
        <v>0.5</v>
      </c>
      <c r="BA21" s="19">
        <v>0.5</v>
      </c>
      <c r="BB21" s="19">
        <v>0</v>
      </c>
      <c r="BC21" s="19">
        <v>0</v>
      </c>
      <c r="BD21" s="19">
        <v>0</v>
      </c>
      <c r="BE21" s="19">
        <v>0</v>
      </c>
      <c r="BF21" s="19">
        <f t="shared" si="157"/>
        <v>1</v>
      </c>
      <c r="BG21" s="12"/>
      <c r="BH21" s="22">
        <v>0</v>
      </c>
      <c r="BI21" s="22">
        <v>0</v>
      </c>
      <c r="BJ21" s="22">
        <v>0</v>
      </c>
      <c r="BK21" s="22">
        <v>0</v>
      </c>
      <c r="BL21" s="22">
        <f t="shared" ref="BL21" si="165">(100%-SUM(BH21:BK21))</f>
        <v>1</v>
      </c>
      <c r="BM21" s="23">
        <f t="shared" si="158"/>
        <v>1</v>
      </c>
      <c r="BN21" s="12"/>
      <c r="BO21" s="21">
        <f t="shared" si="159"/>
        <v>0</v>
      </c>
      <c r="BP21" s="21">
        <f t="shared" si="160"/>
        <v>0</v>
      </c>
      <c r="BQ21" s="21">
        <f t="shared" si="161"/>
        <v>0</v>
      </c>
      <c r="BR21" s="21">
        <f t="shared" si="162"/>
        <v>0</v>
      </c>
      <c r="BS21" s="21">
        <f t="shared" si="163"/>
        <v>0</v>
      </c>
      <c r="BT21" s="21">
        <f t="shared" si="164"/>
        <v>0</v>
      </c>
    </row>
    <row r="22" spans="1:72">
      <c r="A22" s="24" t="s">
        <v>119</v>
      </c>
      <c r="B22" s="18">
        <f t="shared" ref="B22:G22" si="166">+SUM(B23:B24)</f>
        <v>277.81548139543986</v>
      </c>
      <c r="C22" s="18">
        <f t="shared" si="166"/>
        <v>88.095952806671804</v>
      </c>
      <c r="D22" s="18">
        <f t="shared" si="166"/>
        <v>9.7884392007413119</v>
      </c>
      <c r="E22" s="18">
        <f t="shared" si="166"/>
        <v>124.300126597147</v>
      </c>
      <c r="F22" s="18">
        <f t="shared" si="166"/>
        <v>0</v>
      </c>
      <c r="G22" s="18">
        <f t="shared" si="166"/>
        <v>500</v>
      </c>
      <c r="H22" s="18"/>
      <c r="I22" s="18">
        <f t="shared" ref="I22:N22" si="167">+SUM(I23:I24)</f>
        <v>0</v>
      </c>
      <c r="J22" s="18">
        <f t="shared" si="167"/>
        <v>0</v>
      </c>
      <c r="K22" s="18">
        <f t="shared" si="167"/>
        <v>0</v>
      </c>
      <c r="L22" s="18">
        <f t="shared" si="167"/>
        <v>0</v>
      </c>
      <c r="M22" s="18">
        <f t="shared" si="167"/>
        <v>0</v>
      </c>
      <c r="N22" s="18">
        <f t="shared" si="167"/>
        <v>0</v>
      </c>
      <c r="O22" s="12"/>
      <c r="P22" s="18">
        <f t="shared" ref="P22:U22" si="168">+SUM(P23:P24)</f>
        <v>0</v>
      </c>
      <c r="Q22" s="18">
        <f t="shared" si="168"/>
        <v>0</v>
      </c>
      <c r="R22" s="18">
        <f t="shared" si="168"/>
        <v>0</v>
      </c>
      <c r="S22" s="18">
        <f t="shared" si="168"/>
        <v>0</v>
      </c>
      <c r="T22" s="18">
        <f t="shared" si="168"/>
        <v>0</v>
      </c>
      <c r="U22" s="18">
        <f t="shared" si="168"/>
        <v>0</v>
      </c>
      <c r="V22" s="12"/>
      <c r="W22" s="18">
        <f t="shared" ref="W22:AB22" si="169">+SUM(W23:W24)</f>
        <v>0</v>
      </c>
      <c r="X22" s="18">
        <f t="shared" si="169"/>
        <v>0</v>
      </c>
      <c r="Y22" s="18">
        <f t="shared" si="169"/>
        <v>0</v>
      </c>
      <c r="Z22" s="18">
        <f t="shared" si="169"/>
        <v>0</v>
      </c>
      <c r="AA22" s="18">
        <f t="shared" si="169"/>
        <v>0</v>
      </c>
      <c r="AB22" s="18">
        <f t="shared" si="169"/>
        <v>0</v>
      </c>
      <c r="AC22" s="12"/>
      <c r="AD22" s="18">
        <f t="shared" ref="AD22:AI22" si="170">+SUM(AD23:AD24)</f>
        <v>0</v>
      </c>
      <c r="AE22" s="18">
        <f t="shared" si="170"/>
        <v>0</v>
      </c>
      <c r="AF22" s="18">
        <f t="shared" si="170"/>
        <v>0</v>
      </c>
      <c r="AG22" s="18">
        <f t="shared" si="170"/>
        <v>0</v>
      </c>
      <c r="AH22" s="18">
        <f t="shared" si="170"/>
        <v>0</v>
      </c>
      <c r="AI22" s="18">
        <f t="shared" si="170"/>
        <v>0</v>
      </c>
      <c r="AJ22" s="12"/>
      <c r="AK22" s="18">
        <f t="shared" ref="AK22:AP22" si="171">+SUM(AK23:AK24)</f>
        <v>277.81548139543986</v>
      </c>
      <c r="AL22" s="18">
        <f t="shared" si="171"/>
        <v>88.095952806671804</v>
      </c>
      <c r="AM22" s="18">
        <f t="shared" si="171"/>
        <v>9.7884392007413119</v>
      </c>
      <c r="AN22" s="18">
        <f t="shared" si="171"/>
        <v>124.300126597147</v>
      </c>
      <c r="AO22" s="18">
        <f t="shared" si="171"/>
        <v>0</v>
      </c>
      <c r="AP22" s="18">
        <f t="shared" si="171"/>
        <v>500</v>
      </c>
      <c r="AQ22" s="12"/>
      <c r="AR22" s="18">
        <f t="shared" ref="AR22:AW22" si="172">+SUM(AR23:AR24)</f>
        <v>0</v>
      </c>
      <c r="AS22" s="18">
        <f t="shared" si="172"/>
        <v>0</v>
      </c>
      <c r="AT22" s="18">
        <f t="shared" si="172"/>
        <v>0</v>
      </c>
      <c r="AU22" s="18">
        <f t="shared" si="172"/>
        <v>0</v>
      </c>
      <c r="AV22" s="18">
        <f t="shared" si="172"/>
        <v>0</v>
      </c>
      <c r="AW22" s="18">
        <f t="shared" si="172"/>
        <v>0</v>
      </c>
      <c r="AX22" s="12"/>
      <c r="AY22" s="68"/>
      <c r="AZ22" s="19"/>
      <c r="BA22" s="19"/>
      <c r="BB22" s="19"/>
      <c r="BC22" s="19"/>
      <c r="BD22" s="19"/>
      <c r="BE22" s="19"/>
      <c r="BF22" s="19"/>
      <c r="BG22" s="12"/>
      <c r="BH22" s="22"/>
      <c r="BI22" s="22"/>
      <c r="BJ22" s="22"/>
      <c r="BK22" s="22"/>
      <c r="BL22" s="22"/>
      <c r="BM22" s="23"/>
      <c r="BN22" s="12"/>
      <c r="BO22" s="18">
        <f t="shared" ref="BO22:BT22" si="173">+SUM(BO23:BO24)</f>
        <v>0</v>
      </c>
      <c r="BP22" s="18">
        <f t="shared" si="173"/>
        <v>0</v>
      </c>
      <c r="BQ22" s="18">
        <f t="shared" si="173"/>
        <v>0</v>
      </c>
      <c r="BR22" s="18">
        <f t="shared" si="173"/>
        <v>0</v>
      </c>
      <c r="BS22" s="18">
        <f t="shared" si="173"/>
        <v>0</v>
      </c>
      <c r="BT22" s="18">
        <f t="shared" si="173"/>
        <v>0</v>
      </c>
    </row>
    <row r="23" spans="1:72">
      <c r="A23" s="25" t="s">
        <v>120</v>
      </c>
      <c r="B23" s="21">
        <f t="shared" ref="B23" si="174">+I23+P23+W23+AD23+AK23+AR23</f>
        <v>138.90774069771993</v>
      </c>
      <c r="C23" s="21">
        <f t="shared" ref="C23" si="175">+J23+Q23+X23+AE23+AL23+AS23</f>
        <v>44.047976403335902</v>
      </c>
      <c r="D23" s="21">
        <f t="shared" ref="D23" si="176">+K23+R23+Y23+AF23+AM23+AT23</f>
        <v>4.894219600370656</v>
      </c>
      <c r="E23" s="21">
        <f t="shared" ref="E23" si="177">+L23+S23+Z23+AG23+AN23+AU23</f>
        <v>62.1500632985735</v>
      </c>
      <c r="F23" s="21">
        <f t="shared" ref="F23" si="178">+M23+T23+AA23+AH23+AO23+AV23</f>
        <v>0</v>
      </c>
      <c r="G23" s="21">
        <f t="shared" ref="G23" si="179">+SUM(B23:F23)</f>
        <v>250</v>
      </c>
      <c r="H23" s="18"/>
      <c r="I23" s="21">
        <f t="shared" ref="I23" si="180">+$AY23*$AZ23*BH23</f>
        <v>0</v>
      </c>
      <c r="J23" s="21">
        <f t="shared" ref="J23" si="181">+$AY23*$AZ23*BI23</f>
        <v>0</v>
      </c>
      <c r="K23" s="21">
        <f t="shared" ref="K23" si="182">+$AY23*$AZ23*BJ23</f>
        <v>0</v>
      </c>
      <c r="L23" s="21">
        <f t="shared" ref="L23" si="183">+$AY23*$AZ23*BK23</f>
        <v>0</v>
      </c>
      <c r="M23" s="21">
        <f t="shared" ref="M23" si="184">+$AY23*$AZ23*BL23</f>
        <v>0</v>
      </c>
      <c r="N23" s="21">
        <f t="shared" ref="N23" si="185">SUM(I23:M23)</f>
        <v>0</v>
      </c>
      <c r="O23" s="12"/>
      <c r="P23" s="21">
        <f t="shared" ref="P23" si="186">+$AY23*$BA23*BH23</f>
        <v>0</v>
      </c>
      <c r="Q23" s="21">
        <f t="shared" ref="Q23" si="187">+$AY23*$BA23*BI23</f>
        <v>0</v>
      </c>
      <c r="R23" s="21">
        <f t="shared" ref="R23" si="188">+$AY23*$BA23*BJ23</f>
        <v>0</v>
      </c>
      <c r="S23" s="21">
        <f t="shared" ref="S23" si="189">+$AY23*$BA23*BK23</f>
        <v>0</v>
      </c>
      <c r="T23" s="21">
        <f t="shared" ref="T23" si="190">+$AY23*$BA23*BL23</f>
        <v>0</v>
      </c>
      <c r="U23" s="21">
        <f t="shared" ref="U23" si="191">SUM(P23:T23)</f>
        <v>0</v>
      </c>
      <c r="V23" s="12"/>
      <c r="W23" s="21">
        <f t="shared" ref="W23" si="192">+$AY23*$BB23*BH23</f>
        <v>0</v>
      </c>
      <c r="X23" s="21">
        <f t="shared" ref="X23" si="193">+$AY23*$BB23*BI23</f>
        <v>0</v>
      </c>
      <c r="Y23" s="21">
        <f t="shared" ref="Y23" si="194">+$AY23*$BB23*BJ23</f>
        <v>0</v>
      </c>
      <c r="Z23" s="21">
        <f t="shared" ref="Z23" si="195">+$AY23*$BB23*BK23</f>
        <v>0</v>
      </c>
      <c r="AA23" s="21">
        <f t="shared" ref="AA23" si="196">+$AY23*$BB23*BL23</f>
        <v>0</v>
      </c>
      <c r="AB23" s="21">
        <f t="shared" ref="AB23" si="197">SUM(W23:AA23)</f>
        <v>0</v>
      </c>
      <c r="AC23" s="12"/>
      <c r="AD23" s="21">
        <f t="shared" ref="AD23" si="198">+$AY23*$BC23*BH23</f>
        <v>0</v>
      </c>
      <c r="AE23" s="21">
        <f t="shared" ref="AE23" si="199">+$AY23*$BC23*BI23</f>
        <v>0</v>
      </c>
      <c r="AF23" s="21">
        <f t="shared" ref="AF23" si="200">+$AY23*$BC23*BJ23</f>
        <v>0</v>
      </c>
      <c r="AG23" s="21">
        <f t="shared" ref="AG23" si="201">+$AY23*$BC23*BK23</f>
        <v>0</v>
      </c>
      <c r="AH23" s="21">
        <f t="shared" ref="AH23" si="202">+$AY23*$BC23*BL23</f>
        <v>0</v>
      </c>
      <c r="AI23" s="21">
        <f t="shared" ref="AI23" si="203">SUM(AD23:AH23)</f>
        <v>0</v>
      </c>
      <c r="AJ23" s="12"/>
      <c r="AK23" s="21">
        <f t="shared" ref="AK23" si="204">+$AY23*$BD23*BH23</f>
        <v>138.90774069771993</v>
      </c>
      <c r="AL23" s="21">
        <f t="shared" ref="AL23" si="205">+$AY23*$BD23*BI23</f>
        <v>44.047976403335902</v>
      </c>
      <c r="AM23" s="21">
        <f t="shared" ref="AM23" si="206">+$AY23*$BD23*BJ23</f>
        <v>4.894219600370656</v>
      </c>
      <c r="AN23" s="21">
        <f t="shared" ref="AN23" si="207">+$AY23*$BD23*BK23</f>
        <v>62.1500632985735</v>
      </c>
      <c r="AO23" s="21">
        <f t="shared" ref="AO23" si="208">+$AY23*$BD23*BL23</f>
        <v>0</v>
      </c>
      <c r="AP23" s="21">
        <f t="shared" ref="AP23" si="209">SUM(AK23:AO23)</f>
        <v>250</v>
      </c>
      <c r="AQ23" s="12"/>
      <c r="AR23" s="21">
        <f t="shared" ref="AR23" si="210">+$AY23*$BE23*BH23</f>
        <v>0</v>
      </c>
      <c r="AS23" s="21">
        <f t="shared" ref="AS23" si="211">+$AY23*$BE23*BI23</f>
        <v>0</v>
      </c>
      <c r="AT23" s="21">
        <f t="shared" ref="AT23" si="212">+$AY23*$BE23*BJ23</f>
        <v>0</v>
      </c>
      <c r="AU23" s="21">
        <f t="shared" ref="AU23" si="213">+$AY23*$BE23*BK23</f>
        <v>0</v>
      </c>
      <c r="AV23" s="21">
        <f t="shared" ref="AV23" si="214">+$AY23*$BE23*BL23</f>
        <v>0</v>
      </c>
      <c r="AW23" s="21">
        <f t="shared" ref="AW23" si="215">SUM(AR23:AV23)</f>
        <v>0</v>
      </c>
      <c r="AX23" s="12"/>
      <c r="AY23" s="68">
        <v>250</v>
      </c>
      <c r="AZ23" s="19">
        <v>0</v>
      </c>
      <c r="BA23" s="19">
        <v>0</v>
      </c>
      <c r="BB23" s="19">
        <v>0</v>
      </c>
      <c r="BC23" s="19">
        <v>0</v>
      </c>
      <c r="BD23" s="19">
        <v>1</v>
      </c>
      <c r="BE23" s="19">
        <v>0</v>
      </c>
      <c r="BF23" s="19">
        <f t="shared" ref="BF23" si="216">+SUM(AZ23:BE23)</f>
        <v>1</v>
      </c>
      <c r="BG23" s="12"/>
      <c r="BH23" s="22">
        <f t="shared" ref="BH23:BK26" si="217">+BH$1</f>
        <v>0.55563096279087976</v>
      </c>
      <c r="BI23" s="22">
        <f t="shared" si="217"/>
        <v>0.17619190561334361</v>
      </c>
      <c r="BJ23" s="22">
        <f t="shared" si="217"/>
        <v>1.9576878401482624E-2</v>
      </c>
      <c r="BK23" s="22">
        <f t="shared" si="217"/>
        <v>0.24860025319429399</v>
      </c>
      <c r="BL23" s="22">
        <f t="shared" ref="BL23:BL24" si="218">(100%-SUM(BH23:BK23))</f>
        <v>0</v>
      </c>
      <c r="BM23" s="23">
        <f t="shared" ref="BM23" si="219">+SUM(BH23:BL23)</f>
        <v>1</v>
      </c>
      <c r="BN23" s="12"/>
      <c r="BO23" s="21">
        <f t="shared" ref="BO23" si="220">+I23+P23+W23+AD23+AK23+AR23-B23</f>
        <v>0</v>
      </c>
      <c r="BP23" s="21">
        <f t="shared" ref="BP23" si="221">+J23+Q23+X23+AE23+AL23+AS23-C23</f>
        <v>0</v>
      </c>
      <c r="BQ23" s="21">
        <f t="shared" ref="BQ23" si="222">+K23+R23+Y23+AF23+AM23+AT23-D23</f>
        <v>0</v>
      </c>
      <c r="BR23" s="21">
        <f t="shared" ref="BR23" si="223">+L23+S23+Z23+AG23+AN23+AU23-E23</f>
        <v>0</v>
      </c>
      <c r="BS23" s="21">
        <f t="shared" ref="BS23" si="224">+M23+T23+AA23+AH23+AO23+AV23-F23</f>
        <v>0</v>
      </c>
      <c r="BT23" s="21">
        <f t="shared" ref="BT23" si="225">SUM(BO23:BS23)</f>
        <v>0</v>
      </c>
    </row>
    <row r="24" spans="1:72">
      <c r="A24" s="25" t="s">
        <v>121</v>
      </c>
      <c r="B24" s="21">
        <f t="shared" ref="B24" si="226">+I24+P24+W24+AD24+AK24+AR24</f>
        <v>138.90774069771993</v>
      </c>
      <c r="C24" s="21">
        <f t="shared" ref="C24" si="227">+J24+Q24+X24+AE24+AL24+AS24</f>
        <v>44.047976403335902</v>
      </c>
      <c r="D24" s="21">
        <f t="shared" ref="D24" si="228">+K24+R24+Y24+AF24+AM24+AT24</f>
        <v>4.894219600370656</v>
      </c>
      <c r="E24" s="21">
        <f t="shared" ref="E24" si="229">+L24+S24+Z24+AG24+AN24+AU24</f>
        <v>62.1500632985735</v>
      </c>
      <c r="F24" s="21">
        <f t="shared" ref="F24" si="230">+M24+T24+AA24+AH24+AO24+AV24</f>
        <v>0</v>
      </c>
      <c r="G24" s="21">
        <f t="shared" ref="G24" si="231">+SUM(B24:F24)</f>
        <v>250</v>
      </c>
      <c r="H24" s="18"/>
      <c r="I24" s="21">
        <f t="shared" ref="I24" si="232">+$AY24*$AZ24*BH24</f>
        <v>0</v>
      </c>
      <c r="J24" s="21">
        <f t="shared" ref="J24" si="233">+$AY24*$AZ24*BI24</f>
        <v>0</v>
      </c>
      <c r="K24" s="21">
        <f t="shared" ref="K24" si="234">+$AY24*$AZ24*BJ24</f>
        <v>0</v>
      </c>
      <c r="L24" s="21">
        <f t="shared" ref="L24" si="235">+$AY24*$AZ24*BK24</f>
        <v>0</v>
      </c>
      <c r="M24" s="21">
        <f t="shared" ref="M24" si="236">+$AY24*$AZ24*BL24</f>
        <v>0</v>
      </c>
      <c r="N24" s="21">
        <f t="shared" ref="N24" si="237">SUM(I24:M24)</f>
        <v>0</v>
      </c>
      <c r="O24" s="12"/>
      <c r="P24" s="21">
        <f t="shared" ref="P24" si="238">+$AY24*$BA24*BH24</f>
        <v>0</v>
      </c>
      <c r="Q24" s="21">
        <f t="shared" ref="Q24" si="239">+$AY24*$BA24*BI24</f>
        <v>0</v>
      </c>
      <c r="R24" s="21">
        <f t="shared" ref="R24" si="240">+$AY24*$BA24*BJ24</f>
        <v>0</v>
      </c>
      <c r="S24" s="21">
        <f t="shared" ref="S24" si="241">+$AY24*$BA24*BK24</f>
        <v>0</v>
      </c>
      <c r="T24" s="21">
        <f t="shared" ref="T24" si="242">+$AY24*$BA24*BL24</f>
        <v>0</v>
      </c>
      <c r="U24" s="21">
        <f t="shared" ref="U24" si="243">SUM(P24:T24)</f>
        <v>0</v>
      </c>
      <c r="V24" s="12"/>
      <c r="W24" s="21">
        <f t="shared" ref="W24" si="244">+$AY24*$BB24*BH24</f>
        <v>0</v>
      </c>
      <c r="X24" s="21">
        <f t="shared" ref="X24" si="245">+$AY24*$BB24*BI24</f>
        <v>0</v>
      </c>
      <c r="Y24" s="21">
        <f t="shared" ref="Y24" si="246">+$AY24*$BB24*BJ24</f>
        <v>0</v>
      </c>
      <c r="Z24" s="21">
        <f t="shared" ref="Z24" si="247">+$AY24*$BB24*BK24</f>
        <v>0</v>
      </c>
      <c r="AA24" s="21">
        <f t="shared" ref="AA24" si="248">+$AY24*$BB24*BL24</f>
        <v>0</v>
      </c>
      <c r="AB24" s="21">
        <f t="shared" ref="AB24" si="249">SUM(W24:AA24)</f>
        <v>0</v>
      </c>
      <c r="AC24" s="12"/>
      <c r="AD24" s="21">
        <f t="shared" ref="AD24" si="250">+$AY24*$BC24*BH24</f>
        <v>0</v>
      </c>
      <c r="AE24" s="21">
        <f t="shared" ref="AE24" si="251">+$AY24*$BC24*BI24</f>
        <v>0</v>
      </c>
      <c r="AF24" s="21">
        <f t="shared" ref="AF24" si="252">+$AY24*$BC24*BJ24</f>
        <v>0</v>
      </c>
      <c r="AG24" s="21">
        <f t="shared" ref="AG24" si="253">+$AY24*$BC24*BK24</f>
        <v>0</v>
      </c>
      <c r="AH24" s="21">
        <f t="shared" ref="AH24" si="254">+$AY24*$BC24*BL24</f>
        <v>0</v>
      </c>
      <c r="AI24" s="21">
        <f t="shared" ref="AI24" si="255">SUM(AD24:AH24)</f>
        <v>0</v>
      </c>
      <c r="AJ24" s="12"/>
      <c r="AK24" s="21">
        <f t="shared" ref="AK24" si="256">+$AY24*$BD24*BH24</f>
        <v>138.90774069771993</v>
      </c>
      <c r="AL24" s="21">
        <f t="shared" ref="AL24" si="257">+$AY24*$BD24*BI24</f>
        <v>44.047976403335902</v>
      </c>
      <c r="AM24" s="21">
        <f t="shared" ref="AM24" si="258">+$AY24*$BD24*BJ24</f>
        <v>4.894219600370656</v>
      </c>
      <c r="AN24" s="21">
        <f t="shared" ref="AN24" si="259">+$AY24*$BD24*BK24</f>
        <v>62.1500632985735</v>
      </c>
      <c r="AO24" s="21">
        <f t="shared" ref="AO24" si="260">+$AY24*$BD24*BL24</f>
        <v>0</v>
      </c>
      <c r="AP24" s="21">
        <f t="shared" ref="AP24" si="261">SUM(AK24:AO24)</f>
        <v>250</v>
      </c>
      <c r="AQ24" s="12"/>
      <c r="AR24" s="21">
        <f t="shared" ref="AR24" si="262">+$AY24*$BE24*BH24</f>
        <v>0</v>
      </c>
      <c r="AS24" s="21">
        <f t="shared" ref="AS24" si="263">+$AY24*$BE24*BI24</f>
        <v>0</v>
      </c>
      <c r="AT24" s="21">
        <f t="shared" ref="AT24" si="264">+$AY24*$BE24*BJ24</f>
        <v>0</v>
      </c>
      <c r="AU24" s="21">
        <f t="shared" ref="AU24" si="265">+$AY24*$BE24*BK24</f>
        <v>0</v>
      </c>
      <c r="AV24" s="21">
        <f t="shared" ref="AV24" si="266">+$AY24*$BE24*BL24</f>
        <v>0</v>
      </c>
      <c r="AW24" s="21">
        <f t="shared" ref="AW24" si="267">SUM(AR24:AV24)</f>
        <v>0</v>
      </c>
      <c r="AX24" s="12"/>
      <c r="AY24" s="68">
        <v>250</v>
      </c>
      <c r="AZ24" s="19">
        <v>0</v>
      </c>
      <c r="BA24" s="19">
        <v>0</v>
      </c>
      <c r="BB24" s="19">
        <v>0</v>
      </c>
      <c r="BC24" s="19">
        <v>0</v>
      </c>
      <c r="BD24" s="19">
        <v>1</v>
      </c>
      <c r="BE24" s="19">
        <v>0</v>
      </c>
      <c r="BF24" s="19">
        <f t="shared" ref="BF24" si="268">+SUM(AZ24:BE24)</f>
        <v>1</v>
      </c>
      <c r="BG24" s="12"/>
      <c r="BH24" s="22">
        <f t="shared" si="217"/>
        <v>0.55563096279087976</v>
      </c>
      <c r="BI24" s="22">
        <f t="shared" si="217"/>
        <v>0.17619190561334361</v>
      </c>
      <c r="BJ24" s="22">
        <f t="shared" si="217"/>
        <v>1.9576878401482624E-2</v>
      </c>
      <c r="BK24" s="22">
        <f t="shared" si="217"/>
        <v>0.24860025319429399</v>
      </c>
      <c r="BL24" s="22">
        <f t="shared" si="218"/>
        <v>0</v>
      </c>
      <c r="BM24" s="23">
        <f t="shared" ref="BM24" si="269">+SUM(BH24:BL24)</f>
        <v>1</v>
      </c>
      <c r="BN24" s="12"/>
      <c r="BO24" s="21">
        <f t="shared" ref="BO24" si="270">+I24+P24+W24+AD24+AK24+AR24-B24</f>
        <v>0</v>
      </c>
      <c r="BP24" s="21">
        <f t="shared" ref="BP24" si="271">+J24+Q24+X24+AE24+AL24+AS24-C24</f>
        <v>0</v>
      </c>
      <c r="BQ24" s="21">
        <f t="shared" ref="BQ24" si="272">+K24+R24+Y24+AF24+AM24+AT24-D24</f>
        <v>0</v>
      </c>
      <c r="BR24" s="21">
        <f t="shared" ref="BR24" si="273">+L24+S24+Z24+AG24+AN24+AU24-E24</f>
        <v>0</v>
      </c>
      <c r="BS24" s="21">
        <f t="shared" ref="BS24" si="274">+M24+T24+AA24+AH24+AO24+AV24-F24</f>
        <v>0</v>
      </c>
      <c r="BT24" s="21">
        <f t="shared" ref="BT24" si="275">SUM(BO24:BS24)</f>
        <v>0</v>
      </c>
    </row>
    <row r="25" spans="1:72">
      <c r="A25" s="17" t="s">
        <v>33</v>
      </c>
      <c r="B25" s="18">
        <f t="shared" ref="B25:G25" si="276">+SUM(B26:B27)</f>
        <v>586.40448594930001</v>
      </c>
      <c r="C25" s="18">
        <f t="shared" si="276"/>
        <v>185.95026331984005</v>
      </c>
      <c r="D25" s="18">
        <f t="shared" si="276"/>
        <v>20.661140368871116</v>
      </c>
      <c r="E25" s="18">
        <f t="shared" si="276"/>
        <v>262.36893449750465</v>
      </c>
      <c r="F25" s="18">
        <f t="shared" si="276"/>
        <v>5795.5151758644843</v>
      </c>
      <c r="G25" s="18">
        <f t="shared" si="276"/>
        <v>6850.9</v>
      </c>
      <c r="H25" s="18"/>
      <c r="I25" s="18">
        <f t="shared" ref="I25:N25" si="277">+SUM(I26:I27)</f>
        <v>0</v>
      </c>
      <c r="J25" s="18">
        <f t="shared" si="277"/>
        <v>0</v>
      </c>
      <c r="K25" s="18">
        <f t="shared" si="277"/>
        <v>0</v>
      </c>
      <c r="L25" s="18">
        <f t="shared" si="277"/>
        <v>0</v>
      </c>
      <c r="M25" s="18">
        <f t="shared" si="277"/>
        <v>0</v>
      </c>
      <c r="N25" s="18">
        <f t="shared" si="277"/>
        <v>0</v>
      </c>
      <c r="O25" s="12"/>
      <c r="P25" s="18">
        <f t="shared" ref="P25:U25" si="278">+SUM(P26:P27)</f>
        <v>0</v>
      </c>
      <c r="Q25" s="18">
        <f t="shared" si="278"/>
        <v>0</v>
      </c>
      <c r="R25" s="18">
        <f t="shared" si="278"/>
        <v>0</v>
      </c>
      <c r="S25" s="18">
        <f t="shared" si="278"/>
        <v>0</v>
      </c>
      <c r="T25" s="18">
        <f t="shared" si="278"/>
        <v>0</v>
      </c>
      <c r="U25" s="18">
        <f t="shared" si="278"/>
        <v>0</v>
      </c>
      <c r="V25" s="12"/>
      <c r="W25" s="18">
        <f t="shared" ref="W25:AB25" si="279">+SUM(W26:W27)</f>
        <v>0</v>
      </c>
      <c r="X25" s="18">
        <f t="shared" si="279"/>
        <v>0</v>
      </c>
      <c r="Y25" s="18">
        <f t="shared" si="279"/>
        <v>0</v>
      </c>
      <c r="Z25" s="18">
        <f t="shared" si="279"/>
        <v>0</v>
      </c>
      <c r="AA25" s="18">
        <f t="shared" si="279"/>
        <v>0</v>
      </c>
      <c r="AB25" s="18">
        <f t="shared" si="279"/>
        <v>0</v>
      </c>
      <c r="AC25" s="12"/>
      <c r="AD25" s="18">
        <f t="shared" ref="AD25:AI25" si="280">+SUM(AD26:AD27)</f>
        <v>293.20224297465001</v>
      </c>
      <c r="AE25" s="18">
        <f t="shared" si="280"/>
        <v>92.975131659920024</v>
      </c>
      <c r="AF25" s="18">
        <f t="shared" si="280"/>
        <v>10.330570184435558</v>
      </c>
      <c r="AG25" s="18">
        <f t="shared" si="280"/>
        <v>131.18446724875233</v>
      </c>
      <c r="AH25" s="18">
        <f t="shared" si="280"/>
        <v>2897.7575879322421</v>
      </c>
      <c r="AI25" s="18">
        <f t="shared" si="280"/>
        <v>3425.45</v>
      </c>
      <c r="AJ25" s="12"/>
      <c r="AK25" s="18">
        <f t="shared" ref="AK25:AP25" si="281">+SUM(AK26:AK27)</f>
        <v>293.20224297465001</v>
      </c>
      <c r="AL25" s="18">
        <f t="shared" si="281"/>
        <v>92.975131659920024</v>
      </c>
      <c r="AM25" s="18">
        <f t="shared" si="281"/>
        <v>10.330570184435558</v>
      </c>
      <c r="AN25" s="18">
        <f t="shared" si="281"/>
        <v>131.18446724875233</v>
      </c>
      <c r="AO25" s="18">
        <f t="shared" si="281"/>
        <v>2897.7575879322421</v>
      </c>
      <c r="AP25" s="18">
        <f t="shared" si="281"/>
        <v>3425.45</v>
      </c>
      <c r="AQ25" s="12"/>
      <c r="AR25" s="18">
        <f t="shared" ref="AR25:AW25" si="282">+SUM(AR26:AR27)</f>
        <v>0</v>
      </c>
      <c r="AS25" s="18">
        <f t="shared" si="282"/>
        <v>0</v>
      </c>
      <c r="AT25" s="18">
        <f t="shared" si="282"/>
        <v>0</v>
      </c>
      <c r="AU25" s="18">
        <f t="shared" si="282"/>
        <v>0</v>
      </c>
      <c r="AV25" s="18">
        <f t="shared" si="282"/>
        <v>0</v>
      </c>
      <c r="AW25" s="18">
        <f t="shared" si="282"/>
        <v>0</v>
      </c>
      <c r="AX25" s="12"/>
      <c r="AY25" s="68"/>
      <c r="AZ25" s="19"/>
      <c r="BA25" s="19"/>
      <c r="BB25" s="19"/>
      <c r="BC25" s="19"/>
      <c r="BD25" s="19"/>
      <c r="BE25" s="19"/>
      <c r="BF25" s="19"/>
      <c r="BG25" s="12"/>
      <c r="BH25" s="22"/>
      <c r="BI25" s="22"/>
      <c r="BJ25" s="22"/>
      <c r="BK25" s="22"/>
      <c r="BL25" s="22"/>
      <c r="BM25" s="23"/>
      <c r="BN25" s="12"/>
      <c r="BO25" s="18">
        <f>+SUM(BO26:BO27)</f>
        <v>0</v>
      </c>
      <c r="BP25" s="18">
        <f t="shared" ref="BP25:BS25" si="283">+SUM(BP26:BP27)</f>
        <v>0</v>
      </c>
      <c r="BQ25" s="18">
        <f t="shared" si="283"/>
        <v>0</v>
      </c>
      <c r="BR25" s="18">
        <f t="shared" si="283"/>
        <v>0</v>
      </c>
      <c r="BS25" s="18">
        <f t="shared" si="283"/>
        <v>0</v>
      </c>
      <c r="BT25" s="18">
        <f>+SUM(BT26:BT27)</f>
        <v>0</v>
      </c>
    </row>
    <row r="26" spans="1:72">
      <c r="A26" s="20" t="s">
        <v>35</v>
      </c>
      <c r="B26" s="21">
        <f t="shared" ref="B26:F27" si="284">+I26+P26+W26+AD26+AK26+AR26</f>
        <v>586.40448594930001</v>
      </c>
      <c r="C26" s="21">
        <f t="shared" si="284"/>
        <v>185.95026331984005</v>
      </c>
      <c r="D26" s="21">
        <f t="shared" si="284"/>
        <v>20.661140368871116</v>
      </c>
      <c r="E26" s="21">
        <f t="shared" si="284"/>
        <v>262.36893449750465</v>
      </c>
      <c r="F26" s="21">
        <f t="shared" si="284"/>
        <v>0</v>
      </c>
      <c r="G26" s="21">
        <f>+SUM(B26:F26)</f>
        <v>1055.3848241355158</v>
      </c>
      <c r="H26" s="21"/>
      <c r="I26" s="21">
        <f t="shared" ref="I26:M27" si="285">+$AY26*$AZ26*BH26</f>
        <v>0</v>
      </c>
      <c r="J26" s="21">
        <f t="shared" si="285"/>
        <v>0</v>
      </c>
      <c r="K26" s="21">
        <f t="shared" si="285"/>
        <v>0</v>
      </c>
      <c r="L26" s="21">
        <f t="shared" si="285"/>
        <v>0</v>
      </c>
      <c r="M26" s="21">
        <f t="shared" si="285"/>
        <v>0</v>
      </c>
      <c r="N26" s="21">
        <f>SUM(I26:M26)</f>
        <v>0</v>
      </c>
      <c r="O26" s="12"/>
      <c r="P26" s="21">
        <f t="shared" ref="P26:T27" si="286">+$AY26*$BA26*BH26</f>
        <v>0</v>
      </c>
      <c r="Q26" s="21">
        <f t="shared" si="286"/>
        <v>0</v>
      </c>
      <c r="R26" s="21">
        <f t="shared" si="286"/>
        <v>0</v>
      </c>
      <c r="S26" s="21">
        <f t="shared" si="286"/>
        <v>0</v>
      </c>
      <c r="T26" s="21">
        <f t="shared" si="286"/>
        <v>0</v>
      </c>
      <c r="U26" s="21">
        <f>SUM(P26:T26)</f>
        <v>0</v>
      </c>
      <c r="V26" s="12"/>
      <c r="W26" s="21">
        <f t="shared" ref="W26:AA27" si="287">+$AY26*$BB26*BH26</f>
        <v>0</v>
      </c>
      <c r="X26" s="21">
        <f t="shared" si="287"/>
        <v>0</v>
      </c>
      <c r="Y26" s="21">
        <f t="shared" si="287"/>
        <v>0</v>
      </c>
      <c r="Z26" s="21">
        <f t="shared" si="287"/>
        <v>0</v>
      </c>
      <c r="AA26" s="21">
        <f t="shared" si="287"/>
        <v>0</v>
      </c>
      <c r="AB26" s="21">
        <f>SUM(W26:AA26)</f>
        <v>0</v>
      </c>
      <c r="AC26" s="12"/>
      <c r="AD26" s="21">
        <f t="shared" ref="AD26:AH27" si="288">+$AY26*$BC26*BH26</f>
        <v>293.20224297465001</v>
      </c>
      <c r="AE26" s="21">
        <f t="shared" si="288"/>
        <v>92.975131659920024</v>
      </c>
      <c r="AF26" s="21">
        <f t="shared" si="288"/>
        <v>10.330570184435558</v>
      </c>
      <c r="AG26" s="21">
        <f t="shared" si="288"/>
        <v>131.18446724875233</v>
      </c>
      <c r="AH26" s="21">
        <f t="shared" si="288"/>
        <v>0</v>
      </c>
      <c r="AI26" s="21">
        <f>SUM(AD26:AH26)</f>
        <v>527.69241206775791</v>
      </c>
      <c r="AJ26" s="12"/>
      <c r="AK26" s="21">
        <f t="shared" ref="AK26:AO27" si="289">+$AY26*$BD26*BH26</f>
        <v>293.20224297465001</v>
      </c>
      <c r="AL26" s="21">
        <f t="shared" si="289"/>
        <v>92.975131659920024</v>
      </c>
      <c r="AM26" s="21">
        <f t="shared" si="289"/>
        <v>10.330570184435558</v>
      </c>
      <c r="AN26" s="21">
        <f t="shared" si="289"/>
        <v>131.18446724875233</v>
      </c>
      <c r="AO26" s="21">
        <f t="shared" si="289"/>
        <v>0</v>
      </c>
      <c r="AP26" s="21">
        <f>SUM(AK26:AO26)</f>
        <v>527.69241206775791</v>
      </c>
      <c r="AQ26" s="12"/>
      <c r="AR26" s="21">
        <f t="shared" ref="AR26:AV27" si="290">+$AY26*$BE26*BH26</f>
        <v>0</v>
      </c>
      <c r="AS26" s="21">
        <f t="shared" si="290"/>
        <v>0</v>
      </c>
      <c r="AT26" s="21">
        <f t="shared" si="290"/>
        <v>0</v>
      </c>
      <c r="AU26" s="21">
        <f t="shared" si="290"/>
        <v>0</v>
      </c>
      <c r="AV26" s="21">
        <f t="shared" si="290"/>
        <v>0</v>
      </c>
      <c r="AW26" s="21">
        <f>SUM(AR26:AV26)</f>
        <v>0</v>
      </c>
      <c r="AX26" s="163">
        <v>3.0814155449212143E-2</v>
      </c>
      <c r="AY26" s="68">
        <f>SUM($AY$13:$AY$24)*AX26</f>
        <v>1055.3848241355158</v>
      </c>
      <c r="AZ26" s="19">
        <v>0</v>
      </c>
      <c r="BA26" s="19">
        <v>0</v>
      </c>
      <c r="BB26" s="19">
        <v>0</v>
      </c>
      <c r="BC26" s="19">
        <v>0.5</v>
      </c>
      <c r="BD26" s="19">
        <v>0.5</v>
      </c>
      <c r="BE26" s="19">
        <v>0</v>
      </c>
      <c r="BF26" s="19">
        <f>+SUM(AZ26:BE26)</f>
        <v>1</v>
      </c>
      <c r="BG26" s="12"/>
      <c r="BH26" s="22">
        <f t="shared" si="217"/>
        <v>0.55563096279087976</v>
      </c>
      <c r="BI26" s="22">
        <f t="shared" si="217"/>
        <v>0.17619190561334361</v>
      </c>
      <c r="BJ26" s="22">
        <f t="shared" si="217"/>
        <v>1.9576878401482624E-2</v>
      </c>
      <c r="BK26" s="22">
        <f t="shared" si="217"/>
        <v>0.24860025319429399</v>
      </c>
      <c r="BL26" s="22">
        <f>(100%-SUM(BH26:BK26))</f>
        <v>0</v>
      </c>
      <c r="BM26" s="23">
        <f>+SUM(BH26:BL26)</f>
        <v>1</v>
      </c>
      <c r="BN26" s="12"/>
      <c r="BO26" s="21">
        <f>+I26+P26+W26+AD26+AK26+AR26-B26</f>
        <v>0</v>
      </c>
      <c r="BP26" s="21">
        <f t="shared" ref="BP26:BS27" si="291">+J26+Q26+X26+AE26+AL26+AS26-C26</f>
        <v>0</v>
      </c>
      <c r="BQ26" s="21">
        <f t="shared" si="291"/>
        <v>0</v>
      </c>
      <c r="BR26" s="21">
        <f t="shared" si="291"/>
        <v>0</v>
      </c>
      <c r="BS26" s="21">
        <f t="shared" si="291"/>
        <v>0</v>
      </c>
      <c r="BT26" s="21">
        <f>SUM(BO26:BS26)</f>
        <v>0</v>
      </c>
    </row>
    <row r="27" spans="1:72">
      <c r="A27" s="20" t="s">
        <v>172</v>
      </c>
      <c r="B27" s="21">
        <f t="shared" si="284"/>
        <v>0</v>
      </c>
      <c r="C27" s="21">
        <f t="shared" si="284"/>
        <v>0</v>
      </c>
      <c r="D27" s="21">
        <f t="shared" si="284"/>
        <v>0</v>
      </c>
      <c r="E27" s="21">
        <f t="shared" si="284"/>
        <v>0</v>
      </c>
      <c r="F27" s="21">
        <f t="shared" si="284"/>
        <v>5795.5151758644843</v>
      </c>
      <c r="G27" s="21">
        <f>+SUM(B27:F27)</f>
        <v>5795.5151758644843</v>
      </c>
      <c r="H27" s="21"/>
      <c r="I27" s="21">
        <f t="shared" si="285"/>
        <v>0</v>
      </c>
      <c r="J27" s="21">
        <f t="shared" si="285"/>
        <v>0</v>
      </c>
      <c r="K27" s="21">
        <f t="shared" si="285"/>
        <v>0</v>
      </c>
      <c r="L27" s="21">
        <f t="shared" si="285"/>
        <v>0</v>
      </c>
      <c r="M27" s="21">
        <f t="shared" si="285"/>
        <v>0</v>
      </c>
      <c r="N27" s="21">
        <f>SUM(I27:M27)</f>
        <v>0</v>
      </c>
      <c r="O27" s="12"/>
      <c r="P27" s="21">
        <f t="shared" si="286"/>
        <v>0</v>
      </c>
      <c r="Q27" s="21">
        <f t="shared" si="286"/>
        <v>0</v>
      </c>
      <c r="R27" s="21">
        <f t="shared" si="286"/>
        <v>0</v>
      </c>
      <c r="S27" s="21">
        <f t="shared" si="286"/>
        <v>0</v>
      </c>
      <c r="T27" s="21">
        <f t="shared" si="286"/>
        <v>0</v>
      </c>
      <c r="U27" s="21">
        <f>SUM(P27:T27)</f>
        <v>0</v>
      </c>
      <c r="V27" s="12"/>
      <c r="W27" s="21">
        <f t="shared" si="287"/>
        <v>0</v>
      </c>
      <c r="X27" s="21">
        <f t="shared" si="287"/>
        <v>0</v>
      </c>
      <c r="Y27" s="21">
        <f t="shared" si="287"/>
        <v>0</v>
      </c>
      <c r="Z27" s="21">
        <f t="shared" si="287"/>
        <v>0</v>
      </c>
      <c r="AA27" s="21">
        <f t="shared" si="287"/>
        <v>0</v>
      </c>
      <c r="AB27" s="21">
        <f>SUM(W27:AA27)</f>
        <v>0</v>
      </c>
      <c r="AC27" s="12"/>
      <c r="AD27" s="21">
        <f t="shared" si="288"/>
        <v>0</v>
      </c>
      <c r="AE27" s="21">
        <f t="shared" si="288"/>
        <v>0</v>
      </c>
      <c r="AF27" s="21">
        <f t="shared" si="288"/>
        <v>0</v>
      </c>
      <c r="AG27" s="21">
        <f t="shared" si="288"/>
        <v>0</v>
      </c>
      <c r="AH27" s="21">
        <f t="shared" si="288"/>
        <v>2897.7575879322421</v>
      </c>
      <c r="AI27" s="21">
        <f>SUM(AD27:AH27)</f>
        <v>2897.7575879322421</v>
      </c>
      <c r="AJ27" s="12"/>
      <c r="AK27" s="21">
        <f t="shared" si="289"/>
        <v>0</v>
      </c>
      <c r="AL27" s="21">
        <f t="shared" si="289"/>
        <v>0</v>
      </c>
      <c r="AM27" s="21">
        <f t="shared" si="289"/>
        <v>0</v>
      </c>
      <c r="AN27" s="21">
        <f t="shared" si="289"/>
        <v>0</v>
      </c>
      <c r="AO27" s="21">
        <f t="shared" si="289"/>
        <v>2897.7575879322421</v>
      </c>
      <c r="AP27" s="21">
        <f>SUM(AK27:AO27)</f>
        <v>2897.7575879322421</v>
      </c>
      <c r="AQ27" s="12"/>
      <c r="AR27" s="21">
        <f t="shared" si="290"/>
        <v>0</v>
      </c>
      <c r="AS27" s="21">
        <f t="shared" si="290"/>
        <v>0</v>
      </c>
      <c r="AT27" s="21">
        <f t="shared" si="290"/>
        <v>0</v>
      </c>
      <c r="AU27" s="21">
        <f t="shared" si="290"/>
        <v>0</v>
      </c>
      <c r="AV27" s="21">
        <f t="shared" si="290"/>
        <v>0</v>
      </c>
      <c r="AW27" s="21">
        <f>SUM(AR27:AV27)</f>
        <v>0</v>
      </c>
      <c r="AX27" s="163">
        <f>0.2-AX26</f>
        <v>0.16918584455078786</v>
      </c>
      <c r="AY27" s="68">
        <f>SUM($AY$13:$AY$24)*AX27+0.9</f>
        <v>5795.5151758644843</v>
      </c>
      <c r="AZ27" s="19">
        <v>0</v>
      </c>
      <c r="BA27" s="19">
        <v>0</v>
      </c>
      <c r="BB27" s="19">
        <v>0</v>
      </c>
      <c r="BC27" s="19">
        <v>0.5</v>
      </c>
      <c r="BD27" s="19">
        <v>0.5</v>
      </c>
      <c r="BE27" s="19">
        <v>0</v>
      </c>
      <c r="BF27" s="19">
        <f>+SUM(AZ27:BE27)</f>
        <v>1</v>
      </c>
      <c r="BG27" s="12"/>
      <c r="BH27" s="22">
        <v>0</v>
      </c>
      <c r="BI27" s="22">
        <v>0</v>
      </c>
      <c r="BJ27" s="22">
        <v>0</v>
      </c>
      <c r="BK27" s="22">
        <v>0</v>
      </c>
      <c r="BL27" s="22">
        <f>(1-SUM(BH27:BH27))</f>
        <v>1</v>
      </c>
      <c r="BM27" s="23">
        <f>+SUM(BH27:BL27)</f>
        <v>1</v>
      </c>
      <c r="BN27" s="12"/>
      <c r="BO27" s="21">
        <f>+I27+P27+W27+AD27+AK27+AR27-B27</f>
        <v>0</v>
      </c>
      <c r="BP27" s="21">
        <f t="shared" si="291"/>
        <v>0</v>
      </c>
      <c r="BQ27" s="21">
        <f t="shared" si="291"/>
        <v>0</v>
      </c>
      <c r="BR27" s="21">
        <f t="shared" si="291"/>
        <v>0</v>
      </c>
      <c r="BS27" s="21">
        <f t="shared" si="291"/>
        <v>0</v>
      </c>
      <c r="BT27" s="21">
        <f>SUM(BO27:BS27)</f>
        <v>0</v>
      </c>
    </row>
    <row r="28" spans="1:72">
      <c r="A28" s="24" t="s">
        <v>122</v>
      </c>
      <c r="B28" s="18">
        <f t="shared" ref="B28:G28" si="292">SUM(B29:B29)</f>
        <v>1383.5389918831488</v>
      </c>
      <c r="C28" s="18">
        <f t="shared" si="292"/>
        <v>0</v>
      </c>
      <c r="D28" s="18">
        <f t="shared" si="292"/>
        <v>0</v>
      </c>
      <c r="E28" s="18">
        <f t="shared" si="292"/>
        <v>0</v>
      </c>
      <c r="F28" s="18">
        <f t="shared" si="292"/>
        <v>90.859314475024547</v>
      </c>
      <c r="G28" s="18">
        <f t="shared" si="292"/>
        <v>1474.3983063581734</v>
      </c>
      <c r="H28" s="18"/>
      <c r="I28" s="18">
        <f t="shared" ref="I28:N28" si="293">SUM(I29:I29)</f>
        <v>3.9354464586634204</v>
      </c>
      <c r="J28" s="18">
        <f t="shared" si="293"/>
        <v>0</v>
      </c>
      <c r="K28" s="18">
        <f t="shared" si="293"/>
        <v>0</v>
      </c>
      <c r="L28" s="18">
        <f t="shared" si="293"/>
        <v>0</v>
      </c>
      <c r="M28" s="18">
        <f t="shared" si="293"/>
        <v>26.488093136406324</v>
      </c>
      <c r="N28" s="18">
        <f t="shared" si="293"/>
        <v>30.423539595069744</v>
      </c>
      <c r="O28" s="12"/>
      <c r="P28" s="18">
        <f t="shared" ref="P28:U28" si="294">SUM(P29:P29)</f>
        <v>16.257228634990732</v>
      </c>
      <c r="Q28" s="18">
        <f t="shared" si="294"/>
        <v>0</v>
      </c>
      <c r="R28" s="18">
        <f t="shared" si="294"/>
        <v>0</v>
      </c>
      <c r="S28" s="18">
        <f t="shared" si="294"/>
        <v>0</v>
      </c>
      <c r="T28" s="18">
        <f t="shared" si="294"/>
        <v>26.112429045664634</v>
      </c>
      <c r="U28" s="18">
        <f t="shared" si="294"/>
        <v>42.369657680655365</v>
      </c>
      <c r="V28" s="12"/>
      <c r="W28" s="18">
        <f t="shared" ref="W28:AB28" si="295">SUM(W29:W29)</f>
        <v>118.45816059941625</v>
      </c>
      <c r="X28" s="18">
        <f t="shared" si="295"/>
        <v>0</v>
      </c>
      <c r="Y28" s="18">
        <f t="shared" si="295"/>
        <v>0</v>
      </c>
      <c r="Z28" s="18">
        <f t="shared" si="295"/>
        <v>0</v>
      </c>
      <c r="AA28" s="18">
        <f t="shared" si="295"/>
        <v>22.996546973578493</v>
      </c>
      <c r="AB28" s="18">
        <f t="shared" si="295"/>
        <v>141.45470757299475</v>
      </c>
      <c r="AC28" s="12"/>
      <c r="AD28" s="18">
        <f t="shared" ref="AD28:AI28" si="296">SUM(AD29:AD29)</f>
        <v>457.32604197338605</v>
      </c>
      <c r="AE28" s="18">
        <f t="shared" si="296"/>
        <v>0</v>
      </c>
      <c r="AF28" s="18">
        <f t="shared" si="296"/>
        <v>0</v>
      </c>
      <c r="AG28" s="18">
        <f t="shared" si="296"/>
        <v>0</v>
      </c>
      <c r="AH28" s="18">
        <f t="shared" si="296"/>
        <v>12.665209126811121</v>
      </c>
      <c r="AI28" s="18">
        <f t="shared" si="296"/>
        <v>469.99125110019719</v>
      </c>
      <c r="AJ28" s="12"/>
      <c r="AK28" s="18">
        <f t="shared" ref="AK28:AP28" si="297">SUM(AK29:AK29)</f>
        <v>787.56211421669241</v>
      </c>
      <c r="AL28" s="18">
        <f t="shared" si="297"/>
        <v>0</v>
      </c>
      <c r="AM28" s="18">
        <f t="shared" si="297"/>
        <v>0</v>
      </c>
      <c r="AN28" s="18">
        <f t="shared" si="297"/>
        <v>0</v>
      </c>
      <c r="AO28" s="18">
        <f t="shared" si="297"/>
        <v>2.5970361925639747</v>
      </c>
      <c r="AP28" s="18">
        <f t="shared" si="297"/>
        <v>790.15915040925643</v>
      </c>
      <c r="AQ28" s="12"/>
      <c r="AR28" s="18">
        <f t="shared" ref="AR28:AW28" si="298">SUM(AR29:AR29)</f>
        <v>0</v>
      </c>
      <c r="AS28" s="18">
        <f t="shared" si="298"/>
        <v>0</v>
      </c>
      <c r="AT28" s="18">
        <f t="shared" si="298"/>
        <v>0</v>
      </c>
      <c r="AU28" s="18">
        <f t="shared" si="298"/>
        <v>0</v>
      </c>
      <c r="AV28" s="18">
        <f t="shared" si="298"/>
        <v>0</v>
      </c>
      <c r="AW28" s="18">
        <f t="shared" si="298"/>
        <v>0</v>
      </c>
      <c r="AX28" s="12"/>
      <c r="AY28" s="69"/>
      <c r="AZ28" s="18"/>
      <c r="BA28" s="18"/>
      <c r="BB28" s="18"/>
      <c r="BC28" s="18"/>
      <c r="BD28" s="18"/>
      <c r="BE28" s="18"/>
      <c r="BF28" s="12"/>
      <c r="BG28" s="12"/>
      <c r="BH28" s="12"/>
      <c r="BI28" s="12"/>
      <c r="BJ28" s="12"/>
      <c r="BK28" s="12"/>
      <c r="BL28" s="12"/>
      <c r="BM28" s="12"/>
      <c r="BN28" s="12"/>
      <c r="BO28" s="18">
        <f>SUM(BO29:BO29)</f>
        <v>0</v>
      </c>
      <c r="BP28" s="18">
        <f t="shared" ref="BP28:BS28" si="299">SUM(BP29:BP29)</f>
        <v>0</v>
      </c>
      <c r="BQ28" s="18">
        <f t="shared" si="299"/>
        <v>0</v>
      </c>
      <c r="BR28" s="18">
        <f t="shared" si="299"/>
        <v>0</v>
      </c>
      <c r="BS28" s="18">
        <f t="shared" si="299"/>
        <v>0</v>
      </c>
      <c r="BT28" s="18">
        <f>SUM(BT29:BT29)</f>
        <v>0</v>
      </c>
    </row>
    <row r="29" spans="1:72">
      <c r="A29" s="26" t="s">
        <v>123</v>
      </c>
      <c r="B29" s="21">
        <f>I29+P29+W29+AD29+AK29</f>
        <v>1383.5389918831488</v>
      </c>
      <c r="C29" s="21">
        <v>0</v>
      </c>
      <c r="D29" s="21">
        <v>0</v>
      </c>
      <c r="E29" s="21">
        <v>0</v>
      </c>
      <c r="F29" s="21">
        <f>M29+T29+AA29+AH29+AO29</f>
        <v>90.859314475024547</v>
      </c>
      <c r="G29" s="21">
        <f>+SUM(B29:F29)</f>
        <v>1474.3983063581734</v>
      </c>
      <c r="H29" s="21"/>
      <c r="I29" s="21">
        <f>+$F69</f>
        <v>3.9354464586634204</v>
      </c>
      <c r="J29" s="21">
        <v>0</v>
      </c>
      <c r="K29" s="21">
        <v>0</v>
      </c>
      <c r="L29" s="21">
        <v>0</v>
      </c>
      <c r="M29" s="21">
        <f>+$F71</f>
        <v>26.488093136406324</v>
      </c>
      <c r="N29" s="21">
        <f>SUM(I29:M29)</f>
        <v>30.423539595069744</v>
      </c>
      <c r="O29" s="12"/>
      <c r="P29" s="21">
        <f>+$G69</f>
        <v>16.257228634990732</v>
      </c>
      <c r="Q29" s="21">
        <v>0</v>
      </c>
      <c r="R29" s="21">
        <v>0</v>
      </c>
      <c r="S29" s="21">
        <v>0</v>
      </c>
      <c r="T29" s="21">
        <f>+$G71</f>
        <v>26.112429045664634</v>
      </c>
      <c r="U29" s="21">
        <f>SUM(P29:T29)</f>
        <v>42.369657680655365</v>
      </c>
      <c r="V29" s="12"/>
      <c r="W29" s="21">
        <f>+$H69</f>
        <v>118.45816059941625</v>
      </c>
      <c r="X29" s="21">
        <v>0</v>
      </c>
      <c r="Y29" s="21">
        <v>0</v>
      </c>
      <c r="Z29" s="21">
        <v>0</v>
      </c>
      <c r="AA29" s="21">
        <f>+$H71</f>
        <v>22.996546973578493</v>
      </c>
      <c r="AB29" s="21">
        <f>SUM(W29:AA29)</f>
        <v>141.45470757299475</v>
      </c>
      <c r="AC29" s="12"/>
      <c r="AD29" s="21">
        <f>+$I69</f>
        <v>457.32604197338605</v>
      </c>
      <c r="AE29" s="21">
        <v>0</v>
      </c>
      <c r="AF29" s="21">
        <v>0</v>
      </c>
      <c r="AG29" s="21">
        <v>0</v>
      </c>
      <c r="AH29" s="21">
        <f>+$I71</f>
        <v>12.665209126811121</v>
      </c>
      <c r="AI29" s="21">
        <f>SUM(AD29:AH29)</f>
        <v>469.99125110019719</v>
      </c>
      <c r="AJ29" s="12"/>
      <c r="AK29" s="21">
        <f>+$J69</f>
        <v>787.56211421669241</v>
      </c>
      <c r="AL29" s="21">
        <v>0</v>
      </c>
      <c r="AM29" s="21">
        <v>0</v>
      </c>
      <c r="AN29" s="21">
        <v>0</v>
      </c>
      <c r="AO29" s="21">
        <f>+$J71</f>
        <v>2.5970361925639747</v>
      </c>
      <c r="AP29" s="21">
        <f>SUM(AK29:AO29)</f>
        <v>790.15915040925643</v>
      </c>
      <c r="AQ29" s="12"/>
      <c r="AR29" s="21">
        <f>+$K69</f>
        <v>0</v>
      </c>
      <c r="AS29" s="21">
        <v>0</v>
      </c>
      <c r="AT29" s="21">
        <v>0</v>
      </c>
      <c r="AU29" s="21">
        <v>0</v>
      </c>
      <c r="AV29" s="21">
        <f>+$K71</f>
        <v>0</v>
      </c>
      <c r="AW29" s="21">
        <f>SUM(AR29:AV29)</f>
        <v>0</v>
      </c>
      <c r="AX29" s="12"/>
      <c r="AY29" s="21"/>
      <c r="AZ29" s="21"/>
      <c r="BA29" s="21"/>
      <c r="BB29" s="21"/>
      <c r="BC29" s="21"/>
      <c r="BD29" s="21"/>
      <c r="BE29" s="21"/>
      <c r="BF29" s="12"/>
      <c r="BG29" s="12"/>
      <c r="BH29" s="12"/>
      <c r="BI29" s="64"/>
      <c r="BJ29" s="12"/>
      <c r="BK29" s="12"/>
      <c r="BL29" s="12"/>
      <c r="BM29" s="12"/>
      <c r="BN29" s="12"/>
      <c r="BO29" s="21">
        <f>+I29+P29+W29+AD29+AK29+AR29-B29</f>
        <v>0</v>
      </c>
      <c r="BP29" s="21">
        <f t="shared" ref="BP29:BS29" si="300">+J29+Q29+X29+AE29+AL29+AS29-C29</f>
        <v>0</v>
      </c>
      <c r="BQ29" s="21">
        <f t="shared" si="300"/>
        <v>0</v>
      </c>
      <c r="BR29" s="21">
        <f t="shared" si="300"/>
        <v>0</v>
      </c>
      <c r="BS29" s="21">
        <f t="shared" si="300"/>
        <v>0</v>
      </c>
      <c r="BT29" s="21">
        <f>SUM(BO29:BS29)</f>
        <v>0</v>
      </c>
    </row>
    <row r="30" spans="1:72">
      <c r="A30" s="78" t="s">
        <v>1</v>
      </c>
      <c r="B30" s="18">
        <f t="shared" ref="B30:G30" si="301">+B5+B11+B25+B28</f>
        <v>22670</v>
      </c>
      <c r="C30" s="18">
        <f t="shared" si="301"/>
        <v>6749.9876355807091</v>
      </c>
      <c r="D30" s="18">
        <f t="shared" si="301"/>
        <v>749.9986261756344</v>
      </c>
      <c r="E30" s="18">
        <f t="shared" si="301"/>
        <v>9523.9825542623221</v>
      </c>
      <c r="F30" s="18">
        <f t="shared" si="301"/>
        <v>6386.3744903395091</v>
      </c>
      <c r="G30" s="18">
        <f t="shared" si="301"/>
        <v>46080.343306358176</v>
      </c>
      <c r="H30" s="18"/>
      <c r="I30" s="18">
        <f>+I5+I11+I25+I28</f>
        <v>195.90844444224493</v>
      </c>
      <c r="J30" s="18">
        <f>+J5+J11+J25</f>
        <v>60.875096252985479</v>
      </c>
      <c r="K30" s="18">
        <f>+K5+K11+K25</f>
        <v>6.7638995836650535</v>
      </c>
      <c r="L30" s="18">
        <f>+L5+L11+L25</f>
        <v>85.892506179767949</v>
      </c>
      <c r="M30" s="18">
        <f>+M5+M11+M25+M28</f>
        <v>76.48809313640632</v>
      </c>
      <c r="N30" s="18">
        <f>+N5+N11+N25+N28</f>
        <v>425.92803959506978</v>
      </c>
      <c r="O30" s="18"/>
      <c r="P30" s="18">
        <f>+P5+P11+P25+P28</f>
        <v>425.34677583810731</v>
      </c>
      <c r="Q30" s="18">
        <f>+Q5+Q11+Q25</f>
        <v>129.72327266676237</v>
      </c>
      <c r="R30" s="18">
        <f>+R5+R11+R25</f>
        <v>14.413696962973599</v>
      </c>
      <c r="S30" s="18">
        <f>+S5+S11+S25</f>
        <v>183.03473316714738</v>
      </c>
      <c r="T30" s="18">
        <f>+T5+T11+T25+T28</f>
        <v>151.11242904566464</v>
      </c>
      <c r="U30" s="18">
        <f>+U5+U11+U25+U28</f>
        <v>903.63090768065535</v>
      </c>
      <c r="V30" s="18"/>
      <c r="W30" s="18">
        <f>+W5+W11+W25+W28</f>
        <v>4694.7799287341304</v>
      </c>
      <c r="X30" s="18">
        <f>+X5+X11+X25</f>
        <v>1451.1625647668395</v>
      </c>
      <c r="Y30" s="18">
        <f>+Y5+Y11+Y25</f>
        <v>161.24028497409327</v>
      </c>
      <c r="Z30" s="18">
        <f>+Z5+Z11+Z25</f>
        <v>2047.5366321243521</v>
      </c>
      <c r="AA30" s="18">
        <f>+AA5+AA11+AA25+AA28</f>
        <v>147.99654697357849</v>
      </c>
      <c r="AB30" s="18">
        <f>+AB5+AB11+AB25+AB28</f>
        <v>8502.7159575729947</v>
      </c>
      <c r="AC30" s="18"/>
      <c r="AD30" s="18">
        <f>+AD5+AD11+AD25+AD28</f>
        <v>12411.144828666467</v>
      </c>
      <c r="AE30" s="18">
        <f>+AE5+AE11+AE25</f>
        <v>3790.5844929968907</v>
      </c>
      <c r="AF30" s="18">
        <f>+AF5+AF11+AF25</f>
        <v>421.17605477743223</v>
      </c>
      <c r="AG30" s="18">
        <f>+AG5+AG11+AG25</f>
        <v>5348.3743276003534</v>
      </c>
      <c r="AH30" s="18">
        <f>+AH5+AH11+AH25+AH28</f>
        <v>3035.4227970590532</v>
      </c>
      <c r="AI30" s="18">
        <f>+AI5+AI11+AI25+AI28</f>
        <v>25006.702501100197</v>
      </c>
      <c r="AJ30" s="18"/>
      <c r="AK30" s="18">
        <f>+AK5+AK11+AK25+AK28</f>
        <v>4942.8200223190488</v>
      </c>
      <c r="AL30" s="18">
        <f>+AL5+AL11+AL25</f>
        <v>1317.6422088972311</v>
      </c>
      <c r="AM30" s="18">
        <f>+AM5+AM11+AM25</f>
        <v>146.4046898774701</v>
      </c>
      <c r="AN30" s="18">
        <f>+AN5+AN11+AN25</f>
        <v>1859.1443551907003</v>
      </c>
      <c r="AO30" s="18">
        <f>+AO5+AO11+AO25+AO28</f>
        <v>2975.3546241248059</v>
      </c>
      <c r="AP30" s="18">
        <f>+AP5+AP11+AP25+AP28</f>
        <v>11241.365900409257</v>
      </c>
      <c r="AQ30" s="18"/>
      <c r="AR30" s="18">
        <f t="shared" ref="AR30:AW30" si="302">+AR5+AR11+AR25+AR28</f>
        <v>0</v>
      </c>
      <c r="AS30" s="18">
        <f t="shared" si="302"/>
        <v>0</v>
      </c>
      <c r="AT30" s="18">
        <f t="shared" si="302"/>
        <v>0</v>
      </c>
      <c r="AU30" s="18">
        <f t="shared" si="302"/>
        <v>0</v>
      </c>
      <c r="AV30" s="18">
        <f t="shared" si="302"/>
        <v>0</v>
      </c>
      <c r="AW30" s="18">
        <f t="shared" si="302"/>
        <v>0</v>
      </c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L30" s="18"/>
      <c r="BM30" s="18"/>
      <c r="BN30" s="18"/>
      <c r="BO30" s="18">
        <f t="shared" ref="BO30:BT30" si="303">+BO5+BO11+BO25+BO28</f>
        <v>0</v>
      </c>
      <c r="BP30" s="18">
        <f t="shared" si="303"/>
        <v>0</v>
      </c>
      <c r="BQ30" s="18">
        <f t="shared" si="303"/>
        <v>0</v>
      </c>
      <c r="BR30" s="18">
        <f t="shared" si="303"/>
        <v>0</v>
      </c>
      <c r="BS30" s="18">
        <f t="shared" si="303"/>
        <v>0</v>
      </c>
      <c r="BT30" s="18">
        <f t="shared" si="303"/>
        <v>0</v>
      </c>
    </row>
    <row r="31" spans="1:72">
      <c r="A31" s="27"/>
      <c r="B31" s="62">
        <f>22250+420</f>
        <v>22670</v>
      </c>
      <c r="C31" s="62">
        <v>6750</v>
      </c>
      <c r="D31" s="62">
        <v>750</v>
      </c>
      <c r="E31" s="62">
        <v>9524</v>
      </c>
      <c r="F31" s="63">
        <v>2234</v>
      </c>
      <c r="G31" s="63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29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</row>
    <row r="32" spans="1:72">
      <c r="A32" s="27"/>
      <c r="B32" s="170">
        <f>+'Resumen Costo - Desembolsos'!C11</f>
        <v>22670</v>
      </c>
      <c r="C32" s="170">
        <f>+'Resumen Costo - Desembolsos'!F11</f>
        <v>6749.9876355807091</v>
      </c>
      <c r="D32" s="170">
        <f>+'Resumen Costo - Desembolsos'!G11</f>
        <v>750</v>
      </c>
      <c r="E32" s="170">
        <f>+'Resumen Costo - Desembolsos'!H11</f>
        <v>9524</v>
      </c>
      <c r="F32" s="170">
        <f>+'Resumen Costo - Desembolsos'!I11</f>
        <v>6387</v>
      </c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29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</row>
    <row r="33" spans="1:72">
      <c r="A33" s="27"/>
      <c r="B33" s="28"/>
      <c r="C33" s="28"/>
      <c r="D33" s="28"/>
      <c r="E33" s="28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29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</row>
    <row r="34" spans="1:7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</row>
    <row r="35" spans="1:72">
      <c r="A35" s="31"/>
      <c r="B35" s="30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</row>
    <row r="36" spans="1:72">
      <c r="A36" s="32" t="s">
        <v>44</v>
      </c>
      <c r="B36" s="30"/>
      <c r="C36" s="30"/>
      <c r="D36" s="30"/>
      <c r="E36" s="30"/>
      <c r="F36" s="33" t="s">
        <v>108</v>
      </c>
      <c r="G36" s="33" t="s">
        <v>109</v>
      </c>
      <c r="H36" s="33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</row>
    <row r="37" spans="1:72">
      <c r="A37" s="33" t="s">
        <v>2</v>
      </c>
      <c r="B37" s="30"/>
      <c r="C37" s="30"/>
      <c r="D37" s="30"/>
      <c r="E37" s="30"/>
      <c r="F37" s="31">
        <v>0</v>
      </c>
      <c r="G37" s="31">
        <v>0</v>
      </c>
      <c r="H37" s="31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  <c r="BL37" s="12"/>
      <c r="BM37" s="12"/>
      <c r="BN37" s="12"/>
      <c r="BO37" s="12"/>
      <c r="BP37" s="12"/>
      <c r="BQ37" s="12"/>
      <c r="BR37" s="12"/>
      <c r="BS37" s="12"/>
      <c r="BT37" s="12"/>
    </row>
    <row r="38" spans="1:72">
      <c r="A38" s="33" t="s">
        <v>3</v>
      </c>
      <c r="B38" s="30"/>
      <c r="C38" s="30"/>
      <c r="D38" s="30"/>
      <c r="E38" s="30"/>
      <c r="F38" s="31">
        <v>6</v>
      </c>
      <c r="G38" s="31">
        <v>10</v>
      </c>
      <c r="H38" s="31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  <c r="BL38" s="12"/>
      <c r="BM38" s="12"/>
      <c r="BN38" s="12"/>
      <c r="BO38" s="12"/>
      <c r="BP38" s="12"/>
      <c r="BQ38" s="12"/>
      <c r="BR38" s="12"/>
      <c r="BS38" s="12"/>
      <c r="BT38" s="12"/>
    </row>
    <row r="39" spans="1:72">
      <c r="A39" s="33" t="s">
        <v>4</v>
      </c>
      <c r="B39" s="30"/>
      <c r="C39" s="30"/>
      <c r="D39" s="30"/>
      <c r="E39" s="30"/>
      <c r="F39" s="31">
        <v>30</v>
      </c>
      <c r="G39" s="31">
        <v>40</v>
      </c>
      <c r="H39" s="31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BP39" s="12"/>
      <c r="BQ39" s="12"/>
      <c r="BR39" s="12"/>
      <c r="BS39" s="12"/>
      <c r="BT39" s="12"/>
    </row>
    <row r="40" spans="1:72">
      <c r="A40" s="33" t="s">
        <v>5</v>
      </c>
      <c r="B40" s="30"/>
      <c r="C40" s="30"/>
      <c r="D40" s="30"/>
      <c r="E40" s="30"/>
      <c r="F40" s="34">
        <v>0.125</v>
      </c>
      <c r="G40" s="34">
        <v>0.125</v>
      </c>
      <c r="H40" s="34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BP40" s="12"/>
      <c r="BQ40" s="12"/>
      <c r="BR40" s="12"/>
      <c r="BS40" s="12"/>
      <c r="BT40" s="12"/>
    </row>
    <row r="41" spans="1:72">
      <c r="A41" s="33" t="s">
        <v>45</v>
      </c>
      <c r="B41" s="30"/>
      <c r="C41" s="30"/>
      <c r="D41" s="30"/>
      <c r="E41" s="30"/>
      <c r="F41" s="34">
        <v>0</v>
      </c>
      <c r="G41" s="34">
        <v>0</v>
      </c>
      <c r="H41" s="34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  <c r="BL41" s="12"/>
      <c r="BM41" s="12"/>
      <c r="BN41" s="12"/>
      <c r="BO41" s="12"/>
      <c r="BP41" s="12"/>
      <c r="BQ41" s="12"/>
      <c r="BR41" s="12"/>
      <c r="BS41" s="12"/>
      <c r="BT41" s="12"/>
    </row>
    <row r="42" spans="1:72">
      <c r="A42" s="33" t="s">
        <v>41</v>
      </c>
      <c r="B42" s="30"/>
      <c r="C42" s="30"/>
      <c r="D42" s="30"/>
      <c r="E42" s="30"/>
      <c r="F42" s="31">
        <v>0</v>
      </c>
      <c r="G42" s="31">
        <v>0</v>
      </c>
      <c r="H42" s="31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</row>
    <row r="43" spans="1:72">
      <c r="A43" s="33" t="s">
        <v>42</v>
      </c>
      <c r="B43" s="30"/>
      <c r="C43" s="30"/>
      <c r="D43" s="30"/>
      <c r="E43" s="30"/>
      <c r="F43" s="31">
        <v>0</v>
      </c>
      <c r="G43" s="31">
        <v>0</v>
      </c>
      <c r="H43" s="31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  <c r="BL43" s="12"/>
      <c r="BM43" s="12"/>
      <c r="BN43" s="12"/>
      <c r="BO43" s="12"/>
      <c r="BP43" s="12"/>
      <c r="BQ43" s="12"/>
      <c r="BR43" s="12"/>
      <c r="BS43" s="12"/>
      <c r="BT43" s="12"/>
    </row>
    <row r="44" spans="1:72">
      <c r="A44" s="33" t="s">
        <v>49</v>
      </c>
      <c r="B44" s="30"/>
      <c r="C44" s="30"/>
      <c r="D44" s="30"/>
      <c r="E44" s="30"/>
      <c r="F44" s="55">
        <v>1</v>
      </c>
      <c r="G44" s="55">
        <v>0</v>
      </c>
      <c r="H44" s="31"/>
      <c r="I44" s="30"/>
      <c r="J44" s="30"/>
      <c r="K44" s="30"/>
      <c r="L44" s="30"/>
      <c r="M44" s="30"/>
      <c r="N44" s="30"/>
      <c r="O44" s="30"/>
      <c r="P44" s="30"/>
      <c r="Q44" s="30"/>
      <c r="R44" s="30"/>
      <c r="S44" s="30"/>
      <c r="T44" s="30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BP44" s="12"/>
      <c r="BQ44" s="12"/>
      <c r="BR44" s="12"/>
      <c r="BS44" s="12"/>
      <c r="BT44" s="12"/>
    </row>
    <row r="45" spans="1:72">
      <c r="A45" s="33"/>
      <c r="B45" s="30"/>
      <c r="C45" s="30"/>
      <c r="D45" s="30"/>
      <c r="E45" s="30"/>
      <c r="F45" s="31"/>
      <c r="G45" s="31"/>
      <c r="H45" s="31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BP45" s="12"/>
      <c r="BQ45" s="12"/>
      <c r="BR45" s="12"/>
      <c r="BS45" s="12"/>
      <c r="BT45" s="12"/>
    </row>
    <row r="46" spans="1:72">
      <c r="A46" s="30"/>
      <c r="B46" s="30"/>
      <c r="C46" s="30"/>
      <c r="D46" s="30"/>
      <c r="E46" s="30"/>
      <c r="F46" s="56">
        <f>+I3</f>
        <v>2017</v>
      </c>
      <c r="G46" s="56">
        <f t="shared" ref="G46:P46" si="304">+F46+1</f>
        <v>2018</v>
      </c>
      <c r="H46" s="56">
        <f t="shared" si="304"/>
        <v>2019</v>
      </c>
      <c r="I46" s="56">
        <f t="shared" si="304"/>
        <v>2020</v>
      </c>
      <c r="J46" s="56">
        <f t="shared" si="304"/>
        <v>2021</v>
      </c>
      <c r="K46" s="56">
        <f t="shared" si="304"/>
        <v>2022</v>
      </c>
      <c r="L46" s="56">
        <f t="shared" si="304"/>
        <v>2023</v>
      </c>
      <c r="M46" s="56">
        <f t="shared" si="304"/>
        <v>2024</v>
      </c>
      <c r="N46" s="56">
        <f t="shared" si="304"/>
        <v>2025</v>
      </c>
      <c r="O46" s="56">
        <f t="shared" si="304"/>
        <v>2026</v>
      </c>
      <c r="P46" s="56">
        <f t="shared" si="304"/>
        <v>2027</v>
      </c>
      <c r="Q46" s="12"/>
      <c r="R46" s="12"/>
      <c r="S46" s="12"/>
      <c r="W46" s="12"/>
      <c r="X46" s="12"/>
      <c r="Y46" s="12"/>
      <c r="Z46" s="12"/>
      <c r="AA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BP46" s="12"/>
      <c r="BQ46" s="12"/>
      <c r="BR46" s="12"/>
      <c r="BS46" s="12"/>
      <c r="BT46" s="12"/>
    </row>
    <row r="47" spans="1:72">
      <c r="A47" s="31" t="str">
        <f>F36</f>
        <v>BID GLM (FU)</v>
      </c>
      <c r="B47" s="30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12"/>
      <c r="R47" s="12"/>
      <c r="S47" s="12"/>
      <c r="W47" s="12"/>
      <c r="X47" s="12"/>
      <c r="Y47" s="12"/>
      <c r="Z47" s="12"/>
      <c r="AA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BP47" s="12"/>
      <c r="BQ47" s="12"/>
      <c r="BR47" s="12"/>
      <c r="BS47" s="12"/>
      <c r="BT47" s="12"/>
    </row>
    <row r="48" spans="1:72">
      <c r="A48" s="33" t="s">
        <v>6</v>
      </c>
      <c r="B48" s="30"/>
      <c r="C48" s="30"/>
      <c r="D48" s="30"/>
      <c r="E48" s="30"/>
      <c r="F48" s="31">
        <f>+(Geotermia!$I$5+Geotermia!$I$11+Geotermia!$I$25)*$F$44</f>
        <v>191.97299798358151</v>
      </c>
      <c r="G48" s="31">
        <f>+(Geotermia!$P$5+Geotermia!$P$11+Geotermia!$P$25)*$F$44</f>
        <v>409.08954720311658</v>
      </c>
      <c r="H48" s="31">
        <f>+(Geotermia!$W$5+Geotermia!$W$11+Geotermia!$W$25)*$F$44</f>
        <v>4576.3217681347141</v>
      </c>
      <c r="I48" s="31">
        <f>+(Geotermia!$AD$5+Geotermia!$AD$11+Geotermia!$AD$25)*$F$44</f>
        <v>11953.818786693082</v>
      </c>
      <c r="J48" s="31">
        <f>+(Geotermia!$AK$5+Geotermia!$AK$11+Geotermia!$AK$25)*$F$44</f>
        <v>4155.2579081023559</v>
      </c>
      <c r="K48" s="31">
        <f>+(Geotermia!$AR$5+Geotermia!$AR$11+Geotermia!$AR$25)*$F$44</f>
        <v>0</v>
      </c>
      <c r="L48" s="31">
        <v>0</v>
      </c>
      <c r="M48" s="31">
        <v>0</v>
      </c>
      <c r="N48" s="31">
        <v>0</v>
      </c>
      <c r="O48" s="31">
        <v>0</v>
      </c>
      <c r="P48" s="35">
        <f>SUM(F48:O48)</f>
        <v>21286.46100811685</v>
      </c>
      <c r="Q48" s="12"/>
      <c r="R48" s="12"/>
      <c r="S48" s="12"/>
      <c r="W48" s="12"/>
      <c r="X48" s="12"/>
      <c r="Y48" s="12"/>
      <c r="Z48" s="12"/>
      <c r="AA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  <c r="BL48" s="12"/>
      <c r="BM48" s="12"/>
      <c r="BN48" s="12"/>
      <c r="BO48" s="12"/>
      <c r="BP48" s="12"/>
      <c r="BQ48" s="12"/>
      <c r="BR48" s="12"/>
      <c r="BS48" s="12"/>
      <c r="BT48" s="12"/>
    </row>
    <row r="49" spans="1:72">
      <c r="A49" s="33" t="s">
        <v>7</v>
      </c>
      <c r="B49" s="30"/>
      <c r="C49" s="30"/>
      <c r="D49" s="30"/>
      <c r="E49" s="30"/>
      <c r="F49" s="34">
        <v>4.0999999999999996</v>
      </c>
      <c r="G49" s="34">
        <f t="shared" ref="G49:O49" si="305">+F49</f>
        <v>4.0999999999999996</v>
      </c>
      <c r="H49" s="34">
        <f t="shared" si="305"/>
        <v>4.0999999999999996</v>
      </c>
      <c r="I49" s="34">
        <f t="shared" si="305"/>
        <v>4.0999999999999996</v>
      </c>
      <c r="J49" s="34">
        <f t="shared" si="305"/>
        <v>4.0999999999999996</v>
      </c>
      <c r="K49" s="34">
        <f t="shared" si="305"/>
        <v>4.0999999999999996</v>
      </c>
      <c r="L49" s="34">
        <f t="shared" si="305"/>
        <v>4.0999999999999996</v>
      </c>
      <c r="M49" s="34">
        <f t="shared" si="305"/>
        <v>4.0999999999999996</v>
      </c>
      <c r="N49" s="34">
        <f t="shared" si="305"/>
        <v>4.0999999999999996</v>
      </c>
      <c r="O49" s="34">
        <f t="shared" si="305"/>
        <v>4.0999999999999996</v>
      </c>
      <c r="P49" s="36"/>
      <c r="Q49" s="12"/>
      <c r="R49" s="12"/>
      <c r="S49" s="12"/>
      <c r="W49" s="12"/>
      <c r="X49" s="12"/>
      <c r="Y49" s="12"/>
      <c r="Z49" s="12"/>
      <c r="AA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</row>
    <row r="50" spans="1:72">
      <c r="A50" s="31" t="str">
        <f>+G36</f>
        <v>xxxx</v>
      </c>
      <c r="B50" s="30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3" t="s">
        <v>8</v>
      </c>
      <c r="Q50" s="12"/>
      <c r="R50" s="12"/>
      <c r="S50" s="12"/>
      <c r="W50" s="12"/>
      <c r="X50" s="12"/>
      <c r="Y50" s="12"/>
      <c r="Z50" s="12"/>
      <c r="AA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  <c r="BL50" s="12"/>
      <c r="BM50" s="12"/>
      <c r="BN50" s="12"/>
      <c r="BO50" s="12"/>
      <c r="BP50" s="12"/>
      <c r="BQ50" s="12"/>
      <c r="BR50" s="12"/>
      <c r="BS50" s="12"/>
      <c r="BT50" s="12"/>
    </row>
    <row r="51" spans="1:72">
      <c r="A51" s="33" t="s">
        <v>6</v>
      </c>
      <c r="B51" s="30"/>
      <c r="C51" s="30"/>
      <c r="D51" s="30"/>
      <c r="E51" s="30"/>
      <c r="F51" s="31">
        <f>+(Geotermia!$I$5+Geotermia!$I$11+Geotermia!$I$25)*$G$44</f>
        <v>0</v>
      </c>
      <c r="G51" s="31">
        <f>+(Geotermia!$P$5+Geotermia!$P$11+Geotermia!$P$25)*$G$44</f>
        <v>0</v>
      </c>
      <c r="H51" s="31">
        <f>+(Geotermia!$W$5+Geotermia!$W$11+Geotermia!$W$25)*$G$44</f>
        <v>0</v>
      </c>
      <c r="I51" s="31">
        <f>+(Geotermia!$AD$5+Geotermia!$AD$11+Geotermia!$AD$25)*$G$44</f>
        <v>0</v>
      </c>
      <c r="J51" s="31">
        <f>+(Geotermia!$AK$5+Geotermia!$AK$11+Geotermia!$AK$25)*$G$44</f>
        <v>0</v>
      </c>
      <c r="K51" s="31">
        <f>+(Geotermia!$AR$5+Geotermia!$AR$11+Geotermia!$AR$25)*$G$44</f>
        <v>0</v>
      </c>
      <c r="L51" s="31">
        <v>0</v>
      </c>
      <c r="M51" s="31">
        <v>0</v>
      </c>
      <c r="N51" s="31">
        <v>0</v>
      </c>
      <c r="O51" s="31">
        <v>0</v>
      </c>
      <c r="P51" s="35">
        <f>SUM(F51:O51)</f>
        <v>0</v>
      </c>
      <c r="Q51" s="12"/>
      <c r="R51" s="12"/>
      <c r="S51" s="12"/>
      <c r="W51" s="12"/>
      <c r="X51" s="12"/>
      <c r="Y51" s="12"/>
      <c r="Z51" s="12"/>
      <c r="AA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  <c r="BL51" s="12"/>
      <c r="BM51" s="12"/>
      <c r="BN51" s="12"/>
      <c r="BO51" s="12"/>
      <c r="BP51" s="12"/>
      <c r="BQ51" s="12"/>
      <c r="BR51" s="12"/>
      <c r="BS51" s="12"/>
      <c r="BT51" s="12"/>
    </row>
    <row r="52" spans="1:72">
      <c r="A52" s="33" t="s">
        <v>7</v>
      </c>
      <c r="B52" s="30"/>
      <c r="C52" s="30"/>
      <c r="D52" s="30"/>
      <c r="E52" s="30"/>
      <c r="F52" s="34">
        <v>0.25</v>
      </c>
      <c r="G52" s="34">
        <v>0.25</v>
      </c>
      <c r="H52" s="34">
        <v>0.25</v>
      </c>
      <c r="I52" s="34">
        <v>0.25</v>
      </c>
      <c r="J52" s="34">
        <v>0.25</v>
      </c>
      <c r="K52" s="34">
        <v>0.25</v>
      </c>
      <c r="L52" s="34">
        <v>0.25</v>
      </c>
      <c r="M52" s="34">
        <v>0.25</v>
      </c>
      <c r="N52" s="34">
        <v>0.25</v>
      </c>
      <c r="O52" s="34">
        <v>0.25</v>
      </c>
      <c r="P52" s="53" t="s">
        <v>8</v>
      </c>
      <c r="Q52" s="12"/>
      <c r="R52" s="12"/>
      <c r="S52" s="12"/>
      <c r="W52" s="12"/>
      <c r="X52" s="12"/>
      <c r="Y52" s="12"/>
      <c r="Z52" s="12"/>
      <c r="AA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</row>
    <row r="53" spans="1:72">
      <c r="A53" s="30"/>
      <c r="B53" s="30"/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  <c r="N53" s="30"/>
      <c r="O53" s="30"/>
      <c r="P53" s="30"/>
      <c r="Q53" s="12"/>
      <c r="R53" s="12"/>
      <c r="S53" s="12"/>
      <c r="W53" s="12"/>
      <c r="X53" s="12"/>
      <c r="Y53" s="12"/>
      <c r="Z53" s="12"/>
      <c r="AA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  <c r="BS53" s="12"/>
      <c r="BT53" s="12"/>
    </row>
    <row r="54" spans="1:72">
      <c r="A54" s="30"/>
      <c r="B54" s="30"/>
      <c r="C54" s="30"/>
      <c r="D54" s="30"/>
      <c r="E54" s="30"/>
      <c r="F54" s="33" t="s">
        <v>46</v>
      </c>
      <c r="G54" s="30"/>
      <c r="H54" s="30"/>
      <c r="I54" s="30"/>
      <c r="J54" s="33" t="s">
        <v>8</v>
      </c>
      <c r="K54" s="33" t="s">
        <v>8</v>
      </c>
      <c r="L54" s="33" t="s">
        <v>8</v>
      </c>
      <c r="M54" s="33" t="s">
        <v>8</v>
      </c>
      <c r="N54" s="33" t="s">
        <v>8</v>
      </c>
      <c r="O54" s="33" t="s">
        <v>8</v>
      </c>
      <c r="P54" s="33" t="s">
        <v>8</v>
      </c>
      <c r="Q54" s="12"/>
      <c r="R54" s="12"/>
      <c r="S54" s="12"/>
      <c r="W54" s="12"/>
      <c r="X54" s="12"/>
      <c r="Y54" s="12"/>
      <c r="Z54" s="12"/>
      <c r="AA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  <c r="BS54" s="12"/>
      <c r="BT54" s="12"/>
    </row>
    <row r="55" spans="1:72">
      <c r="A55" s="32" t="s">
        <v>9</v>
      </c>
      <c r="B55" s="30"/>
      <c r="C55" s="30"/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12"/>
      <c r="R55" s="12"/>
      <c r="S55" s="12"/>
      <c r="W55" s="12"/>
      <c r="X55" s="12"/>
      <c r="Y55" s="12"/>
      <c r="Z55" s="12"/>
      <c r="AA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</row>
    <row r="56" spans="1:72">
      <c r="A56" s="31" t="str">
        <f>A47</f>
        <v>BID GLM (FU)</v>
      </c>
      <c r="B56" s="30"/>
      <c r="C56" s="30"/>
      <c r="D56" s="30"/>
      <c r="E56" s="30"/>
      <c r="F56" s="37"/>
      <c r="G56" s="30"/>
      <c r="H56" s="30"/>
      <c r="I56" s="30"/>
      <c r="J56" s="30"/>
      <c r="K56" s="30"/>
      <c r="L56" s="30"/>
      <c r="M56" s="30"/>
      <c r="N56" s="30"/>
      <c r="O56" s="30"/>
      <c r="P56" s="30"/>
      <c r="Q56" s="12"/>
      <c r="R56" s="12"/>
      <c r="S56" s="12"/>
      <c r="W56" s="12"/>
      <c r="X56" s="12"/>
      <c r="Y56" s="12"/>
      <c r="Z56" s="12"/>
      <c r="AA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  <c r="BL56" s="12"/>
      <c r="BM56" s="12"/>
      <c r="BN56" s="12"/>
      <c r="BO56" s="12"/>
      <c r="BP56" s="12"/>
      <c r="BQ56" s="12"/>
      <c r="BR56" s="12"/>
      <c r="BS56" s="12"/>
      <c r="BT56" s="12"/>
    </row>
    <row r="57" spans="1:72">
      <c r="A57" s="33" t="s">
        <v>10</v>
      </c>
      <c r="B57" s="30"/>
      <c r="C57" s="30"/>
      <c r="D57" s="30"/>
      <c r="E57" s="30"/>
      <c r="F57" s="38">
        <f>IF(F48&gt;0,1,0)</f>
        <v>1</v>
      </c>
      <c r="G57" s="38">
        <f>IF(G48&gt;0,1+F57,IF(AND(F57&gt;0,SUM(G48:$O$48)&gt;0),F57+1,0))</f>
        <v>2</v>
      </c>
      <c r="H57" s="38">
        <f>IF(H48&gt;0,1+G57,IF(AND(G57&gt;0,SUM(H48:$O$48)&gt;0),G57+1,0))</f>
        <v>3</v>
      </c>
      <c r="I57" s="38">
        <f>IF(I48&gt;0,1+H57,IF(AND(H57&gt;0,SUM(I48:$O$48)&gt;0),H57+1,0))</f>
        <v>4</v>
      </c>
      <c r="J57" s="38">
        <f>IF(J48&gt;0,1+I57,IF(AND(I57&gt;0,SUM(J48:$O$48)&gt;0),I57+1,0))</f>
        <v>5</v>
      </c>
      <c r="K57" s="38">
        <f>IF(K48&gt;0,1+J57,IF(AND(J57&gt;0,SUM(K48:$O$48)&gt;0),J57+1,0))</f>
        <v>0</v>
      </c>
      <c r="L57" s="38">
        <f>IF(L48&gt;0,1+K57,IF(AND(K57&gt;0,SUM(L48:$O$48)&gt;0),K57+1,0))</f>
        <v>0</v>
      </c>
      <c r="M57" s="38">
        <f>IF(M48&gt;0,1+L57,IF(AND(L57&gt;0,SUM(M48:$O$48)&gt;0),L57+1,0))</f>
        <v>0</v>
      </c>
      <c r="N57" s="38">
        <f>IF(N48&gt;0,1+M57,IF(AND(M57&gt;0,SUM(N48:$O$48)&gt;0),M57+1,0))</f>
        <v>0</v>
      </c>
      <c r="O57" s="38">
        <f>IF(O48&gt;0,1+N57,IF(AND(N57&gt;0,SUM($O$48)&gt;0),N57+1,0))</f>
        <v>0</v>
      </c>
      <c r="P57" s="39"/>
      <c r="Q57" s="12"/>
      <c r="R57" s="12"/>
      <c r="S57" s="12"/>
      <c r="W57" s="12"/>
      <c r="X57" s="12"/>
      <c r="Y57" s="12"/>
      <c r="Z57" s="12"/>
      <c r="AA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  <c r="BL57" s="12"/>
      <c r="BM57" s="12"/>
      <c r="BN57" s="12"/>
      <c r="BO57" s="12"/>
      <c r="BP57" s="12"/>
      <c r="BQ57" s="12"/>
      <c r="BR57" s="12"/>
      <c r="BS57" s="12"/>
      <c r="BT57" s="12"/>
    </row>
    <row r="58" spans="1:72">
      <c r="A58" s="33" t="s">
        <v>11</v>
      </c>
      <c r="B58" s="30"/>
      <c r="C58" s="30"/>
      <c r="D58" s="30"/>
      <c r="E58" s="30"/>
      <c r="F58" s="38">
        <f>IF(F57&gt;0,F57,IF($F$37&gt;0,1,0))</f>
        <v>1</v>
      </c>
      <c r="G58" s="38">
        <f t="shared" ref="G58:O58" si="306">IF(F58&gt;0,1+F58,IF(G57&gt;0,G57,0))</f>
        <v>2</v>
      </c>
      <c r="H58" s="38">
        <f t="shared" si="306"/>
        <v>3</v>
      </c>
      <c r="I58" s="38">
        <f t="shared" si="306"/>
        <v>4</v>
      </c>
      <c r="J58" s="38">
        <f t="shared" si="306"/>
        <v>5</v>
      </c>
      <c r="K58" s="38">
        <f t="shared" si="306"/>
        <v>6</v>
      </c>
      <c r="L58" s="38">
        <f t="shared" si="306"/>
        <v>7</v>
      </c>
      <c r="M58" s="38">
        <f t="shared" si="306"/>
        <v>8</v>
      </c>
      <c r="N58" s="38">
        <f t="shared" si="306"/>
        <v>9</v>
      </c>
      <c r="O58" s="38">
        <f t="shared" si="306"/>
        <v>10</v>
      </c>
      <c r="P58" s="39"/>
      <c r="Q58" s="12"/>
      <c r="R58" s="12"/>
      <c r="S58" s="12"/>
      <c r="W58" s="12"/>
      <c r="X58" s="12"/>
      <c r="Y58" s="12"/>
      <c r="Z58" s="12"/>
      <c r="AA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  <c r="BL58" s="12"/>
      <c r="BM58" s="12"/>
      <c r="BN58" s="12"/>
      <c r="BO58" s="12"/>
      <c r="BP58" s="12"/>
      <c r="BQ58" s="12"/>
      <c r="BR58" s="12"/>
      <c r="BS58" s="12"/>
      <c r="BT58" s="12"/>
    </row>
    <row r="59" spans="1:72">
      <c r="A59" s="33" t="s">
        <v>12</v>
      </c>
      <c r="B59" s="30"/>
      <c r="C59" s="30"/>
      <c r="D59" s="30"/>
      <c r="E59" s="30"/>
      <c r="F59" s="38">
        <f>$F$37</f>
        <v>0</v>
      </c>
      <c r="G59" s="38">
        <f t="shared" ref="G59:O59" si="307">F68</f>
        <v>191.97299798358151</v>
      </c>
      <c r="H59" s="38">
        <f t="shared" si="307"/>
        <v>601.06254518669812</v>
      </c>
      <c r="I59" s="38">
        <f t="shared" si="307"/>
        <v>5177.3843133214123</v>
      </c>
      <c r="J59" s="38">
        <f t="shared" si="307"/>
        <v>17131.203100014493</v>
      </c>
      <c r="K59" s="38">
        <f t="shared" si="307"/>
        <v>21286.46100811685</v>
      </c>
      <c r="L59" s="38">
        <f t="shared" si="307"/>
        <v>21286.46100811685</v>
      </c>
      <c r="M59" s="38">
        <f t="shared" si="307"/>
        <v>20399.525132778646</v>
      </c>
      <c r="N59" s="38">
        <f t="shared" si="307"/>
        <v>19512.589257440442</v>
      </c>
      <c r="O59" s="38">
        <f t="shared" si="307"/>
        <v>18625.653382102239</v>
      </c>
      <c r="P59" s="39"/>
      <c r="Q59" s="12"/>
      <c r="R59" s="12"/>
      <c r="S59" s="12"/>
      <c r="W59" s="12"/>
      <c r="X59" s="12"/>
      <c r="Y59" s="12"/>
      <c r="Z59" s="12"/>
      <c r="AA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  <c r="BL59" s="12"/>
      <c r="BM59" s="12"/>
      <c r="BN59" s="12"/>
      <c r="BO59" s="12"/>
      <c r="BP59" s="12"/>
      <c r="BQ59" s="12"/>
      <c r="BR59" s="12"/>
      <c r="BS59" s="12"/>
      <c r="BT59" s="12"/>
    </row>
    <row r="60" spans="1:72">
      <c r="A60" s="33" t="s">
        <v>13</v>
      </c>
      <c r="B60" s="30"/>
      <c r="C60" s="30"/>
      <c r="D60" s="30"/>
      <c r="E60" s="30"/>
      <c r="F60" s="38">
        <f>$F$37+(SUM($F48:$O48)+SUM($F63:$O63))/IF($F$42=1,0.99,1)</f>
        <v>21286.46100811685</v>
      </c>
      <c r="G60" s="40" t="s">
        <v>8</v>
      </c>
      <c r="H60" s="40" t="s">
        <v>8</v>
      </c>
      <c r="I60" s="40" t="s">
        <v>8</v>
      </c>
      <c r="J60" s="40" t="s">
        <v>8</v>
      </c>
      <c r="K60" s="40" t="s">
        <v>8</v>
      </c>
      <c r="L60" s="40" t="s">
        <v>8</v>
      </c>
      <c r="M60" s="40" t="s">
        <v>8</v>
      </c>
      <c r="N60" s="40" t="s">
        <v>8</v>
      </c>
      <c r="O60" s="40" t="s">
        <v>8</v>
      </c>
      <c r="P60" s="39"/>
      <c r="Q60" s="12"/>
      <c r="R60" s="12"/>
      <c r="S60" s="12"/>
      <c r="W60" s="12"/>
      <c r="X60" s="12"/>
      <c r="Y60" s="12"/>
      <c r="Z60" s="12"/>
      <c r="AA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  <c r="BL60" s="12"/>
      <c r="BM60" s="12"/>
      <c r="BN60" s="12"/>
      <c r="BO60" s="12"/>
      <c r="BP60" s="12"/>
      <c r="BQ60" s="12"/>
      <c r="BR60" s="12"/>
      <c r="BS60" s="12"/>
      <c r="BT60" s="12"/>
    </row>
    <row r="61" spans="1:72">
      <c r="A61" s="33" t="s">
        <v>14</v>
      </c>
      <c r="B61" s="30"/>
      <c r="C61" s="30"/>
      <c r="D61" s="30"/>
      <c r="E61" s="30"/>
      <c r="F61" s="38">
        <f t="shared" ref="F61:O61" si="308">(F48)</f>
        <v>191.97299798358151</v>
      </c>
      <c r="G61" s="38">
        <f t="shared" si="308"/>
        <v>409.08954720311658</v>
      </c>
      <c r="H61" s="38">
        <f t="shared" si="308"/>
        <v>4576.3217681347141</v>
      </c>
      <c r="I61" s="38">
        <f t="shared" si="308"/>
        <v>11953.818786693082</v>
      </c>
      <c r="J61" s="38">
        <f t="shared" si="308"/>
        <v>4155.2579081023559</v>
      </c>
      <c r="K61" s="38">
        <f t="shared" si="308"/>
        <v>0</v>
      </c>
      <c r="L61" s="38">
        <f t="shared" si="308"/>
        <v>0</v>
      </c>
      <c r="M61" s="38">
        <f t="shared" si="308"/>
        <v>0</v>
      </c>
      <c r="N61" s="38">
        <f t="shared" si="308"/>
        <v>0</v>
      </c>
      <c r="O61" s="38">
        <f t="shared" si="308"/>
        <v>0</v>
      </c>
      <c r="P61" s="38">
        <f>SUM(F61:O61)</f>
        <v>21286.46100811685</v>
      </c>
      <c r="Q61" s="12"/>
      <c r="R61" s="12"/>
      <c r="S61" s="12"/>
      <c r="W61" s="12"/>
      <c r="X61" s="12"/>
      <c r="Y61" s="12"/>
      <c r="Z61" s="12"/>
      <c r="AA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  <c r="BL61" s="12"/>
      <c r="BM61" s="12"/>
      <c r="BN61" s="12"/>
      <c r="BO61" s="12"/>
      <c r="BP61" s="12"/>
      <c r="BQ61" s="12"/>
      <c r="BR61" s="12"/>
      <c r="BS61" s="12"/>
      <c r="BT61" s="12"/>
    </row>
    <row r="62" spans="1:72">
      <c r="A62" s="33" t="s">
        <v>15</v>
      </c>
      <c r="B62" s="30"/>
      <c r="C62" s="30"/>
      <c r="D62" s="30"/>
      <c r="E62" s="30"/>
      <c r="F62" s="38">
        <f t="shared" ref="F62:O62" si="309">IF($F$42=1,IF(F57&gt;0,+($F60-$F$37)*0.01/MAX($F57:$O57),0),0)</f>
        <v>0</v>
      </c>
      <c r="G62" s="38">
        <f t="shared" si="309"/>
        <v>0</v>
      </c>
      <c r="H62" s="38">
        <f t="shared" si="309"/>
        <v>0</v>
      </c>
      <c r="I62" s="38">
        <f t="shared" si="309"/>
        <v>0</v>
      </c>
      <c r="J62" s="38">
        <f t="shared" si="309"/>
        <v>0</v>
      </c>
      <c r="K62" s="38">
        <f t="shared" si="309"/>
        <v>0</v>
      </c>
      <c r="L62" s="38">
        <f t="shared" si="309"/>
        <v>0</v>
      </c>
      <c r="M62" s="38">
        <f t="shared" si="309"/>
        <v>0</v>
      </c>
      <c r="N62" s="38">
        <f t="shared" si="309"/>
        <v>0</v>
      </c>
      <c r="O62" s="38">
        <f t="shared" si="309"/>
        <v>0</v>
      </c>
      <c r="P62" s="38">
        <f>SUM(F62:O62)</f>
        <v>0</v>
      </c>
      <c r="Q62" s="12"/>
      <c r="R62" s="12"/>
      <c r="S62" s="12"/>
      <c r="W62" s="12"/>
      <c r="X62" s="12"/>
      <c r="Y62" s="12"/>
      <c r="Z62" s="12"/>
      <c r="AA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  <c r="BL62" s="12"/>
      <c r="BM62" s="12"/>
      <c r="BN62" s="12"/>
      <c r="BO62" s="12"/>
      <c r="BP62" s="12"/>
      <c r="BQ62" s="12"/>
      <c r="BR62" s="12"/>
      <c r="BS62" s="12"/>
      <c r="BT62" s="12"/>
    </row>
    <row r="63" spans="1:72">
      <c r="A63" s="33" t="s">
        <v>16</v>
      </c>
      <c r="B63" s="30"/>
      <c r="C63" s="30"/>
      <c r="D63" s="30"/>
      <c r="E63" s="30"/>
      <c r="F63" s="38">
        <f t="shared" ref="F63:O63" si="310">IF(AND($F$43&gt;0,F57&gt;0),((F48+F62)*(((1+F49/400)^2)-1)+F59*(((1+F49/200)^2)-1))*$F$43/100,0)</f>
        <v>0</v>
      </c>
      <c r="G63" s="38">
        <f t="shared" si="310"/>
        <v>0</v>
      </c>
      <c r="H63" s="38">
        <f t="shared" si="310"/>
        <v>0</v>
      </c>
      <c r="I63" s="38">
        <f t="shared" si="310"/>
        <v>0</v>
      </c>
      <c r="J63" s="38">
        <f t="shared" si="310"/>
        <v>0</v>
      </c>
      <c r="K63" s="38">
        <f t="shared" si="310"/>
        <v>0</v>
      </c>
      <c r="L63" s="38">
        <f t="shared" si="310"/>
        <v>0</v>
      </c>
      <c r="M63" s="38">
        <f t="shared" si="310"/>
        <v>0</v>
      </c>
      <c r="N63" s="38">
        <f t="shared" si="310"/>
        <v>0</v>
      </c>
      <c r="O63" s="38">
        <f t="shared" si="310"/>
        <v>0</v>
      </c>
      <c r="P63" s="38">
        <f>SUM(F63:O63)</f>
        <v>0</v>
      </c>
      <c r="Q63" s="12"/>
      <c r="R63" s="12"/>
      <c r="S63" s="12"/>
      <c r="W63" s="12"/>
      <c r="X63" s="12"/>
      <c r="Y63" s="12"/>
      <c r="Z63" s="12"/>
      <c r="AA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  <c r="BL63" s="12"/>
      <c r="BM63" s="12"/>
      <c r="BN63" s="12"/>
      <c r="BO63" s="12"/>
      <c r="BP63" s="12"/>
      <c r="BQ63" s="12"/>
      <c r="BR63" s="12"/>
      <c r="BS63" s="12"/>
      <c r="BT63" s="12"/>
    </row>
    <row r="64" spans="1:72">
      <c r="A64" s="33" t="s">
        <v>17</v>
      </c>
      <c r="B64" s="30"/>
      <c r="C64" s="30"/>
      <c r="D64" s="30"/>
      <c r="E64" s="30"/>
      <c r="F64" s="38">
        <f t="shared" ref="F64:O64" si="311">SUM(F61:F63)</f>
        <v>191.97299798358151</v>
      </c>
      <c r="G64" s="38">
        <f t="shared" si="311"/>
        <v>409.08954720311658</v>
      </c>
      <c r="H64" s="38">
        <f t="shared" si="311"/>
        <v>4576.3217681347141</v>
      </c>
      <c r="I64" s="38">
        <f t="shared" si="311"/>
        <v>11953.818786693082</v>
      </c>
      <c r="J64" s="38">
        <f t="shared" si="311"/>
        <v>4155.2579081023559</v>
      </c>
      <c r="K64" s="38">
        <f t="shared" si="311"/>
        <v>0</v>
      </c>
      <c r="L64" s="38">
        <f t="shared" si="311"/>
        <v>0</v>
      </c>
      <c r="M64" s="38">
        <f t="shared" si="311"/>
        <v>0</v>
      </c>
      <c r="N64" s="38">
        <f t="shared" si="311"/>
        <v>0</v>
      </c>
      <c r="O64" s="38">
        <f t="shared" si="311"/>
        <v>0</v>
      </c>
      <c r="P64" s="38">
        <f>SUM(F64:O64)</f>
        <v>21286.46100811685</v>
      </c>
      <c r="Q64" s="12"/>
      <c r="R64" s="12"/>
      <c r="S64" s="12"/>
      <c r="W64" s="12"/>
      <c r="X64" s="12"/>
      <c r="Y64" s="12"/>
      <c r="Z64" s="12"/>
      <c r="AA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  <c r="BL64" s="12"/>
      <c r="BM64" s="12"/>
      <c r="BN64" s="12"/>
      <c r="BO64" s="12"/>
      <c r="BP64" s="12"/>
      <c r="BQ64" s="12"/>
      <c r="BR64" s="12"/>
      <c r="BS64" s="12"/>
      <c r="BT64" s="12"/>
    </row>
    <row r="65" spans="1:72">
      <c r="A65" s="33" t="s">
        <v>18</v>
      </c>
      <c r="B65" s="30"/>
      <c r="C65" s="30"/>
      <c r="D65" s="30"/>
      <c r="E65" s="30"/>
      <c r="F65" s="38">
        <f>IF(F60=0,0,(F60/($F$39-$F$38)*0.5))</f>
        <v>443.46793766910105</v>
      </c>
      <c r="G65" s="40" t="s">
        <v>8</v>
      </c>
      <c r="H65" s="40" t="s">
        <v>8</v>
      </c>
      <c r="I65" s="40" t="s">
        <v>8</v>
      </c>
      <c r="J65" s="40" t="s">
        <v>8</v>
      </c>
      <c r="K65" s="40" t="s">
        <v>8</v>
      </c>
      <c r="L65" s="40" t="s">
        <v>8</v>
      </c>
      <c r="M65" s="40" t="s">
        <v>8</v>
      </c>
      <c r="N65" s="40" t="s">
        <v>8</v>
      </c>
      <c r="O65" s="40" t="s">
        <v>8</v>
      </c>
      <c r="P65" s="39"/>
      <c r="Q65" s="12"/>
      <c r="R65" s="12"/>
      <c r="S65" s="12"/>
      <c r="W65" s="12"/>
      <c r="X65" s="12"/>
      <c r="Y65" s="12"/>
      <c r="Z65" s="12"/>
      <c r="AA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  <c r="BL65" s="12"/>
      <c r="BM65" s="12"/>
      <c r="BN65" s="12"/>
      <c r="BO65" s="12"/>
      <c r="BP65" s="12"/>
      <c r="BQ65" s="12"/>
      <c r="BR65" s="12"/>
      <c r="BS65" s="12"/>
      <c r="BT65" s="12"/>
    </row>
    <row r="66" spans="1:72">
      <c r="A66" s="33" t="s">
        <v>19</v>
      </c>
      <c r="B66" s="30"/>
      <c r="C66" s="30"/>
      <c r="D66" s="30"/>
      <c r="E66" s="30"/>
      <c r="F66" s="38">
        <f t="shared" ref="F66:O66" si="312">IF(AND($F$38+0.5&lt;F58,$F$39+0.5&gt;=F58),$F65,0)</f>
        <v>0</v>
      </c>
      <c r="G66" s="38">
        <f t="shared" si="312"/>
        <v>0</v>
      </c>
      <c r="H66" s="38">
        <f t="shared" si="312"/>
        <v>0</v>
      </c>
      <c r="I66" s="38">
        <f t="shared" si="312"/>
        <v>0</v>
      </c>
      <c r="J66" s="38">
        <f t="shared" si="312"/>
        <v>0</v>
      </c>
      <c r="K66" s="38">
        <f t="shared" si="312"/>
        <v>0</v>
      </c>
      <c r="L66" s="38">
        <f t="shared" si="312"/>
        <v>443.46793766910105</v>
      </c>
      <c r="M66" s="38">
        <f t="shared" si="312"/>
        <v>443.46793766910105</v>
      </c>
      <c r="N66" s="38">
        <f t="shared" si="312"/>
        <v>443.46793766910105</v>
      </c>
      <c r="O66" s="38">
        <f t="shared" si="312"/>
        <v>443.46793766910105</v>
      </c>
      <c r="P66" s="38">
        <f>SUM(F66:O66)</f>
        <v>1773.8717506764042</v>
      </c>
      <c r="Q66" s="12"/>
      <c r="R66" s="12"/>
      <c r="S66" s="12"/>
      <c r="W66" s="12"/>
      <c r="X66" s="12"/>
      <c r="Y66" s="12"/>
      <c r="Z66" s="12"/>
      <c r="AA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  <c r="BL66" s="12"/>
      <c r="BM66" s="12"/>
      <c r="BN66" s="12"/>
      <c r="BO66" s="12"/>
      <c r="BP66" s="12"/>
      <c r="BQ66" s="12"/>
      <c r="BR66" s="12"/>
      <c r="BS66" s="12"/>
      <c r="BT66" s="12"/>
    </row>
    <row r="67" spans="1:72">
      <c r="A67" s="33" t="s">
        <v>20</v>
      </c>
      <c r="B67" s="30"/>
      <c r="C67" s="30"/>
      <c r="D67" s="30"/>
      <c r="E67" s="30"/>
      <c r="F67" s="38">
        <f t="shared" ref="F67:O67" si="313">IF(AND($F$38+0.5&lt;=F58,$F$39&gt;=F58),$F65,0)</f>
        <v>0</v>
      </c>
      <c r="G67" s="38">
        <f t="shared" si="313"/>
        <v>0</v>
      </c>
      <c r="H67" s="38">
        <f t="shared" si="313"/>
        <v>0</v>
      </c>
      <c r="I67" s="38">
        <f t="shared" si="313"/>
        <v>0</v>
      </c>
      <c r="J67" s="38">
        <f t="shared" si="313"/>
        <v>0</v>
      </c>
      <c r="K67" s="38">
        <f t="shared" si="313"/>
        <v>0</v>
      </c>
      <c r="L67" s="38">
        <f t="shared" si="313"/>
        <v>443.46793766910105</v>
      </c>
      <c r="M67" s="38">
        <f t="shared" si="313"/>
        <v>443.46793766910105</v>
      </c>
      <c r="N67" s="38">
        <f t="shared" si="313"/>
        <v>443.46793766910105</v>
      </c>
      <c r="O67" s="38">
        <f t="shared" si="313"/>
        <v>443.46793766910105</v>
      </c>
      <c r="P67" s="38">
        <f>SUM(F67:O67)</f>
        <v>1773.8717506764042</v>
      </c>
      <c r="Q67" s="12"/>
      <c r="R67" s="12"/>
      <c r="S67" s="12"/>
      <c r="W67" s="12"/>
      <c r="X67" s="12"/>
      <c r="Y67" s="12"/>
      <c r="Z67" s="12"/>
      <c r="AA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  <c r="BL67" s="12"/>
      <c r="BM67" s="12"/>
      <c r="BN67" s="12"/>
      <c r="BO67" s="12"/>
      <c r="BP67" s="12"/>
      <c r="BQ67" s="12"/>
      <c r="BR67" s="12"/>
      <c r="BS67" s="12"/>
      <c r="BT67" s="12"/>
    </row>
    <row r="68" spans="1:72">
      <c r="A68" s="33" t="s">
        <v>21</v>
      </c>
      <c r="B68" s="30"/>
      <c r="C68" s="30"/>
      <c r="D68" s="30"/>
      <c r="E68" s="30"/>
      <c r="F68" s="38">
        <f t="shared" ref="F68:O68" si="314">(F59+F48+F62+F63-F66-F67)</f>
        <v>191.97299798358151</v>
      </c>
      <c r="G68" s="38">
        <f t="shared" si="314"/>
        <v>601.06254518669812</v>
      </c>
      <c r="H68" s="38">
        <f t="shared" si="314"/>
        <v>5177.3843133214123</v>
      </c>
      <c r="I68" s="38">
        <f t="shared" si="314"/>
        <v>17131.203100014493</v>
      </c>
      <c r="J68" s="38">
        <f t="shared" si="314"/>
        <v>21286.46100811685</v>
      </c>
      <c r="K68" s="38">
        <f t="shared" si="314"/>
        <v>21286.46100811685</v>
      </c>
      <c r="L68" s="38">
        <f t="shared" si="314"/>
        <v>20399.525132778646</v>
      </c>
      <c r="M68" s="38">
        <f t="shared" si="314"/>
        <v>19512.589257440442</v>
      </c>
      <c r="N68" s="38">
        <f t="shared" si="314"/>
        <v>18625.653382102239</v>
      </c>
      <c r="O68" s="38">
        <f t="shared" si="314"/>
        <v>17738.717506764035</v>
      </c>
      <c r="P68" s="39"/>
      <c r="Q68" s="12"/>
      <c r="R68" s="12"/>
      <c r="S68" s="12"/>
      <c r="W68" s="12"/>
      <c r="X68" s="12"/>
      <c r="Y68" s="12"/>
      <c r="Z68" s="12"/>
      <c r="AA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  <c r="BL68" s="12"/>
      <c r="BM68" s="12"/>
      <c r="BN68" s="12"/>
      <c r="BO68" s="12"/>
      <c r="BP68" s="12"/>
      <c r="BQ68" s="12"/>
      <c r="BR68" s="12"/>
      <c r="BS68" s="12"/>
      <c r="BT68" s="12"/>
    </row>
    <row r="69" spans="1:72">
      <c r="A69" s="33" t="s">
        <v>22</v>
      </c>
      <c r="B69" s="30"/>
      <c r="C69" s="30"/>
      <c r="D69" s="30"/>
      <c r="E69" s="30"/>
      <c r="F69" s="38">
        <f t="shared" ref="F69:O69" si="315">IF(F57&gt;0,F49/100*(F59+0.5*(F48+F62))*(1-$F$43/100),0)</f>
        <v>3.9354464586634204</v>
      </c>
      <c r="G69" s="38">
        <f t="shared" si="315"/>
        <v>16.257228634990732</v>
      </c>
      <c r="H69" s="38">
        <f t="shared" si="315"/>
        <v>118.45816059941625</v>
      </c>
      <c r="I69" s="38">
        <f t="shared" si="315"/>
        <v>457.32604197338605</v>
      </c>
      <c r="J69" s="38">
        <f t="shared" si="315"/>
        <v>787.56211421669241</v>
      </c>
      <c r="K69" s="38">
        <f t="shared" si="315"/>
        <v>0</v>
      </c>
      <c r="L69" s="38">
        <f t="shared" si="315"/>
        <v>0</v>
      </c>
      <c r="M69" s="38">
        <f t="shared" si="315"/>
        <v>0</v>
      </c>
      <c r="N69" s="38">
        <f t="shared" si="315"/>
        <v>0</v>
      </c>
      <c r="O69" s="38">
        <f t="shared" si="315"/>
        <v>0</v>
      </c>
      <c r="P69" s="38">
        <f>SUM(F69:O69)</f>
        <v>1383.5389918831488</v>
      </c>
      <c r="Q69" s="12"/>
      <c r="R69" s="12"/>
      <c r="S69" s="12"/>
      <c r="W69" s="12"/>
      <c r="X69" s="12"/>
      <c r="Y69" s="12"/>
      <c r="Z69" s="12"/>
      <c r="AA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  <c r="BL69" s="12"/>
      <c r="BM69" s="12"/>
      <c r="BN69" s="12"/>
      <c r="BO69" s="12"/>
      <c r="BP69" s="12"/>
      <c r="BQ69" s="12"/>
      <c r="BR69" s="12"/>
      <c r="BS69" s="12"/>
      <c r="BT69" s="12"/>
    </row>
    <row r="70" spans="1:72">
      <c r="A70" s="33" t="s">
        <v>23</v>
      </c>
      <c r="B70" s="30"/>
      <c r="C70" s="30"/>
      <c r="D70" s="30"/>
      <c r="E70" s="30"/>
      <c r="F70" s="38">
        <f t="shared" ref="F70:O70" si="316">IF(F57=0,(F59+F67+F68)*0.5*F49/100,0)</f>
        <v>0</v>
      </c>
      <c r="G70" s="38">
        <f t="shared" si="316"/>
        <v>0</v>
      </c>
      <c r="H70" s="38">
        <f t="shared" si="316"/>
        <v>0</v>
      </c>
      <c r="I70" s="38">
        <f t="shared" si="316"/>
        <v>0</v>
      </c>
      <c r="J70" s="38">
        <f t="shared" si="316"/>
        <v>0</v>
      </c>
      <c r="K70" s="38">
        <f t="shared" si="316"/>
        <v>872.74490133279073</v>
      </c>
      <c r="L70" s="38">
        <f t="shared" si="316"/>
        <v>863.65380861057406</v>
      </c>
      <c r="M70" s="38">
        <f t="shared" si="316"/>
        <v>827.28943772170783</v>
      </c>
      <c r="N70" s="38">
        <f t="shared" si="316"/>
        <v>790.92506683284137</v>
      </c>
      <c r="O70" s="38">
        <f t="shared" si="316"/>
        <v>754.56069594397502</v>
      </c>
      <c r="P70" s="38">
        <f>SUM(F70:O70)</f>
        <v>4109.1739104418884</v>
      </c>
      <c r="Q70" s="12"/>
      <c r="R70" s="12"/>
      <c r="S70" s="12"/>
      <c r="W70" s="12"/>
      <c r="X70" s="12"/>
      <c r="Y70" s="12"/>
      <c r="Z70" s="12"/>
      <c r="AA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  <c r="BL70" s="12"/>
      <c r="BM70" s="12"/>
      <c r="BN70" s="12"/>
      <c r="BO70" s="12"/>
      <c r="BP70" s="12"/>
      <c r="BQ70" s="12"/>
      <c r="BR70" s="12"/>
      <c r="BS70" s="12"/>
      <c r="BT70" s="12"/>
    </row>
    <row r="71" spans="1:72">
      <c r="A71" s="33" t="s">
        <v>24</v>
      </c>
      <c r="B71" s="30"/>
      <c r="C71" s="30"/>
      <c r="D71" s="30"/>
      <c r="E71" s="30"/>
      <c r="F71" s="38">
        <f t="shared" ref="F71:O71" si="317">IF(F57&gt;0,($F60-F59-(F61+F63+F62)*0.5)*$F$40/100*IF(F61=1,IF(F61&lt;=2,0,0.83),IF(F61&gt;1,1,0)),0)</f>
        <v>26.488093136406324</v>
      </c>
      <c r="G71" s="38">
        <f t="shared" si="317"/>
        <v>26.112429045664634</v>
      </c>
      <c r="H71" s="38">
        <f t="shared" si="317"/>
        <v>22.996546973578493</v>
      </c>
      <c r="I71" s="38">
        <f t="shared" si="317"/>
        <v>12.665209126811121</v>
      </c>
      <c r="J71" s="38">
        <f t="shared" si="317"/>
        <v>2.5970361925639747</v>
      </c>
      <c r="K71" s="38">
        <f t="shared" si="317"/>
        <v>0</v>
      </c>
      <c r="L71" s="38">
        <f t="shared" si="317"/>
        <v>0</v>
      </c>
      <c r="M71" s="38">
        <f t="shared" si="317"/>
        <v>0</v>
      </c>
      <c r="N71" s="38">
        <f t="shared" si="317"/>
        <v>0</v>
      </c>
      <c r="O71" s="38">
        <f t="shared" si="317"/>
        <v>0</v>
      </c>
      <c r="P71" s="38">
        <f>SUM(F71:O71)</f>
        <v>90.859314475024547</v>
      </c>
      <c r="Q71" s="12"/>
      <c r="R71" s="12"/>
      <c r="S71" s="12"/>
      <c r="W71" s="12"/>
      <c r="X71" s="12"/>
      <c r="Y71" s="12"/>
      <c r="Z71" s="12"/>
      <c r="AA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  <c r="BL71" s="12"/>
      <c r="BM71" s="12"/>
      <c r="BN71" s="12"/>
      <c r="BO71" s="12"/>
      <c r="BP71" s="12"/>
      <c r="BQ71" s="12"/>
      <c r="BR71" s="12"/>
      <c r="BS71" s="12"/>
      <c r="BT71" s="12"/>
    </row>
    <row r="72" spans="1:72">
      <c r="A72" s="31" t="str">
        <f>A50</f>
        <v>xxxx</v>
      </c>
      <c r="B72" s="30"/>
      <c r="C72" s="30"/>
      <c r="D72" s="30"/>
      <c r="E72" s="30"/>
      <c r="F72" s="54" t="s">
        <v>47</v>
      </c>
      <c r="G72" s="54" t="s">
        <v>47</v>
      </c>
      <c r="H72" s="54" t="s">
        <v>47</v>
      </c>
      <c r="I72" s="54" t="s">
        <v>47</v>
      </c>
      <c r="J72" s="54" t="s">
        <v>47</v>
      </c>
      <c r="K72" s="54" t="s">
        <v>47</v>
      </c>
      <c r="L72" s="54" t="s">
        <v>47</v>
      </c>
      <c r="M72" s="54" t="s">
        <v>47</v>
      </c>
      <c r="N72" s="54" t="s">
        <v>47</v>
      </c>
      <c r="O72" s="54" t="s">
        <v>47</v>
      </c>
      <c r="P72" s="54" t="s">
        <v>47</v>
      </c>
      <c r="Q72" s="12"/>
      <c r="R72" s="12"/>
      <c r="S72" s="12"/>
      <c r="W72" s="12"/>
      <c r="X72" s="12"/>
      <c r="Y72" s="12"/>
      <c r="Z72" s="12"/>
      <c r="AA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  <c r="BL72" s="12"/>
      <c r="BM72" s="12"/>
      <c r="BN72" s="12"/>
      <c r="BO72" s="12"/>
      <c r="BP72" s="12"/>
      <c r="BQ72" s="12"/>
      <c r="BR72" s="12"/>
      <c r="BS72" s="12"/>
      <c r="BT72" s="12"/>
    </row>
    <row r="73" spans="1:72">
      <c r="A73" s="33" t="s">
        <v>10</v>
      </c>
      <c r="B73" s="30"/>
      <c r="C73" s="30"/>
      <c r="D73" s="30"/>
      <c r="E73" s="30"/>
      <c r="F73" s="38">
        <f>IF(F51&gt;0,1,0)</f>
        <v>0</v>
      </c>
      <c r="G73" s="38">
        <f>IF(G51&gt;0,1+F73,IF(AND(F73&gt;0,SUM(G51:$O$51)&gt;0),F73+1,0))</f>
        <v>0</v>
      </c>
      <c r="H73" s="38">
        <f>IF(H51&gt;0,1+G73,IF(AND(G73&gt;0,SUM(H51:$O$51)&gt;0),G73+1,0))</f>
        <v>0</v>
      </c>
      <c r="I73" s="38">
        <f>IF(I51&gt;0,1+H73,IF(AND(H73&gt;0,SUM(I51:$O$51)&gt;0),H73+1,0))</f>
        <v>0</v>
      </c>
      <c r="J73" s="38">
        <f>IF(J51&gt;0,1+I73,IF(AND(I73&gt;0,SUM(J51:$O$51)&gt;0),I73+1,0))</f>
        <v>0</v>
      </c>
      <c r="K73" s="38">
        <f>IF(K51&gt;0,1+J73,IF(AND(J73&gt;0,SUM(K51:$O$51)&gt;0),J73+1,0))</f>
        <v>0</v>
      </c>
      <c r="L73" s="38">
        <f>IF(L51&gt;0,1+K73,IF(AND(K73&gt;0,SUM(L51:$O$51)&gt;0),K73+1,0))</f>
        <v>0</v>
      </c>
      <c r="M73" s="38">
        <f>IF(M51&gt;0,1+L73,IF(AND(L73&gt;0,SUM(M51:$O$51)&gt;0),L73+1,0))</f>
        <v>0</v>
      </c>
      <c r="N73" s="38">
        <f>IF(N51&gt;0,1+M73,IF(AND(M73&gt;0,SUM(N51:$O$51)&gt;0),M73+1,0))</f>
        <v>0</v>
      </c>
      <c r="O73" s="38">
        <f>IF(O51&gt;0,1+N73,IF(AND(N73&gt;0,SUM($O$51)&gt;0),N73+1,0))</f>
        <v>0</v>
      </c>
      <c r="P73" s="39"/>
      <c r="Q73" s="12"/>
      <c r="R73" s="12"/>
      <c r="S73" s="12"/>
      <c r="W73" s="12"/>
      <c r="X73" s="12"/>
      <c r="Y73" s="12"/>
      <c r="Z73" s="12"/>
      <c r="AA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  <c r="BL73" s="12"/>
      <c r="BM73" s="12"/>
      <c r="BN73" s="12"/>
      <c r="BO73" s="12"/>
      <c r="BP73" s="12"/>
      <c r="BQ73" s="12"/>
      <c r="BR73" s="12"/>
      <c r="BS73" s="12"/>
      <c r="BT73" s="12"/>
    </row>
    <row r="74" spans="1:72">
      <c r="A74" s="33" t="s">
        <v>11</v>
      </c>
      <c r="B74" s="30"/>
      <c r="C74" s="30"/>
      <c r="D74" s="30"/>
      <c r="E74" s="30"/>
      <c r="F74" s="38">
        <f>IF(F73&gt;0,F73,IF($G$37&gt;0,1,0))</f>
        <v>0</v>
      </c>
      <c r="G74" s="38">
        <f t="shared" ref="G74:O74" si="318">IF(F74&gt;0,1+F74,IF(G73&gt;0,G73,0))</f>
        <v>0</v>
      </c>
      <c r="H74" s="38">
        <f t="shared" si="318"/>
        <v>0</v>
      </c>
      <c r="I74" s="38">
        <f t="shared" si="318"/>
        <v>0</v>
      </c>
      <c r="J74" s="38">
        <f t="shared" si="318"/>
        <v>0</v>
      </c>
      <c r="K74" s="38">
        <f t="shared" si="318"/>
        <v>0</v>
      </c>
      <c r="L74" s="38">
        <f t="shared" si="318"/>
        <v>0</v>
      </c>
      <c r="M74" s="38">
        <f t="shared" si="318"/>
        <v>0</v>
      </c>
      <c r="N74" s="38">
        <f t="shared" si="318"/>
        <v>0</v>
      </c>
      <c r="O74" s="38">
        <f t="shared" si="318"/>
        <v>0</v>
      </c>
      <c r="P74" s="39"/>
      <c r="Q74" s="12"/>
      <c r="R74" s="12"/>
      <c r="S74" s="12"/>
      <c r="W74" s="12"/>
      <c r="X74" s="12"/>
      <c r="Y74" s="12"/>
      <c r="Z74" s="12"/>
      <c r="AA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  <c r="BL74" s="12"/>
      <c r="BM74" s="12"/>
      <c r="BN74" s="12"/>
      <c r="BO74" s="12"/>
      <c r="BP74" s="12"/>
      <c r="BQ74" s="12"/>
      <c r="BR74" s="12"/>
      <c r="BS74" s="12"/>
      <c r="BT74" s="12"/>
    </row>
    <row r="75" spans="1:72">
      <c r="A75" s="33" t="s">
        <v>12</v>
      </c>
      <c r="B75" s="30"/>
      <c r="C75" s="30"/>
      <c r="D75" s="30"/>
      <c r="E75" s="30"/>
      <c r="F75" s="38">
        <f>$G$37</f>
        <v>0</v>
      </c>
      <c r="G75" s="38">
        <f t="shared" ref="G75:O75" si="319">F84</f>
        <v>0</v>
      </c>
      <c r="H75" s="38">
        <f t="shared" si="319"/>
        <v>0</v>
      </c>
      <c r="I75" s="38">
        <f t="shared" si="319"/>
        <v>0</v>
      </c>
      <c r="J75" s="38">
        <f t="shared" si="319"/>
        <v>0</v>
      </c>
      <c r="K75" s="38">
        <f t="shared" si="319"/>
        <v>0</v>
      </c>
      <c r="L75" s="38">
        <f t="shared" si="319"/>
        <v>0</v>
      </c>
      <c r="M75" s="38">
        <f t="shared" si="319"/>
        <v>0</v>
      </c>
      <c r="N75" s="38">
        <f t="shared" si="319"/>
        <v>0</v>
      </c>
      <c r="O75" s="38">
        <f t="shared" si="319"/>
        <v>0</v>
      </c>
      <c r="P75" s="39"/>
      <c r="Q75" s="12"/>
      <c r="R75" s="12"/>
      <c r="S75" s="12"/>
      <c r="W75" s="12"/>
      <c r="X75" s="12"/>
      <c r="Y75" s="12"/>
      <c r="Z75" s="12"/>
      <c r="AA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  <c r="BL75" s="12"/>
      <c r="BM75" s="12"/>
      <c r="BN75" s="12"/>
      <c r="BO75" s="12"/>
      <c r="BP75" s="12"/>
      <c r="BQ75" s="12"/>
      <c r="BR75" s="12"/>
      <c r="BS75" s="12"/>
      <c r="BT75" s="12"/>
    </row>
    <row r="76" spans="1:72">
      <c r="A76" s="33" t="s">
        <v>13</v>
      </c>
      <c r="B76" s="30"/>
      <c r="C76" s="30"/>
      <c r="D76" s="30"/>
      <c r="E76" s="30"/>
      <c r="F76" s="38">
        <f>$G$37+(SUM($F51:$O51)+SUM($F79:$O79))/IF($G$42=1,0.99,1)</f>
        <v>0</v>
      </c>
      <c r="G76" s="40" t="s">
        <v>48</v>
      </c>
      <c r="H76" s="39"/>
      <c r="I76" s="39"/>
      <c r="J76" s="39"/>
      <c r="K76" s="39"/>
      <c r="L76" s="39"/>
      <c r="M76" s="39"/>
      <c r="N76" s="39"/>
      <c r="O76" s="39"/>
      <c r="P76" s="39"/>
      <c r="Q76" s="12"/>
      <c r="R76" s="12"/>
      <c r="S76" s="12"/>
      <c r="W76" s="12"/>
      <c r="X76" s="12"/>
      <c r="Y76" s="12"/>
      <c r="Z76" s="12"/>
      <c r="AA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  <c r="BL76" s="12"/>
      <c r="BM76" s="12"/>
      <c r="BN76" s="12"/>
      <c r="BO76" s="12"/>
      <c r="BP76" s="12"/>
      <c r="BQ76" s="12"/>
      <c r="BR76" s="12"/>
      <c r="BS76" s="12"/>
      <c r="BT76" s="12"/>
    </row>
    <row r="77" spans="1:72">
      <c r="A77" s="33" t="s">
        <v>14</v>
      </c>
      <c r="B77" s="30"/>
      <c r="C77" s="30"/>
      <c r="D77" s="30"/>
      <c r="E77" s="30"/>
      <c r="F77" s="38">
        <f t="shared" ref="F77:O77" si="320">(F51)</f>
        <v>0</v>
      </c>
      <c r="G77" s="38">
        <f t="shared" si="320"/>
        <v>0</v>
      </c>
      <c r="H77" s="38">
        <f t="shared" si="320"/>
        <v>0</v>
      </c>
      <c r="I77" s="38">
        <f t="shared" si="320"/>
        <v>0</v>
      </c>
      <c r="J77" s="38">
        <f t="shared" si="320"/>
        <v>0</v>
      </c>
      <c r="K77" s="38">
        <f t="shared" si="320"/>
        <v>0</v>
      </c>
      <c r="L77" s="38">
        <f t="shared" si="320"/>
        <v>0</v>
      </c>
      <c r="M77" s="38">
        <f t="shared" si="320"/>
        <v>0</v>
      </c>
      <c r="N77" s="38">
        <f t="shared" si="320"/>
        <v>0</v>
      </c>
      <c r="O77" s="38">
        <f t="shared" si="320"/>
        <v>0</v>
      </c>
      <c r="P77" s="38">
        <f>SUM(F77:O77)</f>
        <v>0</v>
      </c>
      <c r="Q77" s="12"/>
      <c r="R77" s="12"/>
      <c r="S77" s="12"/>
      <c r="W77" s="12"/>
      <c r="X77" s="12"/>
      <c r="Y77" s="12"/>
      <c r="Z77" s="12"/>
      <c r="AA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  <c r="BL77" s="12"/>
      <c r="BM77" s="12"/>
      <c r="BN77" s="12"/>
      <c r="BO77" s="12"/>
      <c r="BP77" s="12"/>
      <c r="BQ77" s="12"/>
      <c r="BR77" s="12"/>
      <c r="BS77" s="12"/>
      <c r="BT77" s="12"/>
    </row>
    <row r="78" spans="1:72">
      <c r="A78" s="33" t="s">
        <v>15</v>
      </c>
      <c r="B78" s="30"/>
      <c r="C78" s="30"/>
      <c r="D78" s="30"/>
      <c r="E78" s="30"/>
      <c r="F78" s="38">
        <f t="shared" ref="F78:O78" si="321">IF($G$42=1,IF(F73&gt;0,+($F76-$G$37)*0.01/MAX($F73:$O73),0),0)</f>
        <v>0</v>
      </c>
      <c r="G78" s="38">
        <f t="shared" si="321"/>
        <v>0</v>
      </c>
      <c r="H78" s="38">
        <f t="shared" si="321"/>
        <v>0</v>
      </c>
      <c r="I78" s="38">
        <f t="shared" si="321"/>
        <v>0</v>
      </c>
      <c r="J78" s="38">
        <f t="shared" si="321"/>
        <v>0</v>
      </c>
      <c r="K78" s="38">
        <f t="shared" si="321"/>
        <v>0</v>
      </c>
      <c r="L78" s="38">
        <f t="shared" si="321"/>
        <v>0</v>
      </c>
      <c r="M78" s="38">
        <f t="shared" si="321"/>
        <v>0</v>
      </c>
      <c r="N78" s="38">
        <f t="shared" si="321"/>
        <v>0</v>
      </c>
      <c r="O78" s="38">
        <f t="shared" si="321"/>
        <v>0</v>
      </c>
      <c r="P78" s="38">
        <f>SUM(F78:O78)</f>
        <v>0</v>
      </c>
      <c r="Q78" s="12"/>
      <c r="R78" s="12"/>
      <c r="S78" s="12"/>
      <c r="W78" s="12"/>
      <c r="X78" s="12"/>
      <c r="Y78" s="12"/>
      <c r="Z78" s="12"/>
      <c r="AA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  <c r="BL78" s="12"/>
      <c r="BM78" s="12"/>
      <c r="BN78" s="12"/>
      <c r="BO78" s="12"/>
      <c r="BP78" s="12"/>
      <c r="BQ78" s="12"/>
      <c r="BR78" s="12"/>
      <c r="BS78" s="12"/>
      <c r="BT78" s="12"/>
    </row>
    <row r="79" spans="1:72">
      <c r="A79" s="33" t="s">
        <v>16</v>
      </c>
      <c r="B79" s="30"/>
      <c r="C79" s="30"/>
      <c r="D79" s="30"/>
      <c r="E79" s="30"/>
      <c r="F79" s="38">
        <f t="shared" ref="F79:O79" si="322">IF(AND($G$43&gt;0,F73&gt;0),((F77+F78)*(((1+F52/400)^2)-1)+F75*(((1+F52/200)^2)-1))*$G$43/100,0)</f>
        <v>0</v>
      </c>
      <c r="G79" s="38">
        <f t="shared" si="322"/>
        <v>0</v>
      </c>
      <c r="H79" s="38">
        <f t="shared" si="322"/>
        <v>0</v>
      </c>
      <c r="I79" s="38">
        <f t="shared" si="322"/>
        <v>0</v>
      </c>
      <c r="J79" s="38">
        <f t="shared" si="322"/>
        <v>0</v>
      </c>
      <c r="K79" s="38">
        <f t="shared" si="322"/>
        <v>0</v>
      </c>
      <c r="L79" s="38">
        <f t="shared" si="322"/>
        <v>0</v>
      </c>
      <c r="M79" s="38">
        <f t="shared" si="322"/>
        <v>0</v>
      </c>
      <c r="N79" s="38">
        <f t="shared" si="322"/>
        <v>0</v>
      </c>
      <c r="O79" s="38">
        <f t="shared" si="322"/>
        <v>0</v>
      </c>
      <c r="P79" s="38">
        <f>SUM(F79:O79)</f>
        <v>0</v>
      </c>
      <c r="Q79" s="12"/>
      <c r="R79" s="12"/>
      <c r="S79" s="12"/>
      <c r="W79" s="12"/>
      <c r="X79" s="12"/>
      <c r="Y79" s="12"/>
      <c r="Z79" s="12"/>
      <c r="AA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  <c r="BL79" s="12"/>
      <c r="BM79" s="12"/>
      <c r="BN79" s="12"/>
      <c r="BO79" s="12"/>
      <c r="BP79" s="12"/>
      <c r="BQ79" s="12"/>
      <c r="BR79" s="12"/>
      <c r="BS79" s="12"/>
      <c r="BT79" s="12"/>
    </row>
    <row r="80" spans="1:72">
      <c r="A80" s="33" t="s">
        <v>17</v>
      </c>
      <c r="B80" s="30"/>
      <c r="C80" s="30"/>
      <c r="D80" s="30"/>
      <c r="E80" s="30"/>
      <c r="F80" s="38">
        <f t="shared" ref="F80:O80" si="323">SUM(F77:F79)</f>
        <v>0</v>
      </c>
      <c r="G80" s="38">
        <f t="shared" si="323"/>
        <v>0</v>
      </c>
      <c r="H80" s="38">
        <f t="shared" si="323"/>
        <v>0</v>
      </c>
      <c r="I80" s="38">
        <f t="shared" si="323"/>
        <v>0</v>
      </c>
      <c r="J80" s="38">
        <f t="shared" si="323"/>
        <v>0</v>
      </c>
      <c r="K80" s="38">
        <f t="shared" si="323"/>
        <v>0</v>
      </c>
      <c r="L80" s="38">
        <f t="shared" si="323"/>
        <v>0</v>
      </c>
      <c r="M80" s="38">
        <f t="shared" si="323"/>
        <v>0</v>
      </c>
      <c r="N80" s="38">
        <f t="shared" si="323"/>
        <v>0</v>
      </c>
      <c r="O80" s="38">
        <f t="shared" si="323"/>
        <v>0</v>
      </c>
      <c r="P80" s="38">
        <f>SUM(F80:O80)</f>
        <v>0</v>
      </c>
      <c r="Q80" s="12"/>
      <c r="R80" s="12"/>
      <c r="S80" s="12"/>
      <c r="W80" s="12"/>
      <c r="X80" s="12"/>
      <c r="Y80" s="12"/>
      <c r="Z80" s="12"/>
      <c r="AA80" s="12"/>
      <c r="AE80" s="12"/>
      <c r="AF80" s="12"/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  <c r="BJ80" s="12"/>
      <c r="BK80" s="12"/>
      <c r="BL80" s="12"/>
      <c r="BM80" s="12"/>
      <c r="BN80" s="12"/>
      <c r="BO80" s="12"/>
      <c r="BP80" s="12"/>
      <c r="BQ80" s="12"/>
      <c r="BR80" s="12"/>
      <c r="BS80" s="12"/>
      <c r="BT80" s="12"/>
    </row>
    <row r="81" spans="1:16">
      <c r="A81" s="33" t="s">
        <v>18</v>
      </c>
      <c r="B81" s="30"/>
      <c r="C81" s="30"/>
      <c r="D81" s="30"/>
      <c r="E81" s="30"/>
      <c r="F81" s="38">
        <f>IF(F76=0,0,(F76/($G$39-$G$38)*0.5))</f>
        <v>0</v>
      </c>
      <c r="G81" s="40" t="s">
        <v>8</v>
      </c>
      <c r="H81" s="40" t="s">
        <v>8</v>
      </c>
      <c r="I81" s="40" t="s">
        <v>8</v>
      </c>
      <c r="J81" s="40" t="s">
        <v>8</v>
      </c>
      <c r="K81" s="40" t="s">
        <v>8</v>
      </c>
      <c r="L81" s="40" t="s">
        <v>8</v>
      </c>
      <c r="M81" s="40" t="s">
        <v>8</v>
      </c>
      <c r="N81" s="40" t="s">
        <v>8</v>
      </c>
      <c r="O81" s="40" t="s">
        <v>8</v>
      </c>
      <c r="P81" s="39"/>
    </row>
    <row r="82" spans="1:16">
      <c r="A82" s="33" t="s">
        <v>19</v>
      </c>
      <c r="B82" s="30"/>
      <c r="C82" s="30"/>
      <c r="D82" s="30"/>
      <c r="E82" s="30"/>
      <c r="F82" s="38">
        <f t="shared" ref="F82:O82" si="324">IF(AND($G$38+0.5&lt;F74,$G$39+0.5&gt;=F74),$F81,0)</f>
        <v>0</v>
      </c>
      <c r="G82" s="38">
        <f t="shared" si="324"/>
        <v>0</v>
      </c>
      <c r="H82" s="38">
        <f t="shared" si="324"/>
        <v>0</v>
      </c>
      <c r="I82" s="38">
        <f t="shared" si="324"/>
        <v>0</v>
      </c>
      <c r="J82" s="38">
        <f t="shared" si="324"/>
        <v>0</v>
      </c>
      <c r="K82" s="38">
        <f t="shared" si="324"/>
        <v>0</v>
      </c>
      <c r="L82" s="38">
        <f t="shared" si="324"/>
        <v>0</v>
      </c>
      <c r="M82" s="38">
        <f t="shared" si="324"/>
        <v>0</v>
      </c>
      <c r="N82" s="38">
        <f t="shared" si="324"/>
        <v>0</v>
      </c>
      <c r="O82" s="38">
        <f t="shared" si="324"/>
        <v>0</v>
      </c>
      <c r="P82" s="38">
        <f>SUM(F82:O82)</f>
        <v>0</v>
      </c>
    </row>
    <row r="83" spans="1:16">
      <c r="A83" s="33" t="s">
        <v>20</v>
      </c>
      <c r="B83" s="30"/>
      <c r="C83" s="30"/>
      <c r="D83" s="30"/>
      <c r="E83" s="30"/>
      <c r="F83" s="38">
        <f t="shared" ref="F83:O83" si="325">IF(AND($G$38+0.5&lt;=F74,$G$39&gt;=F74),$F$81,0)</f>
        <v>0</v>
      </c>
      <c r="G83" s="38">
        <f t="shared" si="325"/>
        <v>0</v>
      </c>
      <c r="H83" s="38">
        <f t="shared" si="325"/>
        <v>0</v>
      </c>
      <c r="I83" s="38">
        <f t="shared" si="325"/>
        <v>0</v>
      </c>
      <c r="J83" s="38">
        <f t="shared" si="325"/>
        <v>0</v>
      </c>
      <c r="K83" s="38">
        <f t="shared" si="325"/>
        <v>0</v>
      </c>
      <c r="L83" s="38">
        <f t="shared" si="325"/>
        <v>0</v>
      </c>
      <c r="M83" s="38">
        <f t="shared" si="325"/>
        <v>0</v>
      </c>
      <c r="N83" s="38">
        <f t="shared" si="325"/>
        <v>0</v>
      </c>
      <c r="O83" s="38">
        <f t="shared" si="325"/>
        <v>0</v>
      </c>
      <c r="P83" s="38">
        <f>SUM(F83:O83)</f>
        <v>0</v>
      </c>
    </row>
    <row r="84" spans="1:16">
      <c r="A84" s="33" t="s">
        <v>21</v>
      </c>
      <c r="B84" s="30"/>
      <c r="C84" s="30"/>
      <c r="D84" s="30"/>
      <c r="E84" s="30"/>
      <c r="F84" s="38">
        <f t="shared" ref="F84:O84" si="326">(F75+F77+F79+F78-F82-F83)</f>
        <v>0</v>
      </c>
      <c r="G84" s="38">
        <f t="shared" si="326"/>
        <v>0</v>
      </c>
      <c r="H84" s="38">
        <f t="shared" si="326"/>
        <v>0</v>
      </c>
      <c r="I84" s="38">
        <f t="shared" si="326"/>
        <v>0</v>
      </c>
      <c r="J84" s="38">
        <f t="shared" si="326"/>
        <v>0</v>
      </c>
      <c r="K84" s="38">
        <f t="shared" si="326"/>
        <v>0</v>
      </c>
      <c r="L84" s="38">
        <f t="shared" si="326"/>
        <v>0</v>
      </c>
      <c r="M84" s="38">
        <f t="shared" si="326"/>
        <v>0</v>
      </c>
      <c r="N84" s="38">
        <f t="shared" si="326"/>
        <v>0</v>
      </c>
      <c r="O84" s="38">
        <f t="shared" si="326"/>
        <v>0</v>
      </c>
      <c r="P84" s="39"/>
    </row>
    <row r="85" spans="1:16">
      <c r="A85" s="33" t="s">
        <v>22</v>
      </c>
      <c r="B85" s="30"/>
      <c r="C85" s="30"/>
      <c r="D85" s="30"/>
      <c r="E85" s="30"/>
      <c r="F85" s="38">
        <f t="shared" ref="F85:O85" si="327">IF(F73&gt;0,F52/100*(F75+0.5*(F77+F78))*(1-$G$43/100),0)</f>
        <v>0</v>
      </c>
      <c r="G85" s="38">
        <f t="shared" si="327"/>
        <v>0</v>
      </c>
      <c r="H85" s="38">
        <f t="shared" si="327"/>
        <v>0</v>
      </c>
      <c r="I85" s="38">
        <f t="shared" si="327"/>
        <v>0</v>
      </c>
      <c r="J85" s="38">
        <f t="shared" si="327"/>
        <v>0</v>
      </c>
      <c r="K85" s="38">
        <f t="shared" si="327"/>
        <v>0</v>
      </c>
      <c r="L85" s="38">
        <f t="shared" si="327"/>
        <v>0</v>
      </c>
      <c r="M85" s="38">
        <f t="shared" si="327"/>
        <v>0</v>
      </c>
      <c r="N85" s="38">
        <f t="shared" si="327"/>
        <v>0</v>
      </c>
      <c r="O85" s="38">
        <f t="shared" si="327"/>
        <v>0</v>
      </c>
      <c r="P85" s="38">
        <f>SUM(F85:O85)</f>
        <v>0</v>
      </c>
    </row>
    <row r="86" spans="1:16">
      <c r="A86" s="33" t="s">
        <v>23</v>
      </c>
      <c r="B86" s="30"/>
      <c r="C86" s="30"/>
      <c r="D86" s="30"/>
      <c r="E86" s="30"/>
      <c r="F86" s="38">
        <f t="shared" ref="F86:O86" si="328">IF(F73=0,(F75+F83+F84)*0.5*F52/100,0)</f>
        <v>0</v>
      </c>
      <c r="G86" s="38">
        <f t="shared" si="328"/>
        <v>0</v>
      </c>
      <c r="H86" s="38">
        <f t="shared" si="328"/>
        <v>0</v>
      </c>
      <c r="I86" s="38">
        <f t="shared" si="328"/>
        <v>0</v>
      </c>
      <c r="J86" s="38">
        <f t="shared" si="328"/>
        <v>0</v>
      </c>
      <c r="K86" s="38">
        <f t="shared" si="328"/>
        <v>0</v>
      </c>
      <c r="L86" s="38">
        <f t="shared" si="328"/>
        <v>0</v>
      </c>
      <c r="M86" s="38">
        <f t="shared" si="328"/>
        <v>0</v>
      </c>
      <c r="N86" s="38">
        <f t="shared" si="328"/>
        <v>0</v>
      </c>
      <c r="O86" s="38">
        <f t="shared" si="328"/>
        <v>0</v>
      </c>
      <c r="P86" s="38">
        <f>SUM(F86:O86)</f>
        <v>0</v>
      </c>
    </row>
    <row r="87" spans="1:16">
      <c r="A87" s="33" t="s">
        <v>24</v>
      </c>
      <c r="B87" s="30"/>
      <c r="C87" s="30"/>
      <c r="D87" s="30"/>
      <c r="E87" s="30"/>
      <c r="F87" s="38">
        <f t="shared" ref="F87:O87" si="329">IF(F73&gt;0,($F76-F75-(F77+F79+F78)*0.5)*$G$40/100*IF(F77=1,IF(F77&lt;=2,0,0.83),IF(F77&gt;1,1,0)),0)</f>
        <v>0</v>
      </c>
      <c r="G87" s="38">
        <f t="shared" si="329"/>
        <v>0</v>
      </c>
      <c r="H87" s="38">
        <f t="shared" si="329"/>
        <v>0</v>
      </c>
      <c r="I87" s="38">
        <f t="shared" si="329"/>
        <v>0</v>
      </c>
      <c r="J87" s="38">
        <f t="shared" si="329"/>
        <v>0</v>
      </c>
      <c r="K87" s="38">
        <f t="shared" si="329"/>
        <v>0</v>
      </c>
      <c r="L87" s="38">
        <f t="shared" si="329"/>
        <v>0</v>
      </c>
      <c r="M87" s="38">
        <f t="shared" si="329"/>
        <v>0</v>
      </c>
      <c r="N87" s="38">
        <f t="shared" si="329"/>
        <v>0</v>
      </c>
      <c r="O87" s="38">
        <f t="shared" si="329"/>
        <v>0</v>
      </c>
      <c r="P87" s="38">
        <f>SUM(F87:O87)</f>
        <v>0</v>
      </c>
    </row>
  </sheetData>
  <mergeCells count="12">
    <mergeCell ref="AD3:AI3"/>
    <mergeCell ref="AR3:AW3"/>
    <mergeCell ref="A1:G1"/>
    <mergeCell ref="AK3:AP3"/>
    <mergeCell ref="BH3:BM3"/>
    <mergeCell ref="AZ3:BF3"/>
    <mergeCell ref="A3:A4"/>
    <mergeCell ref="A2:B2"/>
    <mergeCell ref="B3:G3"/>
    <mergeCell ref="I3:N3"/>
    <mergeCell ref="P3:U3"/>
    <mergeCell ref="W3:AB3"/>
  </mergeCells>
  <pageMargins left="0.75" right="0.75" top="1" bottom="1" header="0.5" footer="0.5"/>
  <pageSetup scale="59" orientation="landscape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87"/>
  <sheetViews>
    <sheetView zoomScale="110" zoomScaleNormal="110" workbookViewId="0">
      <pane xSplit="6" ySplit="4" topLeftCell="AI8" activePane="bottomRight" state="frozen"/>
      <selection pane="topRight" activeCell="E1" sqref="E1"/>
      <selection pane="bottomLeft" activeCell="A5" sqref="A5"/>
      <selection pane="bottomRight" activeCell="AO30" sqref="AO30"/>
    </sheetView>
  </sheetViews>
  <sheetFormatPr defaultRowHeight="12.75"/>
  <cols>
    <col min="1" max="1" width="58.5703125" style="1" customWidth="1"/>
    <col min="2" max="2" width="10.7109375" style="1" hidden="1" customWidth="1"/>
    <col min="3" max="6" width="10.7109375" style="1" customWidth="1"/>
    <col min="7" max="55" width="9.7109375" style="1" customWidth="1"/>
    <col min="56" max="16384" width="9.140625" style="1"/>
  </cols>
  <sheetData>
    <row r="1" spans="1:63">
      <c r="A1" s="226" t="s">
        <v>57</v>
      </c>
      <c r="B1" s="226"/>
      <c r="C1" s="226"/>
      <c r="D1" s="226"/>
      <c r="E1" s="225"/>
      <c r="F1" s="225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22">
        <v>0.52269500000000002</v>
      </c>
      <c r="BC1" s="22">
        <f>1-BB1</f>
        <v>0.47730499999999998</v>
      </c>
      <c r="BD1" s="12"/>
      <c r="BE1" s="12"/>
      <c r="BF1" s="12"/>
      <c r="BG1" s="12"/>
      <c r="BH1" s="12"/>
      <c r="BI1" s="12"/>
      <c r="BJ1" s="12"/>
      <c r="BK1" s="12"/>
    </row>
    <row r="2" spans="1:63">
      <c r="A2" s="226" t="s">
        <v>25</v>
      </c>
      <c r="B2" s="226"/>
      <c r="C2" s="57"/>
      <c r="D2" s="61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</row>
    <row r="3" spans="1:63">
      <c r="A3" s="224" t="s">
        <v>0</v>
      </c>
      <c r="B3" s="224" t="s">
        <v>51</v>
      </c>
      <c r="C3" s="224"/>
      <c r="D3" s="224"/>
      <c r="E3" s="225"/>
      <c r="F3" s="225"/>
      <c r="G3" s="13"/>
      <c r="H3" s="224">
        <v>2017</v>
      </c>
      <c r="I3" s="224"/>
      <c r="J3" s="224"/>
      <c r="K3" s="225"/>
      <c r="L3" s="225"/>
      <c r="M3" s="14"/>
      <c r="N3" s="224">
        <f>+H3+1</f>
        <v>2018</v>
      </c>
      <c r="O3" s="224"/>
      <c r="P3" s="224"/>
      <c r="Q3" s="225"/>
      <c r="R3" s="225"/>
      <c r="S3" s="14"/>
      <c r="T3" s="224">
        <f>+N3+1</f>
        <v>2019</v>
      </c>
      <c r="U3" s="224"/>
      <c r="V3" s="224"/>
      <c r="W3" s="225"/>
      <c r="X3" s="225"/>
      <c r="Y3" s="14"/>
      <c r="Z3" s="224">
        <f>+T3+1</f>
        <v>2020</v>
      </c>
      <c r="AA3" s="224"/>
      <c r="AB3" s="224"/>
      <c r="AC3" s="225"/>
      <c r="AD3" s="225"/>
      <c r="AE3" s="14"/>
      <c r="AF3" s="224">
        <f>+Z3+1</f>
        <v>2021</v>
      </c>
      <c r="AG3" s="224"/>
      <c r="AH3" s="224"/>
      <c r="AI3" s="225"/>
      <c r="AJ3" s="225"/>
      <c r="AK3" s="15"/>
      <c r="AL3" s="224">
        <f>+AF3+1</f>
        <v>2022</v>
      </c>
      <c r="AM3" s="224"/>
      <c r="AN3" s="224"/>
      <c r="AO3" s="225"/>
      <c r="AP3" s="225"/>
      <c r="AQ3" s="15"/>
      <c r="AR3" s="66" t="s">
        <v>63</v>
      </c>
      <c r="AS3" s="228" t="s">
        <v>26</v>
      </c>
      <c r="AT3" s="225"/>
      <c r="AU3" s="225"/>
      <c r="AV3" s="225"/>
      <c r="AW3" s="225"/>
      <c r="AX3" s="225"/>
      <c r="AY3" s="225"/>
      <c r="AZ3" s="15"/>
      <c r="BA3" s="227" t="s">
        <v>31</v>
      </c>
      <c r="BB3" s="227"/>
      <c r="BC3" s="227"/>
      <c r="BD3" s="227"/>
      <c r="BE3" s="227"/>
      <c r="BF3" s="12"/>
      <c r="BG3" s="16"/>
      <c r="BH3" s="57"/>
      <c r="BI3" s="79" t="s">
        <v>106</v>
      </c>
      <c r="BJ3" s="16"/>
      <c r="BK3" s="16"/>
    </row>
    <row r="4" spans="1:63">
      <c r="A4" s="224"/>
      <c r="B4" s="16" t="s">
        <v>58</v>
      </c>
      <c r="C4" s="57" t="s">
        <v>59</v>
      </c>
      <c r="D4" s="61" t="s">
        <v>110</v>
      </c>
      <c r="E4" s="61" t="s">
        <v>32</v>
      </c>
      <c r="F4" s="14" t="s">
        <v>30</v>
      </c>
      <c r="G4" s="14"/>
      <c r="H4" s="79" t="str">
        <f>+$B4</f>
        <v>BID (GLM)</v>
      </c>
      <c r="I4" s="79" t="str">
        <f>+$C4</f>
        <v>BID (blend)</v>
      </c>
      <c r="J4" s="79" t="str">
        <f>+$D4</f>
        <v>BID (Kor Fac)</v>
      </c>
      <c r="K4" s="79" t="str">
        <f>+$E4</f>
        <v>ENATREL</v>
      </c>
      <c r="L4" s="79" t="str">
        <f>+$F4</f>
        <v>Total</v>
      </c>
      <c r="M4" s="12"/>
      <c r="N4" s="79" t="str">
        <f>+$B4</f>
        <v>BID (GLM)</v>
      </c>
      <c r="O4" s="79" t="str">
        <f>+$C4</f>
        <v>BID (blend)</v>
      </c>
      <c r="P4" s="79" t="str">
        <f>+$D4</f>
        <v>BID (Kor Fac)</v>
      </c>
      <c r="Q4" s="79" t="str">
        <f>+$E4</f>
        <v>ENATREL</v>
      </c>
      <c r="R4" s="79" t="str">
        <f>+$F4</f>
        <v>Total</v>
      </c>
      <c r="S4" s="12"/>
      <c r="T4" s="79" t="str">
        <f>+$B4</f>
        <v>BID (GLM)</v>
      </c>
      <c r="U4" s="79" t="str">
        <f>+$C4</f>
        <v>BID (blend)</v>
      </c>
      <c r="V4" s="79" t="str">
        <f>+$D4</f>
        <v>BID (Kor Fac)</v>
      </c>
      <c r="W4" s="79" t="str">
        <f>+$E4</f>
        <v>ENATREL</v>
      </c>
      <c r="X4" s="79" t="str">
        <f>+$F4</f>
        <v>Total</v>
      </c>
      <c r="Y4" s="12"/>
      <c r="Z4" s="79" t="str">
        <f>+$B4</f>
        <v>BID (GLM)</v>
      </c>
      <c r="AA4" s="79" t="str">
        <f>+$C4</f>
        <v>BID (blend)</v>
      </c>
      <c r="AB4" s="79" t="str">
        <f>+$D4</f>
        <v>BID (Kor Fac)</v>
      </c>
      <c r="AC4" s="79" t="str">
        <f>+$E4</f>
        <v>ENATREL</v>
      </c>
      <c r="AD4" s="79" t="str">
        <f>+$F4</f>
        <v>Total</v>
      </c>
      <c r="AE4" s="12"/>
      <c r="AF4" s="79" t="str">
        <f>+$B4</f>
        <v>BID (GLM)</v>
      </c>
      <c r="AG4" s="79" t="str">
        <f>+$C4</f>
        <v>BID (blend)</v>
      </c>
      <c r="AH4" s="79" t="str">
        <f>+$D4</f>
        <v>BID (Kor Fac)</v>
      </c>
      <c r="AI4" s="79" t="str">
        <f>+$E4</f>
        <v>ENATREL</v>
      </c>
      <c r="AJ4" s="79" t="str">
        <f>+$F4</f>
        <v>Total</v>
      </c>
      <c r="AK4" s="12"/>
      <c r="AL4" s="79" t="str">
        <f>+$B4</f>
        <v>BID (GLM)</v>
      </c>
      <c r="AM4" s="79" t="str">
        <f>+$C4</f>
        <v>BID (blend)</v>
      </c>
      <c r="AN4" s="79" t="str">
        <f>+$D4</f>
        <v>BID (Kor Fac)</v>
      </c>
      <c r="AO4" s="79" t="str">
        <f>+$E4</f>
        <v>ENATREL</v>
      </c>
      <c r="AP4" s="79" t="str">
        <f>+$F4</f>
        <v>Total</v>
      </c>
      <c r="AQ4" s="12"/>
      <c r="AR4" s="66" t="s">
        <v>29</v>
      </c>
      <c r="AS4" s="16">
        <f>+H3</f>
        <v>2017</v>
      </c>
      <c r="AT4" s="16">
        <f>+AS4+1</f>
        <v>2018</v>
      </c>
      <c r="AU4" s="16">
        <f t="shared" ref="AU4:AX4" si="0">+AT4+1</f>
        <v>2019</v>
      </c>
      <c r="AV4" s="16">
        <f t="shared" si="0"/>
        <v>2020</v>
      </c>
      <c r="AW4" s="16">
        <f t="shared" si="0"/>
        <v>2021</v>
      </c>
      <c r="AX4" s="16">
        <f t="shared" si="0"/>
        <v>2022</v>
      </c>
      <c r="AY4" s="16" t="s">
        <v>30</v>
      </c>
      <c r="AZ4" s="16"/>
      <c r="BA4" s="79" t="str">
        <f>+$B4</f>
        <v>BID (GLM)</v>
      </c>
      <c r="BB4" s="79" t="str">
        <f>+$C4</f>
        <v>BID (blend)</v>
      </c>
      <c r="BC4" s="79" t="str">
        <f>+$D4</f>
        <v>BID (Kor Fac)</v>
      </c>
      <c r="BD4" s="79" t="str">
        <f>+$E4</f>
        <v>ENATREL</v>
      </c>
      <c r="BE4" s="79" t="str">
        <f>+$F4</f>
        <v>Total</v>
      </c>
      <c r="BF4" s="12"/>
      <c r="BG4" s="79" t="str">
        <f>+$B4</f>
        <v>BID (GLM)</v>
      </c>
      <c r="BH4" s="79" t="str">
        <f>+$C4</f>
        <v>BID (blend)</v>
      </c>
      <c r="BI4" s="79" t="str">
        <f>+$D4</f>
        <v>BID (Kor Fac)</v>
      </c>
      <c r="BJ4" s="79" t="str">
        <f>+$E4</f>
        <v>ENATREL</v>
      </c>
      <c r="BK4" s="79" t="str">
        <f>+$F4</f>
        <v>Total</v>
      </c>
    </row>
    <row r="5" spans="1:63">
      <c r="A5" s="17" t="s">
        <v>28</v>
      </c>
      <c r="B5" s="18">
        <f>+SUM(B6:B10)</f>
        <v>0</v>
      </c>
      <c r="C5" s="18">
        <f>+SUM(C6:C10)</f>
        <v>800.41209232114534</v>
      </c>
      <c r="D5" s="18">
        <f>+SUM(D6:D10)</f>
        <v>730.90558303665466</v>
      </c>
      <c r="E5" s="18">
        <f>+SUM(E6:E10)</f>
        <v>600</v>
      </c>
      <c r="F5" s="18">
        <f>+SUM(F6:F10)</f>
        <v>2131.3176753578</v>
      </c>
      <c r="G5" s="18"/>
      <c r="H5" s="18">
        <f>+SUM(H6:H10)</f>
        <v>0</v>
      </c>
      <c r="I5" s="18">
        <f>+SUM(I6:I10)</f>
        <v>160.08241846422908</v>
      </c>
      <c r="J5" s="18">
        <f>+SUM(J6:J10)</f>
        <v>146.18111660733092</v>
      </c>
      <c r="K5" s="18">
        <f>+SUM(K6:K10)</f>
        <v>120</v>
      </c>
      <c r="L5" s="18">
        <f>+SUM(L6:L10)</f>
        <v>426.26353507156</v>
      </c>
      <c r="M5" s="12"/>
      <c r="N5" s="18">
        <f>+SUM(N6:N10)</f>
        <v>0</v>
      </c>
      <c r="O5" s="18">
        <f t="shared" ref="O5:Q5" si="1">+SUM(O6:O10)</f>
        <v>160.08241846422908</v>
      </c>
      <c r="P5" s="18">
        <f t="shared" ref="P5" si="2">+SUM(P6:P10)</f>
        <v>146.18111660733092</v>
      </c>
      <c r="Q5" s="18">
        <f t="shared" si="1"/>
        <v>120</v>
      </c>
      <c r="R5" s="18">
        <f>+SUM(R6:R10)</f>
        <v>426.26353507156</v>
      </c>
      <c r="S5" s="12"/>
      <c r="T5" s="18">
        <f>+SUM(T6:T10)</f>
        <v>0</v>
      </c>
      <c r="U5" s="18">
        <f t="shared" ref="U5:W5" si="3">+SUM(U6:U10)</f>
        <v>160.08241846422908</v>
      </c>
      <c r="V5" s="18">
        <f t="shared" ref="V5" si="4">+SUM(V6:V10)</f>
        <v>146.18111660733092</v>
      </c>
      <c r="W5" s="18">
        <f t="shared" si="3"/>
        <v>120</v>
      </c>
      <c r="X5" s="18">
        <f>+SUM(X6:X10)</f>
        <v>426.26353507156</v>
      </c>
      <c r="Y5" s="12"/>
      <c r="Z5" s="18">
        <f>+SUM(Z6:Z10)</f>
        <v>0</v>
      </c>
      <c r="AA5" s="18">
        <f t="shared" ref="AA5:AC5" si="5">+SUM(AA6:AA10)</f>
        <v>160.08241846422908</v>
      </c>
      <c r="AB5" s="18">
        <f t="shared" ref="AB5" si="6">+SUM(AB6:AB10)</f>
        <v>146.18111660733092</v>
      </c>
      <c r="AC5" s="18">
        <f t="shared" si="5"/>
        <v>120</v>
      </c>
      <c r="AD5" s="18">
        <f>+SUM(AD6:AD10)</f>
        <v>426.26353507156</v>
      </c>
      <c r="AE5" s="12"/>
      <c r="AF5" s="18">
        <f>+SUM(AF6:AF10)</f>
        <v>0</v>
      </c>
      <c r="AG5" s="18">
        <f t="shared" ref="AG5:AI5" si="7">+SUM(AG6:AG10)</f>
        <v>160.08241846422908</v>
      </c>
      <c r="AH5" s="18">
        <f t="shared" ref="AH5" si="8">+SUM(AH6:AH10)</f>
        <v>146.18111660733092</v>
      </c>
      <c r="AI5" s="18">
        <f t="shared" si="7"/>
        <v>120</v>
      </c>
      <c r="AJ5" s="18">
        <f>+SUM(AJ6:AJ10)</f>
        <v>426.26353507156</v>
      </c>
      <c r="AK5" s="12"/>
      <c r="AL5" s="18">
        <f>+SUM(AL6:AL10)</f>
        <v>0</v>
      </c>
      <c r="AM5" s="18">
        <f t="shared" ref="AM5:AO5" si="9">+SUM(AM6:AM10)</f>
        <v>0</v>
      </c>
      <c r="AN5" s="18">
        <f t="shared" ref="AN5" si="10">+SUM(AN6:AN10)</f>
        <v>0</v>
      </c>
      <c r="AO5" s="18">
        <f t="shared" si="9"/>
        <v>0</v>
      </c>
      <c r="AP5" s="18">
        <f>+SUM(AP6:AP10)</f>
        <v>0</v>
      </c>
      <c r="AQ5" s="12"/>
      <c r="AR5" s="67"/>
      <c r="AS5" s="19"/>
      <c r="AT5" s="19"/>
      <c r="AU5" s="19"/>
      <c r="AV5" s="19"/>
      <c r="AW5" s="19"/>
      <c r="AX5" s="19"/>
      <c r="AY5" s="12"/>
      <c r="AZ5" s="12"/>
      <c r="BA5" s="12"/>
      <c r="BB5" s="12"/>
      <c r="BC5" s="12"/>
      <c r="BD5" s="12"/>
      <c r="BE5" s="12"/>
      <c r="BF5" s="12"/>
      <c r="BG5" s="18">
        <f>+SUM(BG6:BG10)</f>
        <v>0</v>
      </c>
      <c r="BH5" s="18">
        <f t="shared" ref="BH5:BK5" si="11">+SUM(BH6:BH10)</f>
        <v>0</v>
      </c>
      <c r="BI5" s="18">
        <f t="shared" si="11"/>
        <v>0</v>
      </c>
      <c r="BJ5" s="18">
        <f t="shared" si="11"/>
        <v>0</v>
      </c>
      <c r="BK5" s="18">
        <f t="shared" si="11"/>
        <v>0</v>
      </c>
    </row>
    <row r="6" spans="1:63">
      <c r="A6" s="20" t="s">
        <v>43</v>
      </c>
      <c r="B6" s="21">
        <f t="shared" ref="B6:D10" si="12">+H6+N6+T6+Z6+AF6+AL6</f>
        <v>0</v>
      </c>
      <c r="C6" s="21">
        <f t="shared" si="12"/>
        <v>78.404250000000005</v>
      </c>
      <c r="D6" s="21">
        <f t="shared" si="12"/>
        <v>71.595749999999995</v>
      </c>
      <c r="E6" s="21">
        <f t="shared" ref="E6:E10" si="13">+K6+Q6+W6+AC6+AI6+AO6</f>
        <v>0</v>
      </c>
      <c r="F6" s="21">
        <f>+SUM(B6:E6)</f>
        <v>150</v>
      </c>
      <c r="G6" s="21"/>
      <c r="H6" s="21">
        <f t="shared" ref="H6:K10" si="14">+$AR6*$AS6*BA6</f>
        <v>0</v>
      </c>
      <c r="I6" s="21">
        <f t="shared" si="14"/>
        <v>15.680850000000001</v>
      </c>
      <c r="J6" s="21">
        <f t="shared" si="14"/>
        <v>14.319149999999999</v>
      </c>
      <c r="K6" s="21">
        <f t="shared" si="14"/>
        <v>0</v>
      </c>
      <c r="L6" s="21">
        <f>SUM(H6:K6)</f>
        <v>30</v>
      </c>
      <c r="M6" s="12"/>
      <c r="N6" s="21">
        <f t="shared" ref="N6" si="15">+$AR6*$AT6*BA6</f>
        <v>0</v>
      </c>
      <c r="O6" s="21">
        <f t="shared" ref="O6:P10" si="16">+$AR6*$AT6*BB6</f>
        <v>15.680850000000001</v>
      </c>
      <c r="P6" s="21">
        <f t="shared" si="16"/>
        <v>14.319149999999999</v>
      </c>
      <c r="Q6" s="21">
        <f t="shared" ref="Q6:Q10" si="17">+$AR6*$AT6*BD6</f>
        <v>0</v>
      </c>
      <c r="R6" s="21">
        <f>SUM(N6:Q6)</f>
        <v>30</v>
      </c>
      <c r="S6" s="12"/>
      <c r="T6" s="21">
        <f t="shared" ref="T6" si="18">+$AR6*$AU6*BA6</f>
        <v>0</v>
      </c>
      <c r="U6" s="21">
        <f t="shared" ref="U6:V10" si="19">+$AR6*$AU6*BB6</f>
        <v>15.680850000000001</v>
      </c>
      <c r="V6" s="21">
        <f t="shared" si="19"/>
        <v>14.319149999999999</v>
      </c>
      <c r="W6" s="21">
        <f t="shared" ref="W6:W10" si="20">+$AR6*$AU6*BD6</f>
        <v>0</v>
      </c>
      <c r="X6" s="21">
        <f>SUM(T6:W6)</f>
        <v>30</v>
      </c>
      <c r="Y6" s="12"/>
      <c r="Z6" s="21">
        <f t="shared" ref="Z6" si="21">+$AR6*$AV6*BA6</f>
        <v>0</v>
      </c>
      <c r="AA6" s="21">
        <f t="shared" ref="AA6:AB10" si="22">+$AR6*$AV6*BB6</f>
        <v>15.680850000000001</v>
      </c>
      <c r="AB6" s="21">
        <f t="shared" si="22"/>
        <v>14.319149999999999</v>
      </c>
      <c r="AC6" s="21">
        <f t="shared" ref="AC6:AC10" si="23">+$AR6*$AV6*BD6</f>
        <v>0</v>
      </c>
      <c r="AD6" s="21">
        <f>SUM(Z6:AC6)</f>
        <v>30</v>
      </c>
      <c r="AE6" s="12"/>
      <c r="AF6" s="21">
        <f t="shared" ref="AF6" si="24">+$AR6*$AW6*BA6</f>
        <v>0</v>
      </c>
      <c r="AG6" s="21">
        <f t="shared" ref="AG6:AH10" si="25">+$AR6*$AW6*BB6</f>
        <v>15.680850000000001</v>
      </c>
      <c r="AH6" s="21">
        <f t="shared" si="25"/>
        <v>14.319149999999999</v>
      </c>
      <c r="AI6" s="21">
        <f t="shared" ref="AI6:AI10" si="26">+$AR6*$AW6*BD6</f>
        <v>0</v>
      </c>
      <c r="AJ6" s="21">
        <f>SUM(AF6:AI6)</f>
        <v>30</v>
      </c>
      <c r="AK6" s="12"/>
      <c r="AL6" s="21">
        <f t="shared" ref="AL6:AO10" si="27">+$AR6*$AX6*BA6</f>
        <v>0</v>
      </c>
      <c r="AM6" s="21">
        <f t="shared" si="27"/>
        <v>0</v>
      </c>
      <c r="AN6" s="21">
        <f t="shared" si="27"/>
        <v>0</v>
      </c>
      <c r="AO6" s="21">
        <f t="shared" si="27"/>
        <v>0</v>
      </c>
      <c r="AP6" s="21">
        <f>SUM(AL6:AO6)</f>
        <v>0</v>
      </c>
      <c r="AQ6" s="12"/>
      <c r="AR6" s="68">
        <v>150</v>
      </c>
      <c r="AS6" s="19">
        <v>0.2</v>
      </c>
      <c r="AT6" s="19">
        <v>0.2</v>
      </c>
      <c r="AU6" s="19">
        <v>0.2</v>
      </c>
      <c r="AV6" s="19">
        <v>0.2</v>
      </c>
      <c r="AW6" s="19">
        <v>0.2</v>
      </c>
      <c r="AX6" s="19">
        <v>0</v>
      </c>
      <c r="AY6" s="19">
        <f>+SUM(AS6:AX6)</f>
        <v>1</v>
      </c>
      <c r="AZ6" s="12"/>
      <c r="BA6" s="22">
        <v>0</v>
      </c>
      <c r="BB6" s="22">
        <f>$BB$1</f>
        <v>0.52269500000000002</v>
      </c>
      <c r="BC6" s="22">
        <f>$BC$1</f>
        <v>0.47730499999999998</v>
      </c>
      <c r="BD6" s="22">
        <f t="shared" ref="BD6:BD10" si="28">(1-SUM(BA6:BC6))</f>
        <v>0</v>
      </c>
      <c r="BE6" s="23">
        <f>+SUM(BA6:BD6)</f>
        <v>1</v>
      </c>
      <c r="BF6" s="12"/>
      <c r="BG6" s="21">
        <f>+H6+N6+T6+Z6+AF6+AL6-B6</f>
        <v>0</v>
      </c>
      <c r="BH6" s="21">
        <f t="shared" ref="BH6:BK10" si="29">+I6+O6+U6+AA6+AG6+AM6-C6</f>
        <v>0</v>
      </c>
      <c r="BI6" s="21">
        <f t="shared" si="29"/>
        <v>0</v>
      </c>
      <c r="BJ6" s="21">
        <f t="shared" si="29"/>
        <v>0</v>
      </c>
      <c r="BK6" s="21">
        <f t="shared" si="29"/>
        <v>0</v>
      </c>
    </row>
    <row r="7" spans="1:63">
      <c r="A7" s="20" t="s">
        <v>50</v>
      </c>
      <c r="B7" s="21">
        <f t="shared" si="12"/>
        <v>0</v>
      </c>
      <c r="C7" s="21">
        <f t="shared" si="12"/>
        <v>114.99290000000001</v>
      </c>
      <c r="D7" s="21">
        <f t="shared" si="12"/>
        <v>105.00709999999999</v>
      </c>
      <c r="E7" s="21">
        <f t="shared" si="13"/>
        <v>0</v>
      </c>
      <c r="F7" s="21">
        <f t="shared" ref="F7:F10" si="30">+SUM(B7:E7)</f>
        <v>220</v>
      </c>
      <c r="G7" s="21"/>
      <c r="H7" s="21">
        <f t="shared" si="14"/>
        <v>0</v>
      </c>
      <c r="I7" s="21">
        <f t="shared" si="14"/>
        <v>22.99858</v>
      </c>
      <c r="J7" s="21">
        <f t="shared" si="14"/>
        <v>21.00142</v>
      </c>
      <c r="K7" s="21">
        <f t="shared" si="14"/>
        <v>0</v>
      </c>
      <c r="L7" s="21">
        <f>SUM(H7:K7)</f>
        <v>44</v>
      </c>
      <c r="M7" s="12"/>
      <c r="N7" s="21">
        <f t="shared" ref="N7" si="31">+$AR7*$AT7*BA7</f>
        <v>0</v>
      </c>
      <c r="O7" s="21">
        <f t="shared" si="16"/>
        <v>22.99858</v>
      </c>
      <c r="P7" s="21">
        <f t="shared" si="16"/>
        <v>21.00142</v>
      </c>
      <c r="Q7" s="21">
        <f t="shared" si="17"/>
        <v>0</v>
      </c>
      <c r="R7" s="21">
        <f>SUM(N7:Q7)</f>
        <v>44</v>
      </c>
      <c r="S7" s="12"/>
      <c r="T7" s="21">
        <f t="shared" ref="T7" si="32">+$AR7*$AU7*BA7</f>
        <v>0</v>
      </c>
      <c r="U7" s="21">
        <f t="shared" si="19"/>
        <v>22.99858</v>
      </c>
      <c r="V7" s="21">
        <f t="shared" si="19"/>
        <v>21.00142</v>
      </c>
      <c r="W7" s="21">
        <f t="shared" si="20"/>
        <v>0</v>
      </c>
      <c r="X7" s="21">
        <f>SUM(T7:W7)</f>
        <v>44</v>
      </c>
      <c r="Y7" s="12"/>
      <c r="Z7" s="21">
        <f t="shared" ref="Z7" si="33">+$AR7*$AV7*BA7</f>
        <v>0</v>
      </c>
      <c r="AA7" s="21">
        <f t="shared" si="22"/>
        <v>22.99858</v>
      </c>
      <c r="AB7" s="21">
        <f t="shared" si="22"/>
        <v>21.00142</v>
      </c>
      <c r="AC7" s="21">
        <f t="shared" si="23"/>
        <v>0</v>
      </c>
      <c r="AD7" s="21">
        <f>SUM(Z7:AC7)</f>
        <v>44</v>
      </c>
      <c r="AE7" s="12"/>
      <c r="AF7" s="21">
        <f t="shared" ref="AF7" si="34">+$AR7*$AW7*BA7</f>
        <v>0</v>
      </c>
      <c r="AG7" s="21">
        <f t="shared" si="25"/>
        <v>22.99858</v>
      </c>
      <c r="AH7" s="21">
        <f t="shared" si="25"/>
        <v>21.00142</v>
      </c>
      <c r="AI7" s="21">
        <f t="shared" si="26"/>
        <v>0</v>
      </c>
      <c r="AJ7" s="21">
        <f>SUM(AF7:AI7)</f>
        <v>44</v>
      </c>
      <c r="AK7" s="12"/>
      <c r="AL7" s="21">
        <f t="shared" si="27"/>
        <v>0</v>
      </c>
      <c r="AM7" s="21">
        <f t="shared" si="27"/>
        <v>0</v>
      </c>
      <c r="AN7" s="21">
        <f t="shared" si="27"/>
        <v>0</v>
      </c>
      <c r="AO7" s="21">
        <f t="shared" si="27"/>
        <v>0</v>
      </c>
      <c r="AP7" s="21">
        <f>SUM(AL7:AO7)</f>
        <v>0</v>
      </c>
      <c r="AQ7" s="12"/>
      <c r="AR7" s="68">
        <v>220</v>
      </c>
      <c r="AS7" s="19">
        <v>0.2</v>
      </c>
      <c r="AT7" s="19">
        <v>0.2</v>
      </c>
      <c r="AU7" s="19">
        <v>0.2</v>
      </c>
      <c r="AV7" s="19">
        <v>0.2</v>
      </c>
      <c r="AW7" s="19">
        <v>0.2</v>
      </c>
      <c r="AX7" s="19">
        <v>0</v>
      </c>
      <c r="AY7" s="19">
        <f>+SUM(AS7:AX7)</f>
        <v>1</v>
      </c>
      <c r="AZ7" s="12"/>
      <c r="BA7" s="22">
        <v>0</v>
      </c>
      <c r="BB7" s="22">
        <f>$BB$1</f>
        <v>0.52269500000000002</v>
      </c>
      <c r="BC7" s="22">
        <f>$BC$1</f>
        <v>0.47730499999999998</v>
      </c>
      <c r="BD7" s="22">
        <f t="shared" si="28"/>
        <v>0</v>
      </c>
      <c r="BE7" s="23">
        <f>+SUM(BA7:BD7)</f>
        <v>1</v>
      </c>
      <c r="BF7" s="12"/>
      <c r="BG7" s="21">
        <f t="shared" ref="BG7:BG10" si="35">+H7+N7+T7+Z7+AF7+AL7-B7</f>
        <v>0</v>
      </c>
      <c r="BH7" s="21">
        <f t="shared" si="29"/>
        <v>0</v>
      </c>
      <c r="BI7" s="21">
        <f t="shared" si="29"/>
        <v>0</v>
      </c>
      <c r="BJ7" s="21">
        <f t="shared" si="29"/>
        <v>0</v>
      </c>
      <c r="BK7" s="21">
        <f t="shared" si="29"/>
        <v>0</v>
      </c>
    </row>
    <row r="8" spans="1:63">
      <c r="A8" s="20" t="s">
        <v>128</v>
      </c>
      <c r="B8" s="21">
        <f t="shared" si="12"/>
        <v>0</v>
      </c>
      <c r="C8" s="21">
        <f t="shared" si="12"/>
        <v>554.74544232114533</v>
      </c>
      <c r="D8" s="21">
        <f t="shared" si="12"/>
        <v>506.57223303665467</v>
      </c>
      <c r="E8" s="21">
        <f t="shared" si="13"/>
        <v>0</v>
      </c>
      <c r="F8" s="21">
        <f t="shared" si="30"/>
        <v>1061.3176753578</v>
      </c>
      <c r="G8" s="21"/>
      <c r="H8" s="21">
        <f t="shared" si="14"/>
        <v>0</v>
      </c>
      <c r="I8" s="21">
        <f t="shared" si="14"/>
        <v>110.94908846422906</v>
      </c>
      <c r="J8" s="21">
        <f t="shared" si="14"/>
        <v>101.31444660733094</v>
      </c>
      <c r="K8" s="21">
        <f t="shared" si="14"/>
        <v>0</v>
      </c>
      <c r="L8" s="21">
        <f>SUM(H8:K8)</f>
        <v>212.26353507156</v>
      </c>
      <c r="M8" s="12"/>
      <c r="N8" s="21">
        <f>+$AR8*$AT8*BA8</f>
        <v>0</v>
      </c>
      <c r="O8" s="21">
        <f t="shared" si="16"/>
        <v>110.94908846422906</v>
      </c>
      <c r="P8" s="21">
        <f t="shared" si="16"/>
        <v>101.31444660733094</v>
      </c>
      <c r="Q8" s="21">
        <f t="shared" si="17"/>
        <v>0</v>
      </c>
      <c r="R8" s="21">
        <f>SUM(N8:Q8)</f>
        <v>212.26353507156</v>
      </c>
      <c r="S8" s="12"/>
      <c r="T8" s="21">
        <f>+$AR8*$AU8*BA8</f>
        <v>0</v>
      </c>
      <c r="U8" s="21">
        <f t="shared" si="19"/>
        <v>110.94908846422906</v>
      </c>
      <c r="V8" s="21">
        <f t="shared" si="19"/>
        <v>101.31444660733094</v>
      </c>
      <c r="W8" s="21">
        <f t="shared" si="20"/>
        <v>0</v>
      </c>
      <c r="X8" s="21">
        <f>SUM(T8:W8)</f>
        <v>212.26353507156</v>
      </c>
      <c r="Y8" s="12"/>
      <c r="Z8" s="21">
        <f>+$AR8*$AV8*BA8</f>
        <v>0</v>
      </c>
      <c r="AA8" s="21">
        <f t="shared" si="22"/>
        <v>110.94908846422906</v>
      </c>
      <c r="AB8" s="21">
        <f t="shared" si="22"/>
        <v>101.31444660733094</v>
      </c>
      <c r="AC8" s="21">
        <f t="shared" si="23"/>
        <v>0</v>
      </c>
      <c r="AD8" s="21">
        <f>SUM(Z8:AC8)</f>
        <v>212.26353507156</v>
      </c>
      <c r="AE8" s="12"/>
      <c r="AF8" s="21">
        <f>+$AR8*$AW8*BA8</f>
        <v>0</v>
      </c>
      <c r="AG8" s="21">
        <f t="shared" si="25"/>
        <v>110.94908846422906</v>
      </c>
      <c r="AH8" s="21">
        <f t="shared" si="25"/>
        <v>101.31444660733094</v>
      </c>
      <c r="AI8" s="21">
        <f t="shared" si="26"/>
        <v>0</v>
      </c>
      <c r="AJ8" s="21">
        <f>SUM(AF8:AI8)</f>
        <v>212.26353507156</v>
      </c>
      <c r="AK8" s="12"/>
      <c r="AL8" s="21">
        <f t="shared" si="27"/>
        <v>0</v>
      </c>
      <c r="AM8" s="21">
        <f t="shared" si="27"/>
        <v>0</v>
      </c>
      <c r="AN8" s="21">
        <f t="shared" si="27"/>
        <v>0</v>
      </c>
      <c r="AO8" s="21">
        <f t="shared" si="27"/>
        <v>0</v>
      </c>
      <c r="AP8" s="21">
        <f>SUM(AL8:AO8)</f>
        <v>0</v>
      </c>
      <c r="AQ8" s="12"/>
      <c r="AR8" s="68">
        <f>SUM(AR13:AR25)*2%</f>
        <v>1061.3176753578</v>
      </c>
      <c r="AS8" s="19">
        <v>0.2</v>
      </c>
      <c r="AT8" s="19">
        <v>0.2</v>
      </c>
      <c r="AU8" s="19">
        <v>0.2</v>
      </c>
      <c r="AV8" s="19">
        <v>0.2</v>
      </c>
      <c r="AW8" s="19">
        <v>0.2</v>
      </c>
      <c r="AX8" s="19">
        <v>0</v>
      </c>
      <c r="AY8" s="19">
        <f>+SUM(AS8:AX8)</f>
        <v>1</v>
      </c>
      <c r="AZ8" s="12"/>
      <c r="BA8" s="22">
        <v>0</v>
      </c>
      <c r="BB8" s="22">
        <f>$BB$1</f>
        <v>0.52269500000000002</v>
      </c>
      <c r="BC8" s="22">
        <f>$BC$1</f>
        <v>0.47730499999999998</v>
      </c>
      <c r="BD8" s="22">
        <f t="shared" si="28"/>
        <v>0</v>
      </c>
      <c r="BE8" s="23">
        <f>+SUM(BA8:BD8)</f>
        <v>1</v>
      </c>
      <c r="BF8" s="12"/>
      <c r="BG8" s="21">
        <f t="shared" si="35"/>
        <v>0</v>
      </c>
      <c r="BH8" s="21">
        <f t="shared" si="29"/>
        <v>0</v>
      </c>
      <c r="BI8" s="21">
        <f t="shared" si="29"/>
        <v>0</v>
      </c>
      <c r="BJ8" s="21">
        <f t="shared" si="29"/>
        <v>0</v>
      </c>
      <c r="BK8" s="21">
        <f t="shared" si="29"/>
        <v>0</v>
      </c>
    </row>
    <row r="9" spans="1:63">
      <c r="A9" s="20" t="s">
        <v>129</v>
      </c>
      <c r="B9" s="21">
        <f t="shared" ref="B9" si="36">+H9+N9+T9+Z9+AF9+AL9</f>
        <v>0</v>
      </c>
      <c r="C9" s="21">
        <f t="shared" ref="C9" si="37">+I9+O9+U9+AA9+AG9+AM9</f>
        <v>0</v>
      </c>
      <c r="D9" s="21">
        <f t="shared" ref="D9" si="38">+J9+P9+V9+AB9+AH9+AN9</f>
        <v>0</v>
      </c>
      <c r="E9" s="21">
        <f t="shared" ref="E9" si="39">+K9+Q9+W9+AC9+AI9+AO9</f>
        <v>600</v>
      </c>
      <c r="F9" s="21">
        <f t="shared" ref="F9" si="40">+SUM(B9:E9)</f>
        <v>600</v>
      </c>
      <c r="G9" s="21"/>
      <c r="H9" s="21">
        <f t="shared" ref="H9" si="41">+$AR9*$AS9*BA9</f>
        <v>0</v>
      </c>
      <c r="I9" s="21">
        <f t="shared" ref="I9" si="42">+$AR9*$AS9*BB9</f>
        <v>0</v>
      </c>
      <c r="J9" s="21">
        <f t="shared" ref="J9" si="43">+$AR9*$AS9*BC9</f>
        <v>0</v>
      </c>
      <c r="K9" s="21">
        <f t="shared" ref="K9" si="44">+$AR9*$AS9*BD9</f>
        <v>120</v>
      </c>
      <c r="L9" s="21">
        <f>SUM(H9:K9)</f>
        <v>120</v>
      </c>
      <c r="M9" s="12"/>
      <c r="N9" s="21">
        <f>+$AR9*$AT9*BA9</f>
        <v>0</v>
      </c>
      <c r="O9" s="21">
        <f t="shared" ref="O9" si="45">+$AR9*$AT9*BB9</f>
        <v>0</v>
      </c>
      <c r="P9" s="21">
        <f t="shared" ref="P9" si="46">+$AR9*$AT9*BC9</f>
        <v>0</v>
      </c>
      <c r="Q9" s="21">
        <f t="shared" ref="Q9" si="47">+$AR9*$AT9*BD9</f>
        <v>120</v>
      </c>
      <c r="R9" s="21">
        <f>SUM(N9:Q9)</f>
        <v>120</v>
      </c>
      <c r="S9" s="12"/>
      <c r="T9" s="21">
        <f>+$AR9*$AU9*BA9</f>
        <v>0</v>
      </c>
      <c r="U9" s="21">
        <f t="shared" ref="U9" si="48">+$AR9*$AU9*BB9</f>
        <v>0</v>
      </c>
      <c r="V9" s="21">
        <f t="shared" ref="V9" si="49">+$AR9*$AU9*BC9</f>
        <v>0</v>
      </c>
      <c r="W9" s="21">
        <f t="shared" ref="W9" si="50">+$AR9*$AU9*BD9</f>
        <v>120</v>
      </c>
      <c r="X9" s="21">
        <f>SUM(T9:W9)</f>
        <v>120</v>
      </c>
      <c r="Y9" s="12"/>
      <c r="Z9" s="21">
        <f>+$AR9*$AV9*BA9</f>
        <v>0</v>
      </c>
      <c r="AA9" s="21">
        <f t="shared" ref="AA9" si="51">+$AR9*$AV9*BB9</f>
        <v>0</v>
      </c>
      <c r="AB9" s="21">
        <f t="shared" ref="AB9" si="52">+$AR9*$AV9*BC9</f>
        <v>0</v>
      </c>
      <c r="AC9" s="21">
        <f t="shared" ref="AC9" si="53">+$AR9*$AV9*BD9</f>
        <v>120</v>
      </c>
      <c r="AD9" s="21">
        <f>SUM(Z9:AC9)</f>
        <v>120</v>
      </c>
      <c r="AE9" s="12"/>
      <c r="AF9" s="21">
        <f>+$AR9*$AW9*BA9</f>
        <v>0</v>
      </c>
      <c r="AG9" s="21">
        <f t="shared" ref="AG9" si="54">+$AR9*$AW9*BB9</f>
        <v>0</v>
      </c>
      <c r="AH9" s="21">
        <f t="shared" ref="AH9" si="55">+$AR9*$AW9*BC9</f>
        <v>0</v>
      </c>
      <c r="AI9" s="21">
        <f t="shared" ref="AI9" si="56">+$AR9*$AW9*BD9</f>
        <v>120</v>
      </c>
      <c r="AJ9" s="21">
        <f>SUM(AF9:AI9)</f>
        <v>120</v>
      </c>
      <c r="AK9" s="12"/>
      <c r="AL9" s="21">
        <f t="shared" ref="AL9" si="57">+$AR9*$AX9*BA9</f>
        <v>0</v>
      </c>
      <c r="AM9" s="21">
        <f t="shared" ref="AM9" si="58">+$AR9*$AX9*BB9</f>
        <v>0</v>
      </c>
      <c r="AN9" s="21">
        <f t="shared" ref="AN9" si="59">+$AR9*$AX9*BC9</f>
        <v>0</v>
      </c>
      <c r="AO9" s="21">
        <f t="shared" ref="AO9" si="60">+$AR9*$AX9*BD9</f>
        <v>0</v>
      </c>
      <c r="AP9" s="21">
        <f>SUM(AL9:AO9)</f>
        <v>0</v>
      </c>
      <c r="AQ9" s="12"/>
      <c r="AR9" s="68">
        <v>600</v>
      </c>
      <c r="AS9" s="19">
        <v>0.2</v>
      </c>
      <c r="AT9" s="19">
        <v>0.2</v>
      </c>
      <c r="AU9" s="19">
        <v>0.2</v>
      </c>
      <c r="AV9" s="19">
        <v>0.2</v>
      </c>
      <c r="AW9" s="19">
        <v>0.2</v>
      </c>
      <c r="AX9" s="19">
        <v>0</v>
      </c>
      <c r="AY9" s="19">
        <f>+SUM(AS9:AX9)</f>
        <v>1</v>
      </c>
      <c r="AZ9" s="12"/>
      <c r="BA9" s="22">
        <v>0</v>
      </c>
      <c r="BB9" s="22">
        <v>0</v>
      </c>
      <c r="BC9" s="22">
        <v>0</v>
      </c>
      <c r="BD9" s="22">
        <f t="shared" ref="BD9" si="61">(1-SUM(BA9:BC9))</f>
        <v>1</v>
      </c>
      <c r="BE9" s="23">
        <f>+SUM(BA9:BD9)</f>
        <v>1</v>
      </c>
      <c r="BF9" s="12"/>
      <c r="BG9" s="21">
        <f t="shared" ref="BG9" si="62">+H9+N9+T9+Z9+AF9+AL9-B9</f>
        <v>0</v>
      </c>
      <c r="BH9" s="21">
        <f t="shared" ref="BH9" si="63">+I9+O9+U9+AA9+AG9+AM9-C9</f>
        <v>0</v>
      </c>
      <c r="BI9" s="21">
        <f t="shared" ref="BI9" si="64">+J9+P9+V9+AB9+AH9+AN9-D9</f>
        <v>0</v>
      </c>
      <c r="BJ9" s="21">
        <f t="shared" ref="BJ9" si="65">+K9+Q9+W9+AC9+AI9+AO9-E9</f>
        <v>0</v>
      </c>
      <c r="BK9" s="21">
        <f t="shared" ref="BK9" si="66">+L9+R9+X9+AD9+AJ9+AP9-F9</f>
        <v>0</v>
      </c>
    </row>
    <row r="10" spans="1:63">
      <c r="A10" s="20" t="s">
        <v>127</v>
      </c>
      <c r="B10" s="21">
        <f t="shared" si="12"/>
        <v>0</v>
      </c>
      <c r="C10" s="21">
        <f t="shared" si="12"/>
        <v>52.269500000000008</v>
      </c>
      <c r="D10" s="21">
        <f t="shared" si="12"/>
        <v>47.730499999999992</v>
      </c>
      <c r="E10" s="21">
        <f t="shared" si="13"/>
        <v>0</v>
      </c>
      <c r="F10" s="21">
        <f t="shared" si="30"/>
        <v>100</v>
      </c>
      <c r="G10" s="21"/>
      <c r="H10" s="21">
        <f t="shared" si="14"/>
        <v>0</v>
      </c>
      <c r="I10" s="21">
        <f t="shared" si="14"/>
        <v>10.453900000000001</v>
      </c>
      <c r="J10" s="21">
        <f t="shared" si="14"/>
        <v>9.5460999999999991</v>
      </c>
      <c r="K10" s="21">
        <f t="shared" si="14"/>
        <v>0</v>
      </c>
      <c r="L10" s="21">
        <f>SUM(H10:K10)</f>
        <v>20</v>
      </c>
      <c r="M10" s="12"/>
      <c r="N10" s="21">
        <f t="shared" ref="N10" si="67">+$AR10*$AT10*BA10</f>
        <v>0</v>
      </c>
      <c r="O10" s="21">
        <f t="shared" si="16"/>
        <v>10.453900000000001</v>
      </c>
      <c r="P10" s="21">
        <f t="shared" si="16"/>
        <v>9.5460999999999991</v>
      </c>
      <c r="Q10" s="21">
        <f t="shared" si="17"/>
        <v>0</v>
      </c>
      <c r="R10" s="21">
        <f>SUM(N10:Q10)</f>
        <v>20</v>
      </c>
      <c r="S10" s="12"/>
      <c r="T10" s="21">
        <f t="shared" ref="T10" si="68">+$AR10*$AU10*BA10</f>
        <v>0</v>
      </c>
      <c r="U10" s="21">
        <f t="shared" si="19"/>
        <v>10.453900000000001</v>
      </c>
      <c r="V10" s="21">
        <f t="shared" si="19"/>
        <v>9.5460999999999991</v>
      </c>
      <c r="W10" s="21">
        <f t="shared" si="20"/>
        <v>0</v>
      </c>
      <c r="X10" s="21">
        <f>SUM(T10:W10)</f>
        <v>20</v>
      </c>
      <c r="Y10" s="12"/>
      <c r="Z10" s="21">
        <f t="shared" ref="Z10" si="69">+$AR10*$AV10*BA10</f>
        <v>0</v>
      </c>
      <c r="AA10" s="21">
        <f t="shared" si="22"/>
        <v>10.453900000000001</v>
      </c>
      <c r="AB10" s="21">
        <f t="shared" si="22"/>
        <v>9.5460999999999991</v>
      </c>
      <c r="AC10" s="21">
        <f t="shared" si="23"/>
        <v>0</v>
      </c>
      <c r="AD10" s="21">
        <f>SUM(Z10:AC10)</f>
        <v>20</v>
      </c>
      <c r="AE10" s="12"/>
      <c r="AF10" s="21">
        <f t="shared" ref="AF10" si="70">+$AR10*$AW10*BA10</f>
        <v>0</v>
      </c>
      <c r="AG10" s="21">
        <f t="shared" si="25"/>
        <v>10.453900000000001</v>
      </c>
      <c r="AH10" s="21">
        <f t="shared" si="25"/>
        <v>9.5460999999999991</v>
      </c>
      <c r="AI10" s="21">
        <f t="shared" si="26"/>
        <v>0</v>
      </c>
      <c r="AJ10" s="21">
        <f>SUM(AF10:AI10)</f>
        <v>20</v>
      </c>
      <c r="AK10" s="12"/>
      <c r="AL10" s="21">
        <f t="shared" si="27"/>
        <v>0</v>
      </c>
      <c r="AM10" s="21">
        <f t="shared" si="27"/>
        <v>0</v>
      </c>
      <c r="AN10" s="21">
        <f t="shared" si="27"/>
        <v>0</v>
      </c>
      <c r="AO10" s="21">
        <f t="shared" si="27"/>
        <v>0</v>
      </c>
      <c r="AP10" s="21">
        <f>SUM(AL10:AO10)</f>
        <v>0</v>
      </c>
      <c r="AQ10" s="12"/>
      <c r="AR10" s="68">
        <v>100</v>
      </c>
      <c r="AS10" s="19">
        <v>0.2</v>
      </c>
      <c r="AT10" s="19">
        <v>0.2</v>
      </c>
      <c r="AU10" s="19">
        <v>0.2</v>
      </c>
      <c r="AV10" s="19">
        <v>0.2</v>
      </c>
      <c r="AW10" s="19">
        <v>0.2</v>
      </c>
      <c r="AX10" s="19">
        <v>0</v>
      </c>
      <c r="AY10" s="19">
        <f>+SUM(AS10:AX10)</f>
        <v>1</v>
      </c>
      <c r="AZ10" s="12"/>
      <c r="BA10" s="22">
        <v>0</v>
      </c>
      <c r="BB10" s="22">
        <f>$BB$1</f>
        <v>0.52269500000000002</v>
      </c>
      <c r="BC10" s="22">
        <f>$BC$1</f>
        <v>0.47730499999999998</v>
      </c>
      <c r="BD10" s="22">
        <f t="shared" si="28"/>
        <v>0</v>
      </c>
      <c r="BE10" s="23">
        <f>+SUM(BA10:BD10)</f>
        <v>1</v>
      </c>
      <c r="BF10" s="12"/>
      <c r="BG10" s="21">
        <f t="shared" si="35"/>
        <v>0</v>
      </c>
      <c r="BH10" s="21">
        <f t="shared" si="29"/>
        <v>0</v>
      </c>
      <c r="BI10" s="21">
        <f t="shared" si="29"/>
        <v>0</v>
      </c>
      <c r="BJ10" s="21">
        <f t="shared" si="29"/>
        <v>0</v>
      </c>
      <c r="BK10" s="21">
        <f t="shared" si="29"/>
        <v>0</v>
      </c>
    </row>
    <row r="11" spans="1:63">
      <c r="A11" s="24" t="s">
        <v>27</v>
      </c>
      <c r="B11" s="18">
        <f>+B12+B19</f>
        <v>0</v>
      </c>
      <c r="C11" s="18">
        <f>+C12+C19</f>
        <v>25824.190243055</v>
      </c>
      <c r="D11" s="18">
        <f>+D12+D19</f>
        <v>23581.658756945002</v>
      </c>
      <c r="E11" s="18">
        <f>+E12+E19</f>
        <v>0</v>
      </c>
      <c r="F11" s="18">
        <f>+F12+F19</f>
        <v>49405.849000000002</v>
      </c>
      <c r="G11" s="18"/>
      <c r="H11" s="18">
        <f>+H12+H19</f>
        <v>0</v>
      </c>
      <c r="I11" s="18">
        <f>+I12+I19</f>
        <v>675.48162332250013</v>
      </c>
      <c r="J11" s="18">
        <f>+J12+J19</f>
        <v>616.82387667750004</v>
      </c>
      <c r="K11" s="18">
        <f>+K12+K19</f>
        <v>0</v>
      </c>
      <c r="L11" s="18">
        <f>+L12+L19</f>
        <v>1292.3055000000002</v>
      </c>
      <c r="M11" s="12"/>
      <c r="N11" s="18">
        <f>+N12+N19</f>
        <v>0</v>
      </c>
      <c r="O11" s="18">
        <f t="shared" ref="O11:Q11" si="71">+O12+O19</f>
        <v>3377.4081166125002</v>
      </c>
      <c r="P11" s="18">
        <f t="shared" ref="P11" si="72">+P12+P19</f>
        <v>3084.1193833875</v>
      </c>
      <c r="Q11" s="18">
        <f t="shared" si="71"/>
        <v>0</v>
      </c>
      <c r="R11" s="18">
        <f>+R12+R19</f>
        <v>6461.5275000000001</v>
      </c>
      <c r="S11" s="12"/>
      <c r="T11" s="18">
        <f>+T12+T19</f>
        <v>0</v>
      </c>
      <c r="U11" s="18">
        <f t="shared" ref="U11:W11" si="73">+U12+U19</f>
        <v>5840.3196719335001</v>
      </c>
      <c r="V11" s="18">
        <f t="shared" ref="V11" si="74">+V12+V19</f>
        <v>5333.1556280665</v>
      </c>
      <c r="W11" s="18">
        <f t="shared" si="73"/>
        <v>0</v>
      </c>
      <c r="X11" s="18">
        <f>+X12+X19</f>
        <v>11173.475300000002</v>
      </c>
      <c r="Y11" s="12"/>
      <c r="Z11" s="18">
        <f>+Z12+Z19</f>
        <v>0</v>
      </c>
      <c r="AA11" s="18">
        <f t="shared" ref="AA11:AC11" si="75">+AA12+AA19</f>
        <v>10766.1427825755</v>
      </c>
      <c r="AB11" s="18">
        <f t="shared" ref="AB11" si="76">+AB12+AB19</f>
        <v>9831.2281174244981</v>
      </c>
      <c r="AC11" s="18">
        <f t="shared" si="75"/>
        <v>0</v>
      </c>
      <c r="AD11" s="18">
        <f>+AD12+AD19</f>
        <v>20597.370899999998</v>
      </c>
      <c r="AE11" s="12"/>
      <c r="AF11" s="18">
        <f>+AF12+AF19</f>
        <v>0</v>
      </c>
      <c r="AG11" s="18">
        <f t="shared" ref="AG11:AI11" si="77">+AG12+AG19</f>
        <v>5164.8380486110009</v>
      </c>
      <c r="AH11" s="18">
        <f t="shared" ref="AH11" si="78">+AH12+AH19</f>
        <v>4716.3317513889997</v>
      </c>
      <c r="AI11" s="18">
        <f t="shared" si="77"/>
        <v>0</v>
      </c>
      <c r="AJ11" s="18">
        <f>+AJ12+AJ19</f>
        <v>9881.1698000000015</v>
      </c>
      <c r="AK11" s="12"/>
      <c r="AL11" s="18">
        <f>+AL12+AL19</f>
        <v>0</v>
      </c>
      <c r="AM11" s="18">
        <f t="shared" ref="AM11:AO11" si="79">+AM12+AM19</f>
        <v>0</v>
      </c>
      <c r="AN11" s="18">
        <f t="shared" ref="AN11" si="80">+AN12+AN19</f>
        <v>0</v>
      </c>
      <c r="AO11" s="18">
        <f t="shared" si="79"/>
        <v>0</v>
      </c>
      <c r="AP11" s="18">
        <f>+AP12+AP19</f>
        <v>0</v>
      </c>
      <c r="AQ11" s="12"/>
      <c r="AR11" s="69"/>
      <c r="AS11" s="18"/>
      <c r="AT11" s="18"/>
      <c r="AU11" s="18"/>
      <c r="AV11" s="18"/>
      <c r="AW11" s="18"/>
      <c r="AX11" s="18"/>
      <c r="AY11" s="12"/>
      <c r="AZ11" s="12"/>
      <c r="BA11" s="12"/>
      <c r="BB11" s="12"/>
      <c r="BC11" s="12"/>
      <c r="BD11" s="22"/>
      <c r="BE11" s="12"/>
      <c r="BF11" s="12"/>
      <c r="BG11" s="18">
        <f>+BG12+BG19</f>
        <v>0</v>
      </c>
      <c r="BH11" s="18">
        <f t="shared" ref="BH11:BK11" si="81">+BH12+BH19</f>
        <v>0</v>
      </c>
      <c r="BI11" s="18">
        <f t="shared" si="81"/>
        <v>0</v>
      </c>
      <c r="BJ11" s="18">
        <f t="shared" si="81"/>
        <v>0</v>
      </c>
      <c r="BK11" s="18">
        <f t="shared" si="81"/>
        <v>0</v>
      </c>
    </row>
    <row r="12" spans="1:63">
      <c r="A12" s="24" t="s">
        <v>52</v>
      </c>
      <c r="B12" s="18">
        <f>+SUM(B13:B18)</f>
        <v>0</v>
      </c>
      <c r="C12" s="18">
        <f>+SUM(C13:C18)</f>
        <v>19774.22926272</v>
      </c>
      <c r="D12" s="18">
        <f>+SUM(D13:D18)</f>
        <v>18057.066737280002</v>
      </c>
      <c r="E12" s="18">
        <f>+SUM(E13:E18)</f>
        <v>0</v>
      </c>
      <c r="F12" s="18">
        <f t="shared" ref="F12" si="82">+SUM(F13:F18)</f>
        <v>37831.296000000002</v>
      </c>
      <c r="G12" s="18"/>
      <c r="H12" s="18">
        <f>+SUM(H13:H18)</f>
        <v>0</v>
      </c>
      <c r="I12" s="18">
        <f>+SUM(I13:I18)</f>
        <v>372.9835743057501</v>
      </c>
      <c r="J12" s="18">
        <f>+SUM(J13:J18)</f>
        <v>340.59427569425003</v>
      </c>
      <c r="K12" s="18">
        <f>+SUM(K13:K18)</f>
        <v>0</v>
      </c>
      <c r="L12" s="18">
        <f t="shared" ref="L12" si="83">+SUM(L13:L18)</f>
        <v>713.57785000000013</v>
      </c>
      <c r="M12" s="12"/>
      <c r="N12" s="18">
        <f>+SUM(N13:N18)</f>
        <v>0</v>
      </c>
      <c r="O12" s="18">
        <f t="shared" ref="O12:Q12" si="84">+SUM(O13:O18)</f>
        <v>1864.9178715287501</v>
      </c>
      <c r="P12" s="18">
        <f t="shared" ref="P12" si="85">+SUM(P13:P18)</f>
        <v>1702.9713784712501</v>
      </c>
      <c r="Q12" s="18">
        <f t="shared" si="84"/>
        <v>0</v>
      </c>
      <c r="R12" s="18">
        <f t="shared" ref="R12" si="86">+SUM(R13:R18)</f>
        <v>3567.8892500000002</v>
      </c>
      <c r="S12" s="12"/>
      <c r="T12" s="18">
        <f>+SUM(T13:T18)</f>
        <v>0</v>
      </c>
      <c r="U12" s="18">
        <f t="shared" ref="U12:W12" si="87">+SUM(U13:U18)</f>
        <v>4327.8294268497502</v>
      </c>
      <c r="V12" s="18">
        <f t="shared" ref="V12" si="88">+SUM(V13:V18)</f>
        <v>3952.0076231502499</v>
      </c>
      <c r="W12" s="18">
        <f t="shared" si="87"/>
        <v>0</v>
      </c>
      <c r="X12" s="18">
        <f t="shared" ref="X12" si="89">+SUM(X13:X18)</f>
        <v>8279.8370500000019</v>
      </c>
      <c r="Y12" s="12"/>
      <c r="Z12" s="18">
        <f>+SUM(Z13:Z18)</f>
        <v>0</v>
      </c>
      <c r="AA12" s="18">
        <f t="shared" ref="AA12:AC12" si="90">+SUM(AA13:AA18)</f>
        <v>9253.6525374917492</v>
      </c>
      <c r="AB12" s="18">
        <f t="shared" ref="AB12" si="91">+SUM(AB13:AB18)</f>
        <v>8450.0801125082489</v>
      </c>
      <c r="AC12" s="18">
        <f t="shared" si="90"/>
        <v>0</v>
      </c>
      <c r="AD12" s="18">
        <f t="shared" ref="AD12" si="92">+SUM(AD13:AD18)</f>
        <v>17703.732649999998</v>
      </c>
      <c r="AE12" s="12"/>
      <c r="AF12" s="18">
        <f>+SUM(AF13:AF18)</f>
        <v>0</v>
      </c>
      <c r="AG12" s="18">
        <f t="shared" ref="AG12:AI12" si="93">+SUM(AG13:AG18)</f>
        <v>3954.845852544001</v>
      </c>
      <c r="AH12" s="18">
        <f t="shared" ref="AH12" si="94">+SUM(AH13:AH18)</f>
        <v>3611.4133474559999</v>
      </c>
      <c r="AI12" s="18">
        <f t="shared" si="93"/>
        <v>0</v>
      </c>
      <c r="AJ12" s="18">
        <f t="shared" ref="AJ12" si="95">+SUM(AJ13:AJ18)</f>
        <v>7566.2592000000013</v>
      </c>
      <c r="AK12" s="12"/>
      <c r="AL12" s="18">
        <f>+SUM(AL13:AL18)</f>
        <v>0</v>
      </c>
      <c r="AM12" s="18">
        <f t="shared" ref="AM12:AO12" si="96">+SUM(AM13:AM18)</f>
        <v>0</v>
      </c>
      <c r="AN12" s="18">
        <f t="shared" ref="AN12" si="97">+SUM(AN13:AN18)</f>
        <v>0</v>
      </c>
      <c r="AO12" s="18">
        <f t="shared" si="96"/>
        <v>0</v>
      </c>
      <c r="AP12" s="18">
        <f t="shared" ref="AP12" si="98">+SUM(AP13:AP18)</f>
        <v>0</v>
      </c>
      <c r="AQ12" s="12"/>
      <c r="AR12" s="69"/>
      <c r="AS12" s="18"/>
      <c r="AT12" s="18"/>
      <c r="AU12" s="18"/>
      <c r="AV12" s="18"/>
      <c r="AW12" s="18"/>
      <c r="AX12" s="18"/>
      <c r="AY12" s="12"/>
      <c r="AZ12" s="12"/>
      <c r="BA12" s="12"/>
      <c r="BB12" s="12"/>
      <c r="BC12" s="12"/>
      <c r="BD12" s="22"/>
      <c r="BE12" s="12"/>
      <c r="BF12" s="12"/>
      <c r="BG12" s="18">
        <f>+SUM(BG13:BG18)</f>
        <v>0</v>
      </c>
      <c r="BH12" s="18">
        <f t="shared" ref="BH12:BK12" si="99">+SUM(BH13:BH18)</f>
        <v>0</v>
      </c>
      <c r="BI12" s="18">
        <f t="shared" si="99"/>
        <v>0</v>
      </c>
      <c r="BJ12" s="18">
        <f t="shared" si="99"/>
        <v>0</v>
      </c>
      <c r="BK12" s="18">
        <f t="shared" si="99"/>
        <v>0</v>
      </c>
    </row>
    <row r="13" spans="1:63">
      <c r="A13" s="25" t="s">
        <v>53</v>
      </c>
      <c r="B13" s="21">
        <f t="shared" ref="B13:D14" si="100">+H13+N13+T13+Z13+AF13+AL13</f>
        <v>0</v>
      </c>
      <c r="C13" s="21">
        <f t="shared" si="100"/>
        <v>7459.6714861150003</v>
      </c>
      <c r="D13" s="21">
        <f t="shared" si="100"/>
        <v>6811.8855138850004</v>
      </c>
      <c r="E13" s="21">
        <f t="shared" ref="E13:E18" si="101">+K13+Q13+W13+AC13+AI13+AO13</f>
        <v>0</v>
      </c>
      <c r="F13" s="21">
        <f t="shared" ref="F13:F25" si="102">+SUM(B13:E13)</f>
        <v>14271.557000000001</v>
      </c>
      <c r="G13" s="18"/>
      <c r="H13" s="21">
        <f t="shared" ref="H13:K18" si="103">+$AR13*$AS13*BA13</f>
        <v>0</v>
      </c>
      <c r="I13" s="21">
        <f t="shared" si="103"/>
        <v>372.9835743057501</v>
      </c>
      <c r="J13" s="21">
        <f t="shared" si="103"/>
        <v>340.59427569425003</v>
      </c>
      <c r="K13" s="21">
        <f t="shared" si="103"/>
        <v>0</v>
      </c>
      <c r="L13" s="21">
        <f t="shared" ref="L13:L18" si="104">SUM(H13:K13)</f>
        <v>713.57785000000013</v>
      </c>
      <c r="M13" s="12"/>
      <c r="N13" s="21">
        <f t="shared" ref="N13" si="105">+$AR13*$AT13*BA13</f>
        <v>0</v>
      </c>
      <c r="O13" s="21">
        <f t="shared" ref="O13:P18" si="106">+$AR13*$AT13*BB13</f>
        <v>1864.9178715287501</v>
      </c>
      <c r="P13" s="21">
        <f t="shared" si="106"/>
        <v>1702.9713784712501</v>
      </c>
      <c r="Q13" s="21">
        <f t="shared" ref="Q13:Q18" si="107">+$AR13*$AT13*BD13</f>
        <v>0</v>
      </c>
      <c r="R13" s="21">
        <f t="shared" ref="R13:R18" si="108">SUM(N13:Q13)</f>
        <v>3567.8892500000002</v>
      </c>
      <c r="S13" s="12"/>
      <c r="T13" s="21">
        <f t="shared" ref="T13" si="109">+$AR13*$AU13*BA13</f>
        <v>0</v>
      </c>
      <c r="U13" s="21">
        <f t="shared" ref="U13:V18" si="110">+$AR13*$AU13*BB13</f>
        <v>1864.9178715287501</v>
      </c>
      <c r="V13" s="21">
        <f t="shared" si="110"/>
        <v>1702.9713784712501</v>
      </c>
      <c r="W13" s="21">
        <f t="shared" ref="W13:W18" si="111">+$AR13*$AU13*BD13</f>
        <v>0</v>
      </c>
      <c r="X13" s="21">
        <f t="shared" ref="X13:X18" si="112">SUM(T13:W13)</f>
        <v>3567.8892500000002</v>
      </c>
      <c r="Y13" s="12"/>
      <c r="Z13" s="21">
        <f t="shared" ref="Z13" si="113">+$AR13*$AV13*BA13</f>
        <v>0</v>
      </c>
      <c r="AA13" s="21">
        <f t="shared" ref="AA13:AB18" si="114">+$AR13*$AV13*BB13</f>
        <v>1864.9178715287501</v>
      </c>
      <c r="AB13" s="21">
        <f t="shared" si="114"/>
        <v>1702.9713784712501</v>
      </c>
      <c r="AC13" s="21">
        <f t="shared" ref="AC13:AC18" si="115">+$AR13*$AV13*BD13</f>
        <v>0</v>
      </c>
      <c r="AD13" s="21">
        <f t="shared" ref="AD13:AD18" si="116">SUM(Z13:AC13)</f>
        <v>3567.8892500000002</v>
      </c>
      <c r="AE13" s="12"/>
      <c r="AF13" s="21">
        <f>+$AR13*$AW13*BA13</f>
        <v>0</v>
      </c>
      <c r="AG13" s="21">
        <f>+$AR13*$AW13*BB13</f>
        <v>1491.9342972230004</v>
      </c>
      <c r="AH13" s="21">
        <f>+$AR13*$AW13*BC13</f>
        <v>1362.3771027770001</v>
      </c>
      <c r="AI13" s="21">
        <f>+$AR13*$AW13*BD13</f>
        <v>0</v>
      </c>
      <c r="AJ13" s="21">
        <f t="shared" ref="AJ13:AJ18" si="117">SUM(AF13:AI13)</f>
        <v>2854.3114000000005</v>
      </c>
      <c r="AK13" s="12"/>
      <c r="AL13" s="21">
        <f t="shared" ref="AL13:AO14" si="118">+$AR13*$AX13*BA13</f>
        <v>0</v>
      </c>
      <c r="AM13" s="21">
        <f t="shared" si="118"/>
        <v>0</v>
      </c>
      <c r="AN13" s="21">
        <f t="shared" si="118"/>
        <v>0</v>
      </c>
      <c r="AO13" s="21">
        <f t="shared" si="118"/>
        <v>0</v>
      </c>
      <c r="AP13" s="21">
        <f t="shared" ref="AP13:AP18" si="119">SUM(AL13:AO13)</f>
        <v>0</v>
      </c>
      <c r="AQ13" s="12"/>
      <c r="AR13" s="68">
        <f>14271.557</f>
        <v>14271.557000000001</v>
      </c>
      <c r="AS13" s="19">
        <v>0.05</v>
      </c>
      <c r="AT13" s="19">
        <v>0.25</v>
      </c>
      <c r="AU13" s="19">
        <v>0.25</v>
      </c>
      <c r="AV13" s="19">
        <v>0.25</v>
      </c>
      <c r="AW13" s="19">
        <v>0.2</v>
      </c>
      <c r="AX13" s="19">
        <v>0</v>
      </c>
      <c r="AY13" s="19">
        <f t="shared" ref="AY13:AY18" si="120">+SUM(AS13:AX13)</f>
        <v>1</v>
      </c>
      <c r="AZ13" s="12"/>
      <c r="BA13" s="22">
        <v>0</v>
      </c>
      <c r="BB13" s="22">
        <f t="shared" ref="BB13:BB18" si="121">$BB$1</f>
        <v>0.52269500000000002</v>
      </c>
      <c r="BC13" s="22">
        <f t="shared" ref="BC13:BC18" si="122">$BC$1</f>
        <v>0.47730499999999998</v>
      </c>
      <c r="BD13" s="22">
        <f t="shared" ref="BD13:BD22" si="123">(1-SUM(BA13:BC13))</f>
        <v>0</v>
      </c>
      <c r="BE13" s="23">
        <f t="shared" ref="BE13:BE18" si="124">+SUM(BA13:BD13)</f>
        <v>1</v>
      </c>
      <c r="BF13" s="12"/>
      <c r="BG13" s="21">
        <f t="shared" ref="BG13:BG18" si="125">+H13+N13+T13+Z13+AF13+AL13-B13</f>
        <v>0</v>
      </c>
      <c r="BH13" s="21">
        <f t="shared" ref="BH13:BH18" si="126">+I13+O13+U13+AA13+AG13+AM13-C13</f>
        <v>0</v>
      </c>
      <c r="BI13" s="21">
        <f t="shared" ref="BI13:BI18" si="127">+J13+P13+V13+AB13+AH13+AN13-D13</f>
        <v>0</v>
      </c>
      <c r="BJ13" s="21">
        <f t="shared" ref="BJ13:BJ18" si="128">+K13+Q13+W13+AC13+AI13+AO13-E13</f>
        <v>0</v>
      </c>
      <c r="BK13" s="21">
        <f t="shared" ref="BK13:BK18" si="129">+L13+R13+X13+AD13+AJ13+AP13-F13</f>
        <v>0</v>
      </c>
    </row>
    <row r="14" spans="1:63">
      <c r="A14" s="25" t="s">
        <v>54</v>
      </c>
      <c r="B14" s="21">
        <f t="shared" si="100"/>
        <v>0</v>
      </c>
      <c r="C14" s="21">
        <f t="shared" si="100"/>
        <v>4432.6475198449998</v>
      </c>
      <c r="D14" s="21">
        <f t="shared" si="100"/>
        <v>4047.7234801549994</v>
      </c>
      <c r="E14" s="21">
        <f t="shared" si="101"/>
        <v>0</v>
      </c>
      <c r="F14" s="21">
        <f t="shared" si="102"/>
        <v>8480.3709999999992</v>
      </c>
      <c r="G14" s="18"/>
      <c r="H14" s="21">
        <f t="shared" si="103"/>
        <v>0</v>
      </c>
      <c r="I14" s="21">
        <f t="shared" si="103"/>
        <v>0</v>
      </c>
      <c r="J14" s="21">
        <f t="shared" si="103"/>
        <v>0</v>
      </c>
      <c r="K14" s="21">
        <f t="shared" si="103"/>
        <v>0</v>
      </c>
      <c r="L14" s="21">
        <f t="shared" si="104"/>
        <v>0</v>
      </c>
      <c r="M14" s="12"/>
      <c r="N14" s="21">
        <f t="shared" ref="N14" si="130">+$AR14*$AT14*BA14</f>
        <v>0</v>
      </c>
      <c r="O14" s="21">
        <f t="shared" si="106"/>
        <v>0</v>
      </c>
      <c r="P14" s="21">
        <f t="shared" si="106"/>
        <v>0</v>
      </c>
      <c r="Q14" s="21">
        <f t="shared" si="107"/>
        <v>0</v>
      </c>
      <c r="R14" s="21">
        <f t="shared" si="108"/>
        <v>0</v>
      </c>
      <c r="S14" s="12"/>
      <c r="T14" s="21">
        <f t="shared" ref="T14" si="131">+$AR14*$AU14*BA14</f>
        <v>0</v>
      </c>
      <c r="U14" s="21">
        <f t="shared" si="110"/>
        <v>886.52950396900007</v>
      </c>
      <c r="V14" s="21">
        <f t="shared" si="110"/>
        <v>809.54469603099994</v>
      </c>
      <c r="W14" s="21">
        <f t="shared" si="111"/>
        <v>0</v>
      </c>
      <c r="X14" s="21">
        <f t="shared" si="112"/>
        <v>1696.0742</v>
      </c>
      <c r="Y14" s="12"/>
      <c r="Z14" s="21">
        <f t="shared" ref="Z14" si="132">+$AR14*$AV14*BA14</f>
        <v>0</v>
      </c>
      <c r="AA14" s="21">
        <f t="shared" si="114"/>
        <v>2659.5885119069999</v>
      </c>
      <c r="AB14" s="21">
        <f t="shared" si="114"/>
        <v>2428.6340880929993</v>
      </c>
      <c r="AC14" s="21">
        <f t="shared" si="115"/>
        <v>0</v>
      </c>
      <c r="AD14" s="21">
        <f t="shared" si="116"/>
        <v>5088.2225999999991</v>
      </c>
      <c r="AE14" s="12"/>
      <c r="AF14" s="21">
        <f t="shared" ref="AF14" si="133">+$AR14*$AW14*BA14</f>
        <v>0</v>
      </c>
      <c r="AG14" s="21">
        <f>+$AR14*$AW14*BB14</f>
        <v>886.52950396900007</v>
      </c>
      <c r="AH14" s="21">
        <f>+$AR14*$AW14*BC14</f>
        <v>809.54469603099994</v>
      </c>
      <c r="AI14" s="21">
        <f>+$AR14*$AW14*BD14</f>
        <v>0</v>
      </c>
      <c r="AJ14" s="21">
        <f t="shared" si="117"/>
        <v>1696.0742</v>
      </c>
      <c r="AK14" s="12"/>
      <c r="AL14" s="21">
        <f t="shared" si="118"/>
        <v>0</v>
      </c>
      <c r="AM14" s="21">
        <f t="shared" si="118"/>
        <v>0</v>
      </c>
      <c r="AN14" s="21">
        <f t="shared" si="118"/>
        <v>0</v>
      </c>
      <c r="AO14" s="21">
        <f t="shared" si="118"/>
        <v>0</v>
      </c>
      <c r="AP14" s="21">
        <f t="shared" si="119"/>
        <v>0</v>
      </c>
      <c r="AQ14" s="12"/>
      <c r="AR14" s="68">
        <f>8480.371</f>
        <v>8480.3709999999992</v>
      </c>
      <c r="AS14" s="19">
        <v>0</v>
      </c>
      <c r="AT14" s="19">
        <v>0</v>
      </c>
      <c r="AU14" s="19">
        <v>0.2</v>
      </c>
      <c r="AV14" s="19">
        <v>0.6</v>
      </c>
      <c r="AW14" s="19">
        <v>0.2</v>
      </c>
      <c r="AX14" s="19">
        <v>0</v>
      </c>
      <c r="AY14" s="19">
        <f t="shared" si="120"/>
        <v>1</v>
      </c>
      <c r="AZ14" s="12"/>
      <c r="BA14" s="22">
        <f>BA13</f>
        <v>0</v>
      </c>
      <c r="BB14" s="22">
        <f t="shared" si="121"/>
        <v>0.52269500000000002</v>
      </c>
      <c r="BC14" s="22">
        <f t="shared" si="122"/>
        <v>0.47730499999999998</v>
      </c>
      <c r="BD14" s="22">
        <f t="shared" si="123"/>
        <v>0</v>
      </c>
      <c r="BE14" s="23">
        <f t="shared" si="124"/>
        <v>1</v>
      </c>
      <c r="BF14" s="12"/>
      <c r="BG14" s="21">
        <f t="shared" si="125"/>
        <v>0</v>
      </c>
      <c r="BH14" s="21">
        <f t="shared" si="126"/>
        <v>0</v>
      </c>
      <c r="BI14" s="21">
        <f t="shared" si="127"/>
        <v>0</v>
      </c>
      <c r="BJ14" s="21">
        <f t="shared" si="128"/>
        <v>0</v>
      </c>
      <c r="BK14" s="21">
        <f t="shared" si="129"/>
        <v>0</v>
      </c>
    </row>
    <row r="15" spans="1:63">
      <c r="A15" s="25" t="s">
        <v>55</v>
      </c>
      <c r="B15" s="21">
        <f t="shared" ref="B15" si="134">+H15+N15+T15+Z15+AF15+AL15</f>
        <v>0</v>
      </c>
      <c r="C15" s="21">
        <f t="shared" ref="C15:D15" si="135">+I15+O15+U15+AA15+AG15+AM15</f>
        <v>4335.5710363600001</v>
      </c>
      <c r="D15" s="21">
        <f t="shared" si="135"/>
        <v>3959.0769636399996</v>
      </c>
      <c r="E15" s="21">
        <f t="shared" ref="E15" si="136">+K15+Q15+W15+AC15+AI15+AO15</f>
        <v>0</v>
      </c>
      <c r="F15" s="21">
        <f t="shared" ref="F15" si="137">+SUM(B15:E15)</f>
        <v>8294.6479999999992</v>
      </c>
      <c r="G15" s="18"/>
      <c r="H15" s="21">
        <f t="shared" si="103"/>
        <v>0</v>
      </c>
      <c r="I15" s="21">
        <f t="shared" si="103"/>
        <v>0</v>
      </c>
      <c r="J15" s="21">
        <f t="shared" si="103"/>
        <v>0</v>
      </c>
      <c r="K15" s="21">
        <f t="shared" si="103"/>
        <v>0</v>
      </c>
      <c r="L15" s="21">
        <f t="shared" si="104"/>
        <v>0</v>
      </c>
      <c r="M15" s="12"/>
      <c r="N15" s="21">
        <f>+$AR15*$AT15*BA15</f>
        <v>0</v>
      </c>
      <c r="O15" s="21">
        <f t="shared" ref="O15:P15" si="138">+$AR15*$AT15*BB15</f>
        <v>0</v>
      </c>
      <c r="P15" s="21">
        <f t="shared" si="138"/>
        <v>0</v>
      </c>
      <c r="Q15" s="21">
        <f t="shared" ref="Q15" si="139">+$AR15*$AT15*BD15</f>
        <v>0</v>
      </c>
      <c r="R15" s="21">
        <f t="shared" si="108"/>
        <v>0</v>
      </c>
      <c r="S15" s="12"/>
      <c r="T15" s="21">
        <f>+$AR15*$AU15*BA15</f>
        <v>0</v>
      </c>
      <c r="U15" s="21">
        <f t="shared" ref="U15:V15" si="140">+$AR15*$AU15*BB15</f>
        <v>867.11420727200004</v>
      </c>
      <c r="V15" s="21">
        <f t="shared" si="140"/>
        <v>791.81539272799989</v>
      </c>
      <c r="W15" s="21">
        <f t="shared" ref="W15" si="141">+$AR15*$AU15*BD15</f>
        <v>0</v>
      </c>
      <c r="X15" s="21">
        <f t="shared" si="112"/>
        <v>1658.9295999999999</v>
      </c>
      <c r="Y15" s="12"/>
      <c r="Z15" s="21">
        <f>+$AR15*$AV15*BA15</f>
        <v>0</v>
      </c>
      <c r="AA15" s="21">
        <f t="shared" ref="AA15:AB15" si="142">+$AR15*$AV15*BB15</f>
        <v>2601.3426218159998</v>
      </c>
      <c r="AB15" s="21">
        <f t="shared" si="142"/>
        <v>2375.4461781839996</v>
      </c>
      <c r="AC15" s="21">
        <f t="shared" ref="AC15" si="143">+$AR15*$AV15*BD15</f>
        <v>0</v>
      </c>
      <c r="AD15" s="21">
        <f t="shared" si="116"/>
        <v>4976.7887999999994</v>
      </c>
      <c r="AE15" s="12"/>
      <c r="AF15" s="21">
        <f>+$AR15*$AW15*BA15</f>
        <v>0</v>
      </c>
      <c r="AG15" s="21">
        <f t="shared" ref="AG15:AH15" si="144">+$AR15*$AW15*BB15</f>
        <v>867.11420727200004</v>
      </c>
      <c r="AH15" s="21">
        <f t="shared" si="144"/>
        <v>791.81539272799989</v>
      </c>
      <c r="AI15" s="21">
        <f t="shared" ref="AI15" si="145">+$AR15*$AW15*BD15</f>
        <v>0</v>
      </c>
      <c r="AJ15" s="21">
        <f t="shared" si="117"/>
        <v>1658.9295999999999</v>
      </c>
      <c r="AK15" s="12"/>
      <c r="AL15" s="21">
        <f>+$AR15*$AX15*BA15</f>
        <v>0</v>
      </c>
      <c r="AM15" s="21">
        <f t="shared" ref="AM15:AN15" si="146">+$AR15*$AX15*BB15</f>
        <v>0</v>
      </c>
      <c r="AN15" s="21">
        <f t="shared" si="146"/>
        <v>0</v>
      </c>
      <c r="AO15" s="21">
        <f t="shared" ref="AO15" si="147">+$AR15*$AX15*BD15</f>
        <v>0</v>
      </c>
      <c r="AP15" s="21">
        <f t="shared" si="119"/>
        <v>0</v>
      </c>
      <c r="AQ15" s="12"/>
      <c r="AR15" s="68">
        <f>8294.648</f>
        <v>8294.6479999999992</v>
      </c>
      <c r="AS15" s="19">
        <v>0</v>
      </c>
      <c r="AT15" s="19">
        <v>0</v>
      </c>
      <c r="AU15" s="19">
        <v>0.2</v>
      </c>
      <c r="AV15" s="19">
        <v>0.6</v>
      </c>
      <c r="AW15" s="19">
        <v>0.2</v>
      </c>
      <c r="AX15" s="19">
        <v>0</v>
      </c>
      <c r="AY15" s="19">
        <f t="shared" si="120"/>
        <v>1</v>
      </c>
      <c r="AZ15" s="12"/>
      <c r="BA15" s="22">
        <f>BA14</f>
        <v>0</v>
      </c>
      <c r="BB15" s="22">
        <f t="shared" si="121"/>
        <v>0.52269500000000002</v>
      </c>
      <c r="BC15" s="22">
        <f t="shared" si="122"/>
        <v>0.47730499999999998</v>
      </c>
      <c r="BD15" s="22">
        <f t="shared" si="123"/>
        <v>0</v>
      </c>
      <c r="BE15" s="23">
        <f t="shared" si="124"/>
        <v>1</v>
      </c>
      <c r="BF15" s="12"/>
      <c r="BG15" s="21">
        <f t="shared" ref="BG15" si="148">+H15+N15+T15+Z15+AF15+AL15-B15</f>
        <v>0</v>
      </c>
      <c r="BH15" s="21">
        <f t="shared" si="126"/>
        <v>0</v>
      </c>
      <c r="BI15" s="21">
        <f t="shared" si="127"/>
        <v>0</v>
      </c>
      <c r="BJ15" s="21">
        <f t="shared" si="128"/>
        <v>0</v>
      </c>
      <c r="BK15" s="21">
        <f t="shared" si="129"/>
        <v>0</v>
      </c>
    </row>
    <row r="16" spans="1:63">
      <c r="A16" s="25" t="s">
        <v>61</v>
      </c>
      <c r="B16" s="21">
        <f t="shared" ref="B16" si="149">+H16+N16+T16+Z16+AF16+AL16</f>
        <v>0</v>
      </c>
      <c r="C16" s="21">
        <f t="shared" ref="C16" si="150">+I16+O16+U16+AA16+AG16+AM16</f>
        <v>3023.6442204000004</v>
      </c>
      <c r="D16" s="21">
        <f t="shared" ref="D16" si="151">+J16+P16+V16+AB16+AH16+AN16</f>
        <v>2761.0757796000003</v>
      </c>
      <c r="E16" s="21">
        <f t="shared" ref="E16" si="152">+K16+Q16+W16+AC16+AI16+AO16</f>
        <v>0</v>
      </c>
      <c r="F16" s="21">
        <f t="shared" ref="F16" si="153">+SUM(B16:E16)</f>
        <v>5784.7200000000012</v>
      </c>
      <c r="G16" s="18"/>
      <c r="H16" s="21">
        <f t="shared" ref="H16" si="154">+$AR16*$AS16*BA16</f>
        <v>0</v>
      </c>
      <c r="I16" s="21">
        <f t="shared" ref="I16" si="155">+$AR16*$AS16*BB16</f>
        <v>0</v>
      </c>
      <c r="J16" s="21">
        <f t="shared" ref="J16" si="156">+$AR16*$AS16*BC16</f>
        <v>0</v>
      </c>
      <c r="K16" s="21">
        <f t="shared" ref="K16" si="157">+$AR16*$AS16*BD16</f>
        <v>0</v>
      </c>
      <c r="L16" s="21">
        <f t="shared" si="104"/>
        <v>0</v>
      </c>
      <c r="M16" s="12"/>
      <c r="N16" s="21">
        <f>+$AR16*$AT16*BA16</f>
        <v>0</v>
      </c>
      <c r="O16" s="21">
        <f t="shared" ref="O16" si="158">+$AR16*$AT16*BB16</f>
        <v>0</v>
      </c>
      <c r="P16" s="21">
        <f t="shared" ref="P16" si="159">+$AR16*$AT16*BC16</f>
        <v>0</v>
      </c>
      <c r="Q16" s="21">
        <f t="shared" ref="Q16" si="160">+$AR16*$AT16*BD16</f>
        <v>0</v>
      </c>
      <c r="R16" s="21">
        <f t="shared" si="108"/>
        <v>0</v>
      </c>
      <c r="S16" s="12"/>
      <c r="T16" s="21">
        <f>+$AR16*$AU16*BA16</f>
        <v>0</v>
      </c>
      <c r="U16" s="21">
        <f t="shared" ref="U16" si="161">+$AR16*$AU16*BB16</f>
        <v>604.72884408000016</v>
      </c>
      <c r="V16" s="21">
        <f t="shared" ref="V16" si="162">+$AR16*$AU16*BC16</f>
        <v>552.21515592000003</v>
      </c>
      <c r="W16" s="21">
        <f t="shared" ref="W16" si="163">+$AR16*$AU16*BD16</f>
        <v>0</v>
      </c>
      <c r="X16" s="21">
        <f t="shared" si="112"/>
        <v>1156.9440000000002</v>
      </c>
      <c r="Y16" s="12"/>
      <c r="Z16" s="21">
        <f>+$AR16*$AV16*BA16</f>
        <v>0</v>
      </c>
      <c r="AA16" s="21">
        <f t="shared" ref="AA16" si="164">+$AR16*$AV16*BB16</f>
        <v>1814.1865322399999</v>
      </c>
      <c r="AB16" s="21">
        <f t="shared" ref="AB16" si="165">+$AR16*$AV16*BC16</f>
        <v>1656.64546776</v>
      </c>
      <c r="AC16" s="21">
        <f t="shared" ref="AC16" si="166">+$AR16*$AV16*BD16</f>
        <v>0</v>
      </c>
      <c r="AD16" s="21">
        <f t="shared" si="116"/>
        <v>3470.8319999999999</v>
      </c>
      <c r="AE16" s="12"/>
      <c r="AF16" s="21">
        <f>+$AR16*$AW16*BA16</f>
        <v>0</v>
      </c>
      <c r="AG16" s="21">
        <f t="shared" ref="AG16" si="167">+$AR16*$AW16*BB16</f>
        <v>604.72884408000016</v>
      </c>
      <c r="AH16" s="21">
        <f t="shared" ref="AH16" si="168">+$AR16*$AW16*BC16</f>
        <v>552.21515592000003</v>
      </c>
      <c r="AI16" s="21">
        <f t="shared" ref="AI16" si="169">+$AR16*$AW16*BD16</f>
        <v>0</v>
      </c>
      <c r="AJ16" s="21">
        <f t="shared" si="117"/>
        <v>1156.9440000000002</v>
      </c>
      <c r="AK16" s="12"/>
      <c r="AL16" s="21">
        <f>+$AR16*$AX16*BA16</f>
        <v>0</v>
      </c>
      <c r="AM16" s="21">
        <f t="shared" ref="AM16" si="170">+$AR16*$AX16*BB16</f>
        <v>0</v>
      </c>
      <c r="AN16" s="21">
        <f t="shared" ref="AN16" si="171">+$AR16*$AX16*BC16</f>
        <v>0</v>
      </c>
      <c r="AO16" s="21">
        <f t="shared" ref="AO16" si="172">+$AR16*$AX16*BD16</f>
        <v>0</v>
      </c>
      <c r="AP16" s="21">
        <f t="shared" si="119"/>
        <v>0</v>
      </c>
      <c r="AQ16" s="12"/>
      <c r="AR16" s="68">
        <f>5784.72</f>
        <v>5784.72</v>
      </c>
      <c r="AS16" s="19">
        <v>0</v>
      </c>
      <c r="AT16" s="19">
        <v>0</v>
      </c>
      <c r="AU16" s="19">
        <v>0.2</v>
      </c>
      <c r="AV16" s="19">
        <v>0.6</v>
      </c>
      <c r="AW16" s="19">
        <v>0.2</v>
      </c>
      <c r="AX16" s="19">
        <v>0</v>
      </c>
      <c r="AY16" s="19">
        <f t="shared" si="120"/>
        <v>1</v>
      </c>
      <c r="AZ16" s="12"/>
      <c r="BA16" s="22">
        <f>BA15</f>
        <v>0</v>
      </c>
      <c r="BB16" s="22">
        <f t="shared" si="121"/>
        <v>0.52269500000000002</v>
      </c>
      <c r="BC16" s="22">
        <f t="shared" si="122"/>
        <v>0.47730499999999998</v>
      </c>
      <c r="BD16" s="22">
        <f t="shared" ref="BD16" si="173">(1-SUM(BA16:BC16))</f>
        <v>0</v>
      </c>
      <c r="BE16" s="23">
        <f t="shared" si="124"/>
        <v>1</v>
      </c>
      <c r="BF16" s="12"/>
      <c r="BG16" s="21">
        <f t="shared" ref="BG16" si="174">+H16+N16+T16+Z16+AF16+AL16-B16</f>
        <v>0</v>
      </c>
      <c r="BH16" s="21">
        <f t="shared" si="126"/>
        <v>0</v>
      </c>
      <c r="BI16" s="21">
        <f t="shared" si="127"/>
        <v>0</v>
      </c>
      <c r="BJ16" s="21">
        <f t="shared" si="128"/>
        <v>0</v>
      </c>
      <c r="BK16" s="21">
        <f t="shared" si="129"/>
        <v>0</v>
      </c>
    </row>
    <row r="17" spans="1:63">
      <c r="A17" s="25" t="s">
        <v>62</v>
      </c>
      <c r="B17" s="21">
        <f t="shared" ref="B17" si="175">+H17+N17+T17+Z17+AF17+AL17</f>
        <v>0</v>
      </c>
      <c r="C17" s="21">
        <f>+I17+O17+U17+AA17+AG17+AM17</f>
        <v>522.69500000000005</v>
      </c>
      <c r="D17" s="21">
        <f>+J17+P17+V17+AB17+AH17+AN17</f>
        <v>477.30500000000001</v>
      </c>
      <c r="E17" s="21">
        <f t="shared" si="101"/>
        <v>0</v>
      </c>
      <c r="F17" s="21">
        <f t="shared" si="102"/>
        <v>1000</v>
      </c>
      <c r="G17" s="18"/>
      <c r="H17" s="21">
        <f t="shared" si="103"/>
        <v>0</v>
      </c>
      <c r="I17" s="21">
        <f t="shared" si="103"/>
        <v>0</v>
      </c>
      <c r="J17" s="21">
        <f t="shared" si="103"/>
        <v>0</v>
      </c>
      <c r="K17" s="21">
        <f t="shared" si="103"/>
        <v>0</v>
      </c>
      <c r="L17" s="21">
        <f t="shared" si="104"/>
        <v>0</v>
      </c>
      <c r="M17" s="12"/>
      <c r="N17" s="21">
        <f>+$AR17*$AT17*BA17</f>
        <v>0</v>
      </c>
      <c r="O17" s="21">
        <f t="shared" si="106"/>
        <v>0</v>
      </c>
      <c r="P17" s="21">
        <f t="shared" si="106"/>
        <v>0</v>
      </c>
      <c r="Q17" s="21">
        <f t="shared" si="107"/>
        <v>0</v>
      </c>
      <c r="R17" s="21">
        <f t="shared" si="108"/>
        <v>0</v>
      </c>
      <c r="S17" s="12"/>
      <c r="T17" s="21">
        <f>+$AR17*$AU17*BA17</f>
        <v>0</v>
      </c>
      <c r="U17" s="21">
        <f t="shared" si="110"/>
        <v>104.539</v>
      </c>
      <c r="V17" s="21">
        <f t="shared" si="110"/>
        <v>95.460999999999999</v>
      </c>
      <c r="W17" s="21">
        <f t="shared" si="111"/>
        <v>0</v>
      </c>
      <c r="X17" s="21">
        <f t="shared" si="112"/>
        <v>200</v>
      </c>
      <c r="Y17" s="12"/>
      <c r="Z17" s="21">
        <f>+$AR17*$AV17*BA17</f>
        <v>0</v>
      </c>
      <c r="AA17" s="21">
        <f t="shared" si="114"/>
        <v>313.61700000000002</v>
      </c>
      <c r="AB17" s="21">
        <f t="shared" si="114"/>
        <v>286.38299999999998</v>
      </c>
      <c r="AC17" s="21">
        <f t="shared" si="115"/>
        <v>0</v>
      </c>
      <c r="AD17" s="21">
        <f t="shared" si="116"/>
        <v>600</v>
      </c>
      <c r="AE17" s="12"/>
      <c r="AF17" s="21">
        <f>+$AR17*$AW17*BA17</f>
        <v>0</v>
      </c>
      <c r="AG17" s="21">
        <f t="shared" ref="AG17:AI18" si="176">+$AR17*$AW17*BB17</f>
        <v>104.539</v>
      </c>
      <c r="AH17" s="21">
        <f t="shared" si="176"/>
        <v>95.460999999999999</v>
      </c>
      <c r="AI17" s="21">
        <f t="shared" si="176"/>
        <v>0</v>
      </c>
      <c r="AJ17" s="21">
        <f t="shared" si="117"/>
        <v>200</v>
      </c>
      <c r="AK17" s="12"/>
      <c r="AL17" s="21">
        <f>+$AR17*$AX17*BA17</f>
        <v>0</v>
      </c>
      <c r="AM17" s="21">
        <f t="shared" ref="AM17:AO18" si="177">+$AR17*$AX17*BB17</f>
        <v>0</v>
      </c>
      <c r="AN17" s="21">
        <f t="shared" si="177"/>
        <v>0</v>
      </c>
      <c r="AO17" s="21">
        <f t="shared" si="177"/>
        <v>0</v>
      </c>
      <c r="AP17" s="21">
        <f t="shared" si="119"/>
        <v>0</v>
      </c>
      <c r="AQ17" s="12"/>
      <c r="AR17" s="68">
        <f>1000</f>
        <v>1000</v>
      </c>
      <c r="AS17" s="19">
        <v>0</v>
      </c>
      <c r="AT17" s="19">
        <v>0</v>
      </c>
      <c r="AU17" s="19">
        <v>0.2</v>
      </c>
      <c r="AV17" s="19">
        <v>0.6</v>
      </c>
      <c r="AW17" s="19">
        <v>0.2</v>
      </c>
      <c r="AX17" s="19">
        <v>0</v>
      </c>
      <c r="AY17" s="19">
        <f t="shared" si="120"/>
        <v>1</v>
      </c>
      <c r="AZ17" s="12"/>
      <c r="BA17" s="22">
        <f>BA15</f>
        <v>0</v>
      </c>
      <c r="BB17" s="22">
        <f t="shared" si="121"/>
        <v>0.52269500000000002</v>
      </c>
      <c r="BC17" s="22">
        <f t="shared" si="122"/>
        <v>0.47730499999999998</v>
      </c>
      <c r="BD17" s="22">
        <f t="shared" ref="BD17" si="178">(1-SUM(BA17:BC17))</f>
        <v>0</v>
      </c>
      <c r="BE17" s="23">
        <f t="shared" si="124"/>
        <v>1</v>
      </c>
      <c r="BF17" s="12"/>
      <c r="BG17" s="21">
        <f t="shared" si="125"/>
        <v>0</v>
      </c>
      <c r="BH17" s="21">
        <f t="shared" si="126"/>
        <v>0</v>
      </c>
      <c r="BI17" s="21">
        <f t="shared" si="127"/>
        <v>0</v>
      </c>
      <c r="BJ17" s="21">
        <f t="shared" si="128"/>
        <v>0</v>
      </c>
      <c r="BK17" s="21">
        <f t="shared" si="129"/>
        <v>0</v>
      </c>
    </row>
    <row r="18" spans="1:63" hidden="1">
      <c r="A18" s="25" t="s">
        <v>34</v>
      </c>
      <c r="B18" s="21">
        <f>+H18+N18+T18+Z18+AF18+AL18</f>
        <v>0</v>
      </c>
      <c r="C18" s="21">
        <f>+I18+O18+U18+AA18+AG18+AM18</f>
        <v>0</v>
      </c>
      <c r="D18" s="21">
        <f>+J18+P18+V18+AB18+AH18+AN18</f>
        <v>0</v>
      </c>
      <c r="E18" s="21">
        <f t="shared" si="101"/>
        <v>0</v>
      </c>
      <c r="F18" s="21">
        <f t="shared" si="102"/>
        <v>0</v>
      </c>
      <c r="G18" s="18"/>
      <c r="H18" s="21">
        <f t="shared" si="103"/>
        <v>0</v>
      </c>
      <c r="I18" s="21">
        <f t="shared" si="103"/>
        <v>0</v>
      </c>
      <c r="J18" s="21">
        <f t="shared" si="103"/>
        <v>0</v>
      </c>
      <c r="K18" s="21">
        <f t="shared" si="103"/>
        <v>0</v>
      </c>
      <c r="L18" s="21">
        <f t="shared" si="104"/>
        <v>0</v>
      </c>
      <c r="M18" s="12"/>
      <c r="N18" s="21">
        <f>+$AR18*$AT18*BA18</f>
        <v>0</v>
      </c>
      <c r="O18" s="21">
        <f t="shared" si="106"/>
        <v>0</v>
      </c>
      <c r="P18" s="21">
        <f t="shared" si="106"/>
        <v>0</v>
      </c>
      <c r="Q18" s="21">
        <f t="shared" si="107"/>
        <v>0</v>
      </c>
      <c r="R18" s="21">
        <f t="shared" si="108"/>
        <v>0</v>
      </c>
      <c r="S18" s="12"/>
      <c r="T18" s="21">
        <f>+$AR18*$AU18*BA18</f>
        <v>0</v>
      </c>
      <c r="U18" s="21">
        <f t="shared" si="110"/>
        <v>0</v>
      </c>
      <c r="V18" s="21">
        <f t="shared" si="110"/>
        <v>0</v>
      </c>
      <c r="W18" s="21">
        <f t="shared" si="111"/>
        <v>0</v>
      </c>
      <c r="X18" s="21">
        <f t="shared" si="112"/>
        <v>0</v>
      </c>
      <c r="Y18" s="12"/>
      <c r="Z18" s="21">
        <f>+$AR18*$AV18*BA18</f>
        <v>0</v>
      </c>
      <c r="AA18" s="21">
        <f t="shared" si="114"/>
        <v>0</v>
      </c>
      <c r="AB18" s="21">
        <f t="shared" si="114"/>
        <v>0</v>
      </c>
      <c r="AC18" s="21">
        <f t="shared" si="115"/>
        <v>0</v>
      </c>
      <c r="AD18" s="21">
        <f t="shared" si="116"/>
        <v>0</v>
      </c>
      <c r="AE18" s="12"/>
      <c r="AF18" s="21">
        <f>+$AR18*$AW18*BA18</f>
        <v>0</v>
      </c>
      <c r="AG18" s="21">
        <f t="shared" si="176"/>
        <v>0</v>
      </c>
      <c r="AH18" s="21">
        <f t="shared" si="176"/>
        <v>0</v>
      </c>
      <c r="AI18" s="21">
        <f t="shared" si="176"/>
        <v>0</v>
      </c>
      <c r="AJ18" s="21">
        <f t="shared" si="117"/>
        <v>0</v>
      </c>
      <c r="AK18" s="12"/>
      <c r="AL18" s="21">
        <f>+$AR18*$AX18*BA18</f>
        <v>0</v>
      </c>
      <c r="AM18" s="21">
        <f t="shared" si="177"/>
        <v>0</v>
      </c>
      <c r="AN18" s="21">
        <f t="shared" si="177"/>
        <v>0</v>
      </c>
      <c r="AO18" s="21">
        <f t="shared" si="177"/>
        <v>0</v>
      </c>
      <c r="AP18" s="21">
        <f t="shared" si="119"/>
        <v>0</v>
      </c>
      <c r="AQ18" s="12"/>
      <c r="AR18" s="68">
        <v>0</v>
      </c>
      <c r="AS18" s="19">
        <v>0</v>
      </c>
      <c r="AT18" s="19">
        <v>0.3</v>
      </c>
      <c r="AU18" s="19">
        <v>0.3</v>
      </c>
      <c r="AV18" s="19">
        <v>0.3</v>
      </c>
      <c r="AW18" s="19">
        <v>0.1</v>
      </c>
      <c r="AX18" s="19">
        <v>0</v>
      </c>
      <c r="AY18" s="19">
        <f t="shared" si="120"/>
        <v>0.99999999999999989</v>
      </c>
      <c r="AZ18" s="12"/>
      <c r="BA18" s="22">
        <f>+$B$31</f>
        <v>0</v>
      </c>
      <c r="BB18" s="22">
        <f t="shared" si="121"/>
        <v>0.52269500000000002</v>
      </c>
      <c r="BC18" s="22">
        <f t="shared" si="122"/>
        <v>0.47730499999999998</v>
      </c>
      <c r="BD18" s="22">
        <f t="shared" si="123"/>
        <v>0</v>
      </c>
      <c r="BE18" s="23">
        <f t="shared" si="124"/>
        <v>1</v>
      </c>
      <c r="BF18" s="12"/>
      <c r="BG18" s="21">
        <f t="shared" si="125"/>
        <v>0</v>
      </c>
      <c r="BH18" s="21">
        <f t="shared" si="126"/>
        <v>0</v>
      </c>
      <c r="BI18" s="21">
        <f t="shared" si="127"/>
        <v>0</v>
      </c>
      <c r="BJ18" s="21">
        <f t="shared" si="128"/>
        <v>0</v>
      </c>
      <c r="BK18" s="21">
        <f t="shared" si="129"/>
        <v>0</v>
      </c>
    </row>
    <row r="19" spans="1:63">
      <c r="A19" s="24" t="s">
        <v>40</v>
      </c>
      <c r="B19" s="18">
        <f>+SUM(B20:B22)</f>
        <v>0</v>
      </c>
      <c r="C19" s="18">
        <f>+SUM(C20:C22)</f>
        <v>6049.9609803350004</v>
      </c>
      <c r="D19" s="18">
        <f>+SUM(D20:D22)</f>
        <v>5524.5920196650004</v>
      </c>
      <c r="E19" s="18">
        <f>+SUM(E20:E22)</f>
        <v>0</v>
      </c>
      <c r="F19" s="18">
        <f t="shared" ref="F19" si="179">+SUM(F20:F22)</f>
        <v>11574.553</v>
      </c>
      <c r="G19" s="18"/>
      <c r="H19" s="18">
        <f>+SUM(H20:H22)</f>
        <v>0</v>
      </c>
      <c r="I19" s="18">
        <f>+SUM(I20:I22)</f>
        <v>302.49804901675003</v>
      </c>
      <c r="J19" s="18">
        <f>+SUM(J20:J22)</f>
        <v>276.22960098325001</v>
      </c>
      <c r="K19" s="18">
        <f>+SUM(K20:K22)</f>
        <v>0</v>
      </c>
      <c r="L19" s="18">
        <f t="shared" ref="L19" si="180">+SUM(L20:L22)</f>
        <v>578.72765000000004</v>
      </c>
      <c r="M19" s="12"/>
      <c r="N19" s="18">
        <f>+SUM(N20:N22)</f>
        <v>0</v>
      </c>
      <c r="O19" s="18">
        <f t="shared" ref="O19:Q19" si="181">+SUM(O20:O22)</f>
        <v>1512.4902450837501</v>
      </c>
      <c r="P19" s="18">
        <f t="shared" ref="P19" si="182">+SUM(P20:P22)</f>
        <v>1381.1480049162499</v>
      </c>
      <c r="Q19" s="18">
        <f t="shared" si="181"/>
        <v>0</v>
      </c>
      <c r="R19" s="18">
        <f t="shared" ref="R19" si="183">+SUM(R20:R22)</f>
        <v>2893.63825</v>
      </c>
      <c r="S19" s="12"/>
      <c r="T19" s="18">
        <f>+SUM(T20:T22)</f>
        <v>0</v>
      </c>
      <c r="U19" s="18">
        <f t="shared" ref="U19:W19" si="184">+SUM(U20:U22)</f>
        <v>1512.4902450837501</v>
      </c>
      <c r="V19" s="18">
        <f t="shared" ref="V19" si="185">+SUM(V20:V22)</f>
        <v>1381.1480049162499</v>
      </c>
      <c r="W19" s="18">
        <f t="shared" si="184"/>
        <v>0</v>
      </c>
      <c r="X19" s="18">
        <f t="shared" ref="X19" si="186">+SUM(X20:X22)</f>
        <v>2893.63825</v>
      </c>
      <c r="Y19" s="12"/>
      <c r="Z19" s="18">
        <f>+SUM(Z20:Z22)</f>
        <v>0</v>
      </c>
      <c r="AA19" s="18">
        <f t="shared" ref="AA19:AC19" si="187">+SUM(AA20:AA22)</f>
        <v>1512.4902450837501</v>
      </c>
      <c r="AB19" s="18">
        <f t="shared" ref="AB19" si="188">+SUM(AB20:AB22)</f>
        <v>1381.1480049162499</v>
      </c>
      <c r="AC19" s="18">
        <f t="shared" si="187"/>
        <v>0</v>
      </c>
      <c r="AD19" s="18">
        <f t="shared" ref="AD19" si="189">+SUM(AD20:AD22)</f>
        <v>2893.63825</v>
      </c>
      <c r="AE19" s="12"/>
      <c r="AF19" s="18">
        <f>+SUM(AF20:AF22)</f>
        <v>0</v>
      </c>
      <c r="AG19" s="18">
        <f t="shared" ref="AG19:AI19" si="190">+SUM(AG20:AG22)</f>
        <v>1209.9921960670001</v>
      </c>
      <c r="AH19" s="18">
        <f t="shared" ref="AH19" si="191">+SUM(AH20:AH22)</f>
        <v>1104.918403933</v>
      </c>
      <c r="AI19" s="18">
        <f t="shared" si="190"/>
        <v>0</v>
      </c>
      <c r="AJ19" s="18">
        <f t="shared" ref="AJ19" si="192">+SUM(AJ20:AJ22)</f>
        <v>2314.9106000000002</v>
      </c>
      <c r="AK19" s="12"/>
      <c r="AL19" s="18">
        <f>+SUM(AL20:AL22)</f>
        <v>0</v>
      </c>
      <c r="AM19" s="18">
        <f t="shared" ref="AM19:AO19" si="193">+SUM(AM20:AM22)</f>
        <v>0</v>
      </c>
      <c r="AN19" s="18">
        <f t="shared" ref="AN19" si="194">+SUM(AN20:AN22)</f>
        <v>0</v>
      </c>
      <c r="AO19" s="18">
        <f t="shared" si="193"/>
        <v>0</v>
      </c>
      <c r="AP19" s="18">
        <f t="shared" ref="AP19" si="195">+SUM(AP20:AP22)</f>
        <v>0</v>
      </c>
      <c r="AQ19" s="12"/>
      <c r="AR19" s="68"/>
      <c r="AS19" s="19"/>
      <c r="AT19" s="19"/>
      <c r="AU19" s="19"/>
      <c r="AV19" s="19"/>
      <c r="AW19" s="19"/>
      <c r="AX19" s="19"/>
      <c r="AY19" s="19"/>
      <c r="AZ19" s="12"/>
      <c r="BA19" s="22"/>
      <c r="BB19" s="22"/>
      <c r="BC19" s="22"/>
      <c r="BD19" s="22"/>
      <c r="BE19" s="23"/>
      <c r="BF19" s="12"/>
      <c r="BG19" s="18">
        <f>+SUM(BG20:BG22)</f>
        <v>0</v>
      </c>
      <c r="BH19" s="18">
        <f t="shared" ref="BH19:BK19" si="196">+SUM(BH20:BH22)</f>
        <v>0</v>
      </c>
      <c r="BI19" s="18">
        <f t="shared" si="196"/>
        <v>0</v>
      </c>
      <c r="BJ19" s="18">
        <f t="shared" si="196"/>
        <v>0</v>
      </c>
      <c r="BK19" s="18">
        <f t="shared" si="196"/>
        <v>0</v>
      </c>
    </row>
    <row r="20" spans="1:63">
      <c r="A20" s="25" t="s">
        <v>56</v>
      </c>
      <c r="B20" s="21">
        <f t="shared" ref="B20:B22" si="197">+H20+N20+T20+Z20+AF20+AL20</f>
        <v>0</v>
      </c>
      <c r="C20" s="21">
        <f t="shared" ref="C20:D22" si="198">+I20+O20+U20+AA20+AG20+AM20</f>
        <v>6049.9609803350004</v>
      </c>
      <c r="D20" s="21">
        <f t="shared" si="198"/>
        <v>5524.5920196650004</v>
      </c>
      <c r="E20" s="21">
        <f t="shared" ref="E20:E22" si="199">+K20+Q20+W20+AC20+AI20+AO20</f>
        <v>0</v>
      </c>
      <c r="F20" s="21">
        <f t="shared" si="102"/>
        <v>11574.553</v>
      </c>
      <c r="G20" s="18"/>
      <c r="H20" s="21">
        <f t="shared" ref="H20:K22" si="200">+$AR20*$AS20*BA20</f>
        <v>0</v>
      </c>
      <c r="I20" s="21">
        <f t="shared" si="200"/>
        <v>302.49804901675003</v>
      </c>
      <c r="J20" s="21">
        <f t="shared" si="200"/>
        <v>276.22960098325001</v>
      </c>
      <c r="K20" s="21">
        <f t="shared" si="200"/>
        <v>0</v>
      </c>
      <c r="L20" s="21">
        <f>SUM(H20:K20)</f>
        <v>578.72765000000004</v>
      </c>
      <c r="M20" s="12"/>
      <c r="N20" s="21">
        <f t="shared" ref="N20:Q22" si="201">+$AR20*$AT20*BA20</f>
        <v>0</v>
      </c>
      <c r="O20" s="21">
        <f t="shared" si="201"/>
        <v>1512.4902450837501</v>
      </c>
      <c r="P20" s="21">
        <f t="shared" si="201"/>
        <v>1381.1480049162499</v>
      </c>
      <c r="Q20" s="21">
        <f t="shared" si="201"/>
        <v>0</v>
      </c>
      <c r="R20" s="21">
        <f>SUM(N20:Q20)</f>
        <v>2893.63825</v>
      </c>
      <c r="S20" s="12"/>
      <c r="T20" s="21">
        <f t="shared" ref="T20:W22" si="202">+$AR20*$AU20*BA20</f>
        <v>0</v>
      </c>
      <c r="U20" s="21">
        <f t="shared" si="202"/>
        <v>1512.4902450837501</v>
      </c>
      <c r="V20" s="21">
        <f t="shared" si="202"/>
        <v>1381.1480049162499</v>
      </c>
      <c r="W20" s="21">
        <f t="shared" si="202"/>
        <v>0</v>
      </c>
      <c r="X20" s="21">
        <f>SUM(T20:W20)</f>
        <v>2893.63825</v>
      </c>
      <c r="Y20" s="12"/>
      <c r="Z20" s="21">
        <f t="shared" ref="Z20:AC22" si="203">+$AR20*$AV20*BA20</f>
        <v>0</v>
      </c>
      <c r="AA20" s="21">
        <f t="shared" si="203"/>
        <v>1512.4902450837501</v>
      </c>
      <c r="AB20" s="21">
        <f t="shared" si="203"/>
        <v>1381.1480049162499</v>
      </c>
      <c r="AC20" s="21">
        <f t="shared" si="203"/>
        <v>0</v>
      </c>
      <c r="AD20" s="21">
        <f>SUM(Z20:AC20)</f>
        <v>2893.63825</v>
      </c>
      <c r="AE20" s="12"/>
      <c r="AF20" s="21">
        <f t="shared" ref="AF20:AI22" si="204">+$AR20*$AW20*BA20</f>
        <v>0</v>
      </c>
      <c r="AG20" s="21">
        <f t="shared" si="204"/>
        <v>1209.9921960670001</v>
      </c>
      <c r="AH20" s="21">
        <f t="shared" si="204"/>
        <v>1104.918403933</v>
      </c>
      <c r="AI20" s="21">
        <f t="shared" si="204"/>
        <v>0</v>
      </c>
      <c r="AJ20" s="21">
        <f>SUM(AF20:AI20)</f>
        <v>2314.9106000000002</v>
      </c>
      <c r="AK20" s="12"/>
      <c r="AL20" s="21">
        <f t="shared" ref="AL20:AO22" si="205">+$AR20*$AX20*BA20</f>
        <v>0</v>
      </c>
      <c r="AM20" s="21">
        <f t="shared" si="205"/>
        <v>0</v>
      </c>
      <c r="AN20" s="21">
        <f t="shared" si="205"/>
        <v>0</v>
      </c>
      <c r="AO20" s="21">
        <f t="shared" si="205"/>
        <v>0</v>
      </c>
      <c r="AP20" s="21">
        <f>SUM(AL20:AO20)</f>
        <v>0</v>
      </c>
      <c r="AQ20" s="12"/>
      <c r="AR20" s="68">
        <f>11574.553</f>
        <v>11574.553</v>
      </c>
      <c r="AS20" s="19">
        <v>0.05</v>
      </c>
      <c r="AT20" s="19">
        <v>0.25</v>
      </c>
      <c r="AU20" s="19">
        <v>0.25</v>
      </c>
      <c r="AV20" s="19">
        <v>0.25</v>
      </c>
      <c r="AW20" s="19">
        <v>0.2</v>
      </c>
      <c r="AX20" s="19">
        <v>0</v>
      </c>
      <c r="AY20" s="19">
        <f>+SUM(AS20:AX20)</f>
        <v>1</v>
      </c>
      <c r="AZ20" s="12"/>
      <c r="BA20" s="22">
        <f>BA17</f>
        <v>0</v>
      </c>
      <c r="BB20" s="22">
        <f>$BB$1</f>
        <v>0.52269500000000002</v>
      </c>
      <c r="BC20" s="22">
        <f>$BC$1</f>
        <v>0.47730499999999998</v>
      </c>
      <c r="BD20" s="22">
        <f t="shared" si="123"/>
        <v>0</v>
      </c>
      <c r="BE20" s="23">
        <f>+SUM(BA20:BD20)</f>
        <v>1</v>
      </c>
      <c r="BF20" s="12"/>
      <c r="BG20" s="21">
        <f t="shared" ref="BG20:BG22" si="206">+H20+N20+T20+Z20+AF20+AL20-B20</f>
        <v>0</v>
      </c>
      <c r="BH20" s="21">
        <f t="shared" ref="BH20:BH22" si="207">+I20+O20+U20+AA20+AG20+AM20-C20</f>
        <v>0</v>
      </c>
      <c r="BI20" s="21">
        <f t="shared" ref="BI20:BI22" si="208">+J20+P20+V20+AB20+AH20+AN20-D20</f>
        <v>0</v>
      </c>
      <c r="BJ20" s="21">
        <f t="shared" ref="BJ20:BJ22" si="209">+K20+Q20+W20+AC20+AI20+AO20-E20</f>
        <v>0</v>
      </c>
      <c r="BK20" s="21">
        <f t="shared" ref="BK20:BK22" si="210">+L20+R20+X20+AD20+AJ20+AP20-F20</f>
        <v>0</v>
      </c>
    </row>
    <row r="21" spans="1:63" hidden="1">
      <c r="A21" s="25" t="s">
        <v>70</v>
      </c>
      <c r="B21" s="21">
        <f t="shared" si="197"/>
        <v>0</v>
      </c>
      <c r="C21" s="21">
        <f t="shared" si="198"/>
        <v>0</v>
      </c>
      <c r="D21" s="21">
        <f t="shared" si="198"/>
        <v>0</v>
      </c>
      <c r="E21" s="21">
        <f t="shared" ref="E21" si="211">+K21+Q21+W21+AC21+AI21+AO21</f>
        <v>0</v>
      </c>
      <c r="F21" s="21">
        <f t="shared" ref="F21" si="212">+SUM(B21:E21)</f>
        <v>0</v>
      </c>
      <c r="G21" s="18"/>
      <c r="H21" s="21">
        <f t="shared" si="200"/>
        <v>0</v>
      </c>
      <c r="I21" s="21">
        <f t="shared" si="200"/>
        <v>0</v>
      </c>
      <c r="J21" s="21">
        <f t="shared" si="200"/>
        <v>0</v>
      </c>
      <c r="K21" s="21">
        <f t="shared" si="200"/>
        <v>0</v>
      </c>
      <c r="L21" s="21">
        <f>SUM(H21:K21)</f>
        <v>0</v>
      </c>
      <c r="M21" s="12"/>
      <c r="N21" s="21">
        <f t="shared" si="201"/>
        <v>0</v>
      </c>
      <c r="O21" s="21">
        <f t="shared" si="201"/>
        <v>0</v>
      </c>
      <c r="P21" s="21">
        <f t="shared" si="201"/>
        <v>0</v>
      </c>
      <c r="Q21" s="21">
        <f t="shared" si="201"/>
        <v>0</v>
      </c>
      <c r="R21" s="21">
        <f>SUM(N21:Q21)</f>
        <v>0</v>
      </c>
      <c r="S21" s="12"/>
      <c r="T21" s="21">
        <f t="shared" si="202"/>
        <v>0</v>
      </c>
      <c r="U21" s="21">
        <f t="shared" si="202"/>
        <v>0</v>
      </c>
      <c r="V21" s="21">
        <f t="shared" si="202"/>
        <v>0</v>
      </c>
      <c r="W21" s="21">
        <f t="shared" si="202"/>
        <v>0</v>
      </c>
      <c r="X21" s="21">
        <f>SUM(T21:W21)</f>
        <v>0</v>
      </c>
      <c r="Y21" s="12"/>
      <c r="Z21" s="21">
        <f t="shared" si="203"/>
        <v>0</v>
      </c>
      <c r="AA21" s="21">
        <f t="shared" si="203"/>
        <v>0</v>
      </c>
      <c r="AB21" s="21">
        <f t="shared" si="203"/>
        <v>0</v>
      </c>
      <c r="AC21" s="21">
        <f t="shared" si="203"/>
        <v>0</v>
      </c>
      <c r="AD21" s="21">
        <f>SUM(Z21:AC21)</f>
        <v>0</v>
      </c>
      <c r="AE21" s="12"/>
      <c r="AF21" s="21">
        <f t="shared" si="204"/>
        <v>0</v>
      </c>
      <c r="AG21" s="21">
        <f t="shared" si="204"/>
        <v>0</v>
      </c>
      <c r="AH21" s="21">
        <f t="shared" si="204"/>
        <v>0</v>
      </c>
      <c r="AI21" s="21">
        <f t="shared" si="204"/>
        <v>0</v>
      </c>
      <c r="AJ21" s="21">
        <f>SUM(AF21:AI21)</f>
        <v>0</v>
      </c>
      <c r="AK21" s="12"/>
      <c r="AL21" s="21">
        <f t="shared" si="205"/>
        <v>0</v>
      </c>
      <c r="AM21" s="21">
        <f t="shared" si="205"/>
        <v>0</v>
      </c>
      <c r="AN21" s="21">
        <f t="shared" si="205"/>
        <v>0</v>
      </c>
      <c r="AO21" s="21">
        <f t="shared" si="205"/>
        <v>0</v>
      </c>
      <c r="AP21" s="21">
        <f>SUM(AL21:AO21)</f>
        <v>0</v>
      </c>
      <c r="AQ21" s="12"/>
      <c r="AR21" s="68">
        <f>0*1.1</f>
        <v>0</v>
      </c>
      <c r="AS21" s="19">
        <v>0.05</v>
      </c>
      <c r="AT21" s="19">
        <v>0.25</v>
      </c>
      <c r="AU21" s="19">
        <v>0.25</v>
      </c>
      <c r="AV21" s="19">
        <v>0.25</v>
      </c>
      <c r="AW21" s="19">
        <v>0.2</v>
      </c>
      <c r="AX21" s="19">
        <v>0</v>
      </c>
      <c r="AY21" s="19">
        <f>+SUM(AS21:AX21)</f>
        <v>1</v>
      </c>
      <c r="AZ21" s="12"/>
      <c r="BA21" s="22">
        <f>BA20</f>
        <v>0</v>
      </c>
      <c r="BB21" s="22">
        <f>$BB$1</f>
        <v>0.52269500000000002</v>
      </c>
      <c r="BC21" s="22">
        <f>$BC$1</f>
        <v>0.47730499999999998</v>
      </c>
      <c r="BD21" s="22">
        <f t="shared" si="123"/>
        <v>0</v>
      </c>
      <c r="BE21" s="23">
        <f>+SUM(BA21:BD21)</f>
        <v>1</v>
      </c>
      <c r="BF21" s="12"/>
      <c r="BG21" s="21">
        <f t="shared" ref="BG21" si="213">+H21+N21+T21+Z21+AF21+AL21-B21</f>
        <v>0</v>
      </c>
      <c r="BH21" s="21">
        <f t="shared" si="207"/>
        <v>0</v>
      </c>
      <c r="BI21" s="21">
        <f t="shared" si="208"/>
        <v>0</v>
      </c>
      <c r="BJ21" s="21">
        <f t="shared" si="209"/>
        <v>0</v>
      </c>
      <c r="BK21" s="21">
        <f t="shared" si="210"/>
        <v>0</v>
      </c>
    </row>
    <row r="22" spans="1:63" hidden="1">
      <c r="A22" s="25" t="s">
        <v>34</v>
      </c>
      <c r="B22" s="21">
        <f t="shared" si="197"/>
        <v>0</v>
      </c>
      <c r="C22" s="21">
        <f t="shared" si="198"/>
        <v>0</v>
      </c>
      <c r="D22" s="21">
        <f t="shared" si="198"/>
        <v>0</v>
      </c>
      <c r="E22" s="21">
        <f t="shared" si="199"/>
        <v>0</v>
      </c>
      <c r="F22" s="21">
        <f t="shared" si="102"/>
        <v>0</v>
      </c>
      <c r="G22" s="18"/>
      <c r="H22" s="21">
        <f t="shared" si="200"/>
        <v>0</v>
      </c>
      <c r="I22" s="21">
        <f t="shared" si="200"/>
        <v>0</v>
      </c>
      <c r="J22" s="21">
        <f t="shared" si="200"/>
        <v>0</v>
      </c>
      <c r="K22" s="21">
        <f t="shared" si="200"/>
        <v>0</v>
      </c>
      <c r="L22" s="21">
        <f>SUM(H22:K22)</f>
        <v>0</v>
      </c>
      <c r="M22" s="12"/>
      <c r="N22" s="21">
        <f t="shared" si="201"/>
        <v>0</v>
      </c>
      <c r="O22" s="21">
        <f t="shared" si="201"/>
        <v>0</v>
      </c>
      <c r="P22" s="21">
        <f t="shared" si="201"/>
        <v>0</v>
      </c>
      <c r="Q22" s="21">
        <f t="shared" si="201"/>
        <v>0</v>
      </c>
      <c r="R22" s="21">
        <f>SUM(N22:Q22)</f>
        <v>0</v>
      </c>
      <c r="S22" s="12"/>
      <c r="T22" s="21">
        <f t="shared" si="202"/>
        <v>0</v>
      </c>
      <c r="U22" s="21">
        <f t="shared" si="202"/>
        <v>0</v>
      </c>
      <c r="V22" s="21">
        <f t="shared" si="202"/>
        <v>0</v>
      </c>
      <c r="W22" s="21">
        <f t="shared" si="202"/>
        <v>0</v>
      </c>
      <c r="X22" s="21">
        <f>SUM(T22:W22)</f>
        <v>0</v>
      </c>
      <c r="Y22" s="12"/>
      <c r="Z22" s="21">
        <f t="shared" si="203"/>
        <v>0</v>
      </c>
      <c r="AA22" s="21">
        <f t="shared" si="203"/>
        <v>0</v>
      </c>
      <c r="AB22" s="21">
        <f t="shared" si="203"/>
        <v>0</v>
      </c>
      <c r="AC22" s="21">
        <f t="shared" si="203"/>
        <v>0</v>
      </c>
      <c r="AD22" s="21">
        <f>SUM(Z22:AC22)</f>
        <v>0</v>
      </c>
      <c r="AE22" s="12"/>
      <c r="AF22" s="21">
        <f t="shared" si="204"/>
        <v>0</v>
      </c>
      <c r="AG22" s="21">
        <f t="shared" si="204"/>
        <v>0</v>
      </c>
      <c r="AH22" s="21">
        <f t="shared" si="204"/>
        <v>0</v>
      </c>
      <c r="AI22" s="21">
        <f t="shared" si="204"/>
        <v>0</v>
      </c>
      <c r="AJ22" s="21">
        <f>SUM(AF22:AI22)</f>
        <v>0</v>
      </c>
      <c r="AK22" s="12"/>
      <c r="AL22" s="21">
        <f t="shared" si="205"/>
        <v>0</v>
      </c>
      <c r="AM22" s="21">
        <f t="shared" si="205"/>
        <v>0</v>
      </c>
      <c r="AN22" s="21">
        <f t="shared" si="205"/>
        <v>0</v>
      </c>
      <c r="AO22" s="21">
        <f t="shared" si="205"/>
        <v>0</v>
      </c>
      <c r="AP22" s="21">
        <f>SUM(AL22:AO22)</f>
        <v>0</v>
      </c>
      <c r="AQ22" s="12"/>
      <c r="AR22" s="68">
        <v>0</v>
      </c>
      <c r="AS22" s="19">
        <v>0.05</v>
      </c>
      <c r="AT22" s="19">
        <v>0.25</v>
      </c>
      <c r="AU22" s="19">
        <v>0.25</v>
      </c>
      <c r="AV22" s="19">
        <v>0.25</v>
      </c>
      <c r="AW22" s="19">
        <v>0.2</v>
      </c>
      <c r="AX22" s="19">
        <v>0</v>
      </c>
      <c r="AY22" s="19">
        <f>+SUM(AS22:AX22)</f>
        <v>1</v>
      </c>
      <c r="AZ22" s="12"/>
      <c r="BA22" s="22">
        <v>0</v>
      </c>
      <c r="BB22" s="22">
        <f>$BB$1</f>
        <v>0.52269500000000002</v>
      </c>
      <c r="BC22" s="22">
        <f>$BC$1</f>
        <v>0.47730499999999998</v>
      </c>
      <c r="BD22" s="22">
        <f t="shared" si="123"/>
        <v>0</v>
      </c>
      <c r="BE22" s="23">
        <f>+SUM(BA22:BD22)</f>
        <v>1</v>
      </c>
      <c r="BF22" s="12"/>
      <c r="BG22" s="21">
        <f t="shared" si="206"/>
        <v>0</v>
      </c>
      <c r="BH22" s="21">
        <f t="shared" si="207"/>
        <v>0</v>
      </c>
      <c r="BI22" s="21">
        <f t="shared" si="208"/>
        <v>0</v>
      </c>
      <c r="BJ22" s="21">
        <f t="shared" si="209"/>
        <v>0</v>
      </c>
      <c r="BK22" s="21">
        <f t="shared" si="210"/>
        <v>0</v>
      </c>
    </row>
    <row r="23" spans="1:63">
      <c r="A23" s="17" t="s">
        <v>33</v>
      </c>
      <c r="B23" s="18">
        <f>+SUM(B24:B25)</f>
        <v>0</v>
      </c>
      <c r="C23" s="18">
        <f>+SUM(C24:C25)</f>
        <v>770.94193673000007</v>
      </c>
      <c r="D23" s="18">
        <f>+SUM(D24:D25)</f>
        <v>0</v>
      </c>
      <c r="E23" s="18">
        <f>+SUM(E24:E25)</f>
        <v>2889.0928311600001</v>
      </c>
      <c r="F23" s="18">
        <f t="shared" ref="F23" si="214">+SUM(F24:F25)</f>
        <v>3660.0347678900002</v>
      </c>
      <c r="G23" s="18"/>
      <c r="H23" s="18">
        <f>+SUM(H24:H25)</f>
        <v>0</v>
      </c>
      <c r="I23" s="18">
        <f>+SUM(I24:I25)</f>
        <v>0</v>
      </c>
      <c r="J23" s="18">
        <f>+SUM(J24:J25)</f>
        <v>0</v>
      </c>
      <c r="K23" s="18">
        <f>+SUM(K24:K25)</f>
        <v>0</v>
      </c>
      <c r="L23" s="18">
        <f t="shared" ref="L23" si="215">+SUM(L24:L25)</f>
        <v>0</v>
      </c>
      <c r="M23" s="12"/>
      <c r="N23" s="18">
        <f>+SUM(N24:N25)</f>
        <v>0</v>
      </c>
      <c r="O23" s="18">
        <f t="shared" ref="O23:Q23" si="216">+SUM(O24:O25)</f>
        <v>0</v>
      </c>
      <c r="P23" s="18">
        <f t="shared" ref="P23" si="217">+SUM(P24:P25)</f>
        <v>0</v>
      </c>
      <c r="Q23" s="18">
        <f t="shared" si="216"/>
        <v>0</v>
      </c>
      <c r="R23" s="18">
        <f t="shared" ref="R23" si="218">+SUM(R24:R25)</f>
        <v>0</v>
      </c>
      <c r="S23" s="12"/>
      <c r="T23" s="18">
        <f>+SUM(T24:T25)</f>
        <v>0</v>
      </c>
      <c r="U23" s="18">
        <f t="shared" ref="U23:W23" si="219">+SUM(U24:U25)</f>
        <v>0</v>
      </c>
      <c r="V23" s="18">
        <f t="shared" ref="V23" si="220">+SUM(V24:V25)</f>
        <v>0</v>
      </c>
      <c r="W23" s="18">
        <f t="shared" si="219"/>
        <v>0</v>
      </c>
      <c r="X23" s="18">
        <f t="shared" ref="X23" si="221">+SUM(X24:X25)</f>
        <v>0</v>
      </c>
      <c r="Y23" s="12"/>
      <c r="Z23" s="18">
        <f>+SUM(Z24:Z25)</f>
        <v>0</v>
      </c>
      <c r="AA23" s="18">
        <f t="shared" ref="AA23:AC23" si="222">+SUM(AA24:AA25)</f>
        <v>385.47096836500003</v>
      </c>
      <c r="AB23" s="18">
        <f t="shared" ref="AB23" si="223">+SUM(AB24:AB25)</f>
        <v>0</v>
      </c>
      <c r="AC23" s="18">
        <f t="shared" si="222"/>
        <v>1444.54641558</v>
      </c>
      <c r="AD23" s="18">
        <f t="shared" ref="AD23" si="224">+SUM(AD24:AD25)</f>
        <v>1830.0173839450001</v>
      </c>
      <c r="AE23" s="12"/>
      <c r="AF23" s="18">
        <f>+SUM(AF24:AF25)</f>
        <v>0</v>
      </c>
      <c r="AG23" s="18">
        <f t="shared" ref="AG23:AI23" si="225">+SUM(AG24:AG25)</f>
        <v>385.47096836500003</v>
      </c>
      <c r="AH23" s="18">
        <f t="shared" ref="AH23" si="226">+SUM(AH24:AH25)</f>
        <v>0</v>
      </c>
      <c r="AI23" s="18">
        <f t="shared" si="225"/>
        <v>1444.54641558</v>
      </c>
      <c r="AJ23" s="18">
        <f t="shared" ref="AJ23" si="227">+SUM(AJ24:AJ25)</f>
        <v>1830.0173839450001</v>
      </c>
      <c r="AK23" s="12"/>
      <c r="AL23" s="18">
        <f>+SUM(AL24:AL25)</f>
        <v>0</v>
      </c>
      <c r="AM23" s="18">
        <f t="shared" ref="AM23:AO23" si="228">+SUM(AM24:AM25)</f>
        <v>0</v>
      </c>
      <c r="AN23" s="18">
        <f t="shared" ref="AN23" si="229">+SUM(AN24:AN25)</f>
        <v>0</v>
      </c>
      <c r="AO23" s="18">
        <f t="shared" si="228"/>
        <v>0</v>
      </c>
      <c r="AP23" s="18">
        <f t="shared" ref="AP23" si="230">+SUM(AP24:AP25)</f>
        <v>0</v>
      </c>
      <c r="AQ23" s="12"/>
      <c r="AR23" s="21"/>
      <c r="AS23" s="19"/>
      <c r="AT23" s="19"/>
      <c r="AU23" s="19"/>
      <c r="AV23" s="19"/>
      <c r="AW23" s="19"/>
      <c r="AX23" s="19"/>
      <c r="AY23" s="19"/>
      <c r="AZ23" s="12"/>
      <c r="BA23" s="22"/>
      <c r="BB23" s="22"/>
      <c r="BC23" s="22"/>
      <c r="BD23" s="22"/>
      <c r="BE23" s="23"/>
      <c r="BF23" s="12"/>
      <c r="BG23" s="18">
        <f>+SUM(BG24:BG25)</f>
        <v>0</v>
      </c>
      <c r="BH23" s="18">
        <f t="shared" ref="BH23:BK23" si="231">+SUM(BH24:BH25)</f>
        <v>0</v>
      </c>
      <c r="BI23" s="18">
        <f t="shared" si="231"/>
        <v>0</v>
      </c>
      <c r="BJ23" s="18">
        <f t="shared" si="231"/>
        <v>0</v>
      </c>
      <c r="BK23" s="18">
        <f t="shared" si="231"/>
        <v>0</v>
      </c>
    </row>
    <row r="24" spans="1:63">
      <c r="A24" s="20" t="s">
        <v>126</v>
      </c>
      <c r="B24" s="21">
        <f t="shared" ref="B24:D25" si="232">+H24+N24+T24+Z24+AF24+AL24</f>
        <v>0</v>
      </c>
      <c r="C24" s="21">
        <f t="shared" si="232"/>
        <v>770.94193673000007</v>
      </c>
      <c r="D24" s="21">
        <f t="shared" si="232"/>
        <v>0</v>
      </c>
      <c r="E24" s="21">
        <f t="shared" ref="E24:E25" si="233">+K24+Q24+W24+AC24+AI24+AO24</f>
        <v>0</v>
      </c>
      <c r="F24" s="21">
        <f t="shared" si="102"/>
        <v>770.94193673000007</v>
      </c>
      <c r="G24" s="21"/>
      <c r="H24" s="21">
        <f t="shared" ref="H24:K25" si="234">+$AR24*$AS24*BA24</f>
        <v>0</v>
      </c>
      <c r="I24" s="21">
        <f t="shared" si="234"/>
        <v>0</v>
      </c>
      <c r="J24" s="21">
        <f t="shared" si="234"/>
        <v>0</v>
      </c>
      <c r="K24" s="21">
        <f t="shared" si="234"/>
        <v>0</v>
      </c>
      <c r="L24" s="21">
        <f>SUM(H24:K24)</f>
        <v>0</v>
      </c>
      <c r="M24" s="12"/>
      <c r="N24" s="21">
        <f t="shared" ref="N24" si="235">+$AR24*$AT24*BA24</f>
        <v>0</v>
      </c>
      <c r="O24" s="21">
        <f t="shared" ref="O24:P25" si="236">+$AR24*$AT24*BB24</f>
        <v>0</v>
      </c>
      <c r="P24" s="21">
        <f t="shared" si="236"/>
        <v>0</v>
      </c>
      <c r="Q24" s="21">
        <f t="shared" ref="Q24:Q25" si="237">+$AR24*$AT24*BD24</f>
        <v>0</v>
      </c>
      <c r="R24" s="21">
        <f>SUM(N24:Q24)</f>
        <v>0</v>
      </c>
      <c r="S24" s="12"/>
      <c r="T24" s="21">
        <f t="shared" ref="T24" si="238">+$AR24*$AU24*BA24</f>
        <v>0</v>
      </c>
      <c r="U24" s="21">
        <f t="shared" ref="U24:V25" si="239">+$AR24*$AU24*BB24</f>
        <v>0</v>
      </c>
      <c r="V24" s="21">
        <f t="shared" si="239"/>
        <v>0</v>
      </c>
      <c r="W24" s="21">
        <f t="shared" ref="W24:W25" si="240">+$AR24*$AU24*BD24</f>
        <v>0</v>
      </c>
      <c r="X24" s="21">
        <f>SUM(T24:W24)</f>
        <v>0</v>
      </c>
      <c r="Y24" s="12"/>
      <c r="Z24" s="21">
        <f t="shared" ref="Z24" si="241">+$AR24*$AV24*BA24</f>
        <v>0</v>
      </c>
      <c r="AA24" s="21">
        <f t="shared" ref="AA24:AB25" si="242">+$AR24*$AV24*BB24</f>
        <v>385.47096836500003</v>
      </c>
      <c r="AB24" s="21">
        <f t="shared" si="242"/>
        <v>0</v>
      </c>
      <c r="AC24" s="21">
        <f t="shared" ref="AC24:AC25" si="243">+$AR24*$AV24*BD24</f>
        <v>0</v>
      </c>
      <c r="AD24" s="21">
        <f>SUM(Z24:AC24)</f>
        <v>385.47096836500003</v>
      </c>
      <c r="AE24" s="12"/>
      <c r="AF24" s="21">
        <f t="shared" ref="AF24" si="244">+$AR24*$AW24*BA24</f>
        <v>0</v>
      </c>
      <c r="AG24" s="21">
        <f t="shared" ref="AG24:AH25" si="245">+$AR24*$AW24*BB24</f>
        <v>385.47096836500003</v>
      </c>
      <c r="AH24" s="21">
        <f t="shared" si="245"/>
        <v>0</v>
      </c>
      <c r="AI24" s="21">
        <f t="shared" ref="AI24:AI25" si="246">+$AR24*$AW24*BD24</f>
        <v>0</v>
      </c>
      <c r="AJ24" s="21">
        <f>SUM(AF24:AI24)</f>
        <v>385.47096836500003</v>
      </c>
      <c r="AK24" s="12"/>
      <c r="AL24" s="21">
        <f t="shared" ref="AL24:AO25" si="247">+$AR24*$AX24*BA24</f>
        <v>0</v>
      </c>
      <c r="AM24" s="21">
        <f t="shared" si="247"/>
        <v>0</v>
      </c>
      <c r="AN24" s="21">
        <f t="shared" si="247"/>
        <v>0</v>
      </c>
      <c r="AO24" s="21">
        <f t="shared" si="247"/>
        <v>0</v>
      </c>
      <c r="AP24" s="21">
        <f>SUM(AL24:AO24)</f>
        <v>0</v>
      </c>
      <c r="AQ24" s="163">
        <v>1.7770000000000001E-2</v>
      </c>
      <c r="AR24" s="21">
        <f>+SUM(AR13:AR22)*(AQ24)-107</f>
        <v>770.94193673000007</v>
      </c>
      <c r="AS24" s="19">
        <v>0</v>
      </c>
      <c r="AT24" s="19">
        <v>0</v>
      </c>
      <c r="AU24" s="19">
        <v>0</v>
      </c>
      <c r="AV24" s="19">
        <v>0.5</v>
      </c>
      <c r="AW24" s="19">
        <v>0.5</v>
      </c>
      <c r="AX24" s="19">
        <v>0</v>
      </c>
      <c r="AY24" s="19">
        <f>+SUM(AS24:AX24)</f>
        <v>1</v>
      </c>
      <c r="AZ24" s="12"/>
      <c r="BA24" s="22">
        <v>0</v>
      </c>
      <c r="BB24" s="22">
        <v>1</v>
      </c>
      <c r="BC24" s="22">
        <v>0</v>
      </c>
      <c r="BD24" s="22">
        <f t="shared" ref="BD24" si="248">(1-SUM(BA24:BC24))</f>
        <v>0</v>
      </c>
      <c r="BE24" s="23">
        <f>+SUM(BA24:BD24)</f>
        <v>1</v>
      </c>
      <c r="BF24" s="12"/>
      <c r="BG24" s="21">
        <f t="shared" ref="BG24:BG25" si="249">+H24+N24+T24+Z24+AF24+AL24-B24</f>
        <v>0</v>
      </c>
      <c r="BH24" s="21">
        <f t="shared" ref="BH24:BH25" si="250">+I24+O24+U24+AA24+AG24+AM24-C24</f>
        <v>0</v>
      </c>
      <c r="BI24" s="21">
        <f t="shared" ref="BI24:BI25" si="251">+J24+P24+V24+AB24+AH24+AN24-D24</f>
        <v>0</v>
      </c>
      <c r="BJ24" s="21">
        <f t="shared" ref="BJ24:BJ25" si="252">+K24+Q24+W24+AC24+AI24+AO24-E24</f>
        <v>0</v>
      </c>
      <c r="BK24" s="21">
        <f t="shared" ref="BK24:BK25" si="253">+L24+R24+X24+AD24+AJ24+AP24-F24</f>
        <v>0</v>
      </c>
    </row>
    <row r="25" spans="1:63">
      <c r="A25" s="20" t="s">
        <v>36</v>
      </c>
      <c r="B25" s="21">
        <f t="shared" si="232"/>
        <v>0</v>
      </c>
      <c r="C25" s="21">
        <f t="shared" si="232"/>
        <v>0</v>
      </c>
      <c r="D25" s="21">
        <f t="shared" si="232"/>
        <v>0</v>
      </c>
      <c r="E25" s="21">
        <f t="shared" si="233"/>
        <v>2889.0928311600001</v>
      </c>
      <c r="F25" s="21">
        <f t="shared" si="102"/>
        <v>2889.0928311600001</v>
      </c>
      <c r="G25" s="21"/>
      <c r="H25" s="21">
        <f t="shared" si="234"/>
        <v>0</v>
      </c>
      <c r="I25" s="21">
        <f t="shared" si="234"/>
        <v>0</v>
      </c>
      <c r="J25" s="21">
        <f t="shared" si="234"/>
        <v>0</v>
      </c>
      <c r="K25" s="21">
        <f t="shared" si="234"/>
        <v>0</v>
      </c>
      <c r="L25" s="21">
        <f>SUM(H25:K25)</f>
        <v>0</v>
      </c>
      <c r="M25" s="12"/>
      <c r="N25" s="21">
        <f t="shared" ref="N25" si="254">+$AR25*$AT25*BA25</f>
        <v>0</v>
      </c>
      <c r="O25" s="21">
        <f t="shared" si="236"/>
        <v>0</v>
      </c>
      <c r="P25" s="21">
        <f t="shared" si="236"/>
        <v>0</v>
      </c>
      <c r="Q25" s="21">
        <f t="shared" si="237"/>
        <v>0</v>
      </c>
      <c r="R25" s="21">
        <f>SUM(N25:Q25)</f>
        <v>0</v>
      </c>
      <c r="S25" s="12"/>
      <c r="T25" s="21">
        <f t="shared" ref="T25" si="255">+$AR25*$AU25*BA25</f>
        <v>0</v>
      </c>
      <c r="U25" s="21">
        <f t="shared" si="239"/>
        <v>0</v>
      </c>
      <c r="V25" s="21">
        <f t="shared" si="239"/>
        <v>0</v>
      </c>
      <c r="W25" s="21">
        <f t="shared" si="240"/>
        <v>0</v>
      </c>
      <c r="X25" s="21">
        <f>SUM(T25:W25)</f>
        <v>0</v>
      </c>
      <c r="Y25" s="12"/>
      <c r="Z25" s="21">
        <f t="shared" ref="Z25" si="256">+$AR25*$AV25*BA25</f>
        <v>0</v>
      </c>
      <c r="AA25" s="21">
        <f t="shared" si="242"/>
        <v>0</v>
      </c>
      <c r="AB25" s="21">
        <f t="shared" si="242"/>
        <v>0</v>
      </c>
      <c r="AC25" s="21">
        <f t="shared" si="243"/>
        <v>1444.54641558</v>
      </c>
      <c r="AD25" s="21">
        <f>SUM(Z25:AC25)</f>
        <v>1444.54641558</v>
      </c>
      <c r="AE25" s="12"/>
      <c r="AF25" s="21">
        <f t="shared" ref="AF25" si="257">+$AR25*$AW25*BA25</f>
        <v>0</v>
      </c>
      <c r="AG25" s="21">
        <f t="shared" si="245"/>
        <v>0</v>
      </c>
      <c r="AH25" s="21">
        <f t="shared" si="245"/>
        <v>0</v>
      </c>
      <c r="AI25" s="21">
        <f t="shared" si="246"/>
        <v>1444.54641558</v>
      </c>
      <c r="AJ25" s="21">
        <f>SUM(AF25:AI25)</f>
        <v>1444.54641558</v>
      </c>
      <c r="AK25" s="12"/>
      <c r="AL25" s="21">
        <f t="shared" si="247"/>
        <v>0</v>
      </c>
      <c r="AM25" s="21">
        <f t="shared" si="247"/>
        <v>0</v>
      </c>
      <c r="AN25" s="21">
        <f t="shared" si="247"/>
        <v>0</v>
      </c>
      <c r="AO25" s="21">
        <f t="shared" si="247"/>
        <v>0</v>
      </c>
      <c r="AP25" s="21">
        <f>SUM(AL25:AO25)</f>
        <v>0</v>
      </c>
      <c r="AQ25" s="163">
        <f>0.1-AQ24</f>
        <v>8.2229999999999998E-2</v>
      </c>
      <c r="AR25" s="21">
        <f>+SUM(AR14:AR23)*(AQ25)</f>
        <v>2889.0928311600001</v>
      </c>
      <c r="AS25" s="19">
        <v>0</v>
      </c>
      <c r="AT25" s="19">
        <v>0</v>
      </c>
      <c r="AU25" s="19">
        <v>0</v>
      </c>
      <c r="AV25" s="19">
        <v>0.5</v>
      </c>
      <c r="AW25" s="19">
        <v>0.5</v>
      </c>
      <c r="AX25" s="19">
        <v>0</v>
      </c>
      <c r="AY25" s="19">
        <f>+SUM(AS25:AX25)</f>
        <v>1</v>
      </c>
      <c r="AZ25" s="12"/>
      <c r="BA25" s="22">
        <v>0</v>
      </c>
      <c r="BB25" s="22">
        <v>0</v>
      </c>
      <c r="BC25" s="22">
        <v>0</v>
      </c>
      <c r="BD25" s="22">
        <f t="shared" ref="BD25" si="258">(1-SUM(BA25:BB25))</f>
        <v>1</v>
      </c>
      <c r="BE25" s="23">
        <f>+SUM(BA25:BD25)</f>
        <v>1</v>
      </c>
      <c r="BF25" s="12"/>
      <c r="BG25" s="21">
        <f t="shared" si="249"/>
        <v>0</v>
      </c>
      <c r="BH25" s="21">
        <f t="shared" si="250"/>
        <v>0</v>
      </c>
      <c r="BI25" s="21">
        <f t="shared" si="251"/>
        <v>0</v>
      </c>
      <c r="BJ25" s="21">
        <f t="shared" si="252"/>
        <v>0</v>
      </c>
      <c r="BK25" s="21">
        <f t="shared" si="253"/>
        <v>0</v>
      </c>
    </row>
    <row r="26" spans="1:63">
      <c r="A26" s="24" t="s">
        <v>122</v>
      </c>
      <c r="B26" s="18">
        <f>SUM(B27:B28)</f>
        <v>0</v>
      </c>
      <c r="C26" s="18">
        <f>SUM(C27:C28)</f>
        <v>1304.7040066209374</v>
      </c>
      <c r="D26" s="18">
        <f>SUM(D27:D28)</f>
        <v>687.52929549741202</v>
      </c>
      <c r="E26" s="18">
        <f>SUM(E27:E28)</f>
        <v>132.51590137737549</v>
      </c>
      <c r="F26" s="18">
        <f>SUM(F27:F28)</f>
        <v>2124.7492034957249</v>
      </c>
      <c r="G26" s="18"/>
      <c r="H26" s="18">
        <f>SUM(H27:H28)</f>
        <v>0</v>
      </c>
      <c r="I26" s="18">
        <f>SUM(I27:I28)</f>
        <v>10.695219734870134</v>
      </c>
      <c r="J26" s="18">
        <f>SUM(J27:J28)</f>
        <v>5.7225374496362322</v>
      </c>
      <c r="K26" s="18">
        <f>SUM(K27:K28)</f>
        <v>58.722202814015979</v>
      </c>
      <c r="L26" s="18">
        <f>SUM(L27:L28)</f>
        <v>75.139959998522343</v>
      </c>
      <c r="M26" s="12"/>
      <c r="N26" s="18">
        <f>SUM(N27:N28)</f>
        <v>0</v>
      </c>
      <c r="O26" s="18">
        <f>SUM(O27:O28)</f>
        <v>66.670318318722394</v>
      </c>
      <c r="P26" s="18">
        <f>SUM(P27:P28)</f>
        <v>35.672328649233691</v>
      </c>
      <c r="Q26" s="18">
        <f>SUM(Q27:Q28)</f>
        <v>30.98904370347632</v>
      </c>
      <c r="R26" s="18">
        <f>SUM(R27:R28)</f>
        <v>133.3316906714324</v>
      </c>
      <c r="S26" s="12"/>
      <c r="T26" s="18">
        <f>SUM(T27:T28)</f>
        <v>0</v>
      </c>
      <c r="U26" s="18">
        <f>SUM(U27:U28)</f>
        <v>188.75534392479548</v>
      </c>
      <c r="V26" s="18">
        <f>SUM(V27:V28)</f>
        <v>100.99460798424866</v>
      </c>
      <c r="W26" s="18">
        <f>SUM(W27:W28)</f>
        <v>25.027860812554781</v>
      </c>
      <c r="X26" s="18">
        <f>SUM(X27:X28)</f>
        <v>314.77781272159893</v>
      </c>
      <c r="Y26" s="12"/>
      <c r="Z26" s="18">
        <f>SUM(Z27:Z28)</f>
        <v>0</v>
      </c>
      <c r="AA26" s="18">
        <f>SUM(AA27:AA28)</f>
        <v>410.35020165026691</v>
      </c>
      <c r="AB26" s="18">
        <f>SUM(AB27:AB28)</f>
        <v>216.92020282454112</v>
      </c>
      <c r="AC26" s="18">
        <f>SUM(AC27:AC28)</f>
        <v>14.207799400178246</v>
      </c>
      <c r="AD26" s="18">
        <f>SUM(AD27:AD28)</f>
        <v>641.47820387498632</v>
      </c>
      <c r="AE26" s="12"/>
      <c r="AF26" s="18">
        <f>SUM(AF27:AF28)</f>
        <v>0</v>
      </c>
      <c r="AG26" s="18">
        <f>SUM(AG27:AG28)</f>
        <v>628.23292299228251</v>
      </c>
      <c r="AH26" s="18">
        <f>SUM(AH27:AH28)</f>
        <v>328.21961858975232</v>
      </c>
      <c r="AI26" s="18">
        <f>SUM(AI27:AI28)</f>
        <v>3.5689946471501433</v>
      </c>
      <c r="AJ26" s="18">
        <f>SUM(AJ27:AJ28)</f>
        <v>960.0215362291849</v>
      </c>
      <c r="AK26" s="12"/>
      <c r="AL26" s="18">
        <f>SUM(AL27:AL28)</f>
        <v>0</v>
      </c>
      <c r="AM26" s="18">
        <f>SUM(AM27:AM28)</f>
        <v>0</v>
      </c>
      <c r="AN26" s="18">
        <f>SUM(AN27:AN28)</f>
        <v>0</v>
      </c>
      <c r="AO26" s="18">
        <f>SUM(AO27:AO28)</f>
        <v>0</v>
      </c>
      <c r="AP26" s="18">
        <f>SUM(AP27:AP28)</f>
        <v>0</v>
      </c>
      <c r="AQ26" s="12"/>
      <c r="AR26" s="18"/>
      <c r="AS26" s="18"/>
      <c r="AT26" s="18"/>
      <c r="AU26" s="18"/>
      <c r="AV26" s="18"/>
      <c r="AW26" s="18"/>
      <c r="AX26" s="18"/>
      <c r="AY26" s="12"/>
      <c r="AZ26" s="12"/>
      <c r="BA26" s="12"/>
      <c r="BB26" s="12"/>
      <c r="BC26" s="12"/>
      <c r="BD26" s="12"/>
      <c r="BE26" s="12"/>
      <c r="BF26" s="12"/>
      <c r="BG26" s="18">
        <f>SUM(BG27:BG28)</f>
        <v>0</v>
      </c>
      <c r="BH26" s="18">
        <f>SUM(BH27:BH28)</f>
        <v>0</v>
      </c>
      <c r="BI26" s="18">
        <f>SUM(BI27:BI28)</f>
        <v>0</v>
      </c>
      <c r="BJ26" s="18">
        <f>SUM(BJ27:BJ28)</f>
        <v>0</v>
      </c>
      <c r="BK26" s="18">
        <f>SUM(BK27:BK28)</f>
        <v>0</v>
      </c>
    </row>
    <row r="27" spans="1:63">
      <c r="A27" s="26" t="s">
        <v>124</v>
      </c>
      <c r="B27" s="21">
        <f t="shared" ref="B27:E28" si="259">+H27+N27+T27+Z27+AF27+AL27</f>
        <v>0</v>
      </c>
      <c r="C27" s="21">
        <f t="shared" si="259"/>
        <v>1304.7040066209374</v>
      </c>
      <c r="D27" s="21">
        <f t="shared" si="259"/>
        <v>0</v>
      </c>
      <c r="E27" s="21">
        <f t="shared" si="259"/>
        <v>107.51590137737547</v>
      </c>
      <c r="F27" s="21">
        <f>+SUM(B27:E27)</f>
        <v>1412.2199079983129</v>
      </c>
      <c r="G27" s="21"/>
      <c r="H27" s="21">
        <v>0</v>
      </c>
      <c r="I27" s="21">
        <f>+$E68</f>
        <v>10.695219734870134</v>
      </c>
      <c r="J27" s="21">
        <v>0</v>
      </c>
      <c r="K27" s="21">
        <f>+$E70</f>
        <v>33.722202814015979</v>
      </c>
      <c r="L27" s="21">
        <f>SUM(H27:K27)</f>
        <v>44.417422548886115</v>
      </c>
      <c r="M27" s="12"/>
      <c r="N27" s="21">
        <v>0</v>
      </c>
      <c r="O27" s="21">
        <f>+$F68</f>
        <v>66.670318318722394</v>
      </c>
      <c r="P27" s="21">
        <v>0</v>
      </c>
      <c r="Q27" s="21">
        <f>+$F70</f>
        <v>30.98904370347632</v>
      </c>
      <c r="R27" s="21">
        <f>SUM(N27:Q27)</f>
        <v>97.659362022198707</v>
      </c>
      <c r="S27" s="12"/>
      <c r="T27" s="21">
        <v>0</v>
      </c>
      <c r="U27" s="21">
        <f>+$G68</f>
        <v>188.75534392479548</v>
      </c>
      <c r="V27" s="21">
        <v>0</v>
      </c>
      <c r="W27" s="21">
        <f>+$G70</f>
        <v>25.027860812554781</v>
      </c>
      <c r="X27" s="21">
        <f>SUM(T27:W27)</f>
        <v>213.78320473735027</v>
      </c>
      <c r="Y27" s="12"/>
      <c r="Z27" s="21">
        <v>0</v>
      </c>
      <c r="AA27" s="21">
        <f>+$H68</f>
        <v>410.35020165026691</v>
      </c>
      <c r="AB27" s="21">
        <v>0</v>
      </c>
      <c r="AC27" s="21">
        <f>+$H70</f>
        <v>14.207799400178246</v>
      </c>
      <c r="AD27" s="21">
        <f>SUM(Z27:AC27)</f>
        <v>424.55800105044517</v>
      </c>
      <c r="AE27" s="12"/>
      <c r="AF27" s="21">
        <v>0</v>
      </c>
      <c r="AG27" s="21">
        <f>+$I68</f>
        <v>628.23292299228251</v>
      </c>
      <c r="AH27" s="21">
        <v>0</v>
      </c>
      <c r="AI27" s="21">
        <f>+$I70</f>
        <v>3.5689946471501433</v>
      </c>
      <c r="AJ27" s="21">
        <f>SUM(AF27:AI27)</f>
        <v>631.80191763943265</v>
      </c>
      <c r="AK27" s="12"/>
      <c r="AL27" s="21">
        <v>0</v>
      </c>
      <c r="AM27" s="21">
        <f>+$J68</f>
        <v>0</v>
      </c>
      <c r="AN27" s="21">
        <v>0</v>
      </c>
      <c r="AO27" s="21">
        <f>+$J70</f>
        <v>0</v>
      </c>
      <c r="AP27" s="21">
        <f>SUM(AL27:AO27)</f>
        <v>0</v>
      </c>
      <c r="AQ27" s="12"/>
      <c r="AR27" s="21"/>
      <c r="AS27" s="21"/>
      <c r="AT27" s="21"/>
      <c r="AU27" s="21"/>
      <c r="AV27" s="21"/>
      <c r="AW27" s="21"/>
      <c r="AX27" s="21"/>
      <c r="AY27" s="12"/>
      <c r="AZ27" s="12"/>
      <c r="BA27" s="12"/>
      <c r="BB27" s="12"/>
      <c r="BC27" s="12"/>
      <c r="BD27" s="12"/>
      <c r="BE27" s="12"/>
      <c r="BF27" s="12"/>
      <c r="BG27" s="21">
        <f>+H27+N27+T27+Z27+AF27+AL27-B27</f>
        <v>0</v>
      </c>
      <c r="BH27" s="21">
        <f t="shared" ref="BH27:BK27" si="260">+I27+O27+U27+AA27+AG27+AM27-C27</f>
        <v>0</v>
      </c>
      <c r="BI27" s="21">
        <f t="shared" si="260"/>
        <v>0</v>
      </c>
      <c r="BJ27" s="21">
        <f t="shared" si="260"/>
        <v>0</v>
      </c>
      <c r="BK27" s="21">
        <f t="shared" si="260"/>
        <v>0</v>
      </c>
    </row>
    <row r="28" spans="1:63">
      <c r="A28" s="26" t="s">
        <v>125</v>
      </c>
      <c r="B28" s="21">
        <f t="shared" si="259"/>
        <v>0</v>
      </c>
      <c r="C28" s="21">
        <f t="shared" si="259"/>
        <v>0</v>
      </c>
      <c r="D28" s="21">
        <f t="shared" si="259"/>
        <v>687.52929549741202</v>
      </c>
      <c r="E28" s="21">
        <f t="shared" si="259"/>
        <v>25</v>
      </c>
      <c r="F28" s="21">
        <f>+SUM(B28:E28)</f>
        <v>712.52929549741202</v>
      </c>
      <c r="G28" s="21"/>
      <c r="H28" s="21">
        <v>0</v>
      </c>
      <c r="I28" s="21">
        <v>0</v>
      </c>
      <c r="J28" s="21">
        <f>+$E84</f>
        <v>5.7225374496362322</v>
      </c>
      <c r="K28" s="21">
        <f>+$E87</f>
        <v>25</v>
      </c>
      <c r="L28" s="21">
        <f>SUM(H28:K28)</f>
        <v>30.722537449636231</v>
      </c>
      <c r="M28" s="12"/>
      <c r="N28" s="21">
        <v>0</v>
      </c>
      <c r="O28" s="21">
        <v>0</v>
      </c>
      <c r="P28" s="21">
        <f>+$F84</f>
        <v>35.672328649233691</v>
      </c>
      <c r="Q28" s="21">
        <f>+$F87</f>
        <v>0</v>
      </c>
      <c r="R28" s="21">
        <f>SUM(N28:Q28)</f>
        <v>35.672328649233691</v>
      </c>
      <c r="S28" s="12"/>
      <c r="T28" s="21">
        <v>0</v>
      </c>
      <c r="U28" s="21">
        <v>0</v>
      </c>
      <c r="V28" s="21">
        <f>+$G84</f>
        <v>100.99460798424866</v>
      </c>
      <c r="W28" s="21">
        <f>+$G87</f>
        <v>0</v>
      </c>
      <c r="X28" s="21">
        <f>SUM(T28:W28)</f>
        <v>100.99460798424866</v>
      </c>
      <c r="Y28" s="12"/>
      <c r="Z28" s="21">
        <v>0</v>
      </c>
      <c r="AA28" s="21">
        <v>0</v>
      </c>
      <c r="AB28" s="21">
        <f>+$H84</f>
        <v>216.92020282454112</v>
      </c>
      <c r="AC28" s="21">
        <f>+$H87</f>
        <v>0</v>
      </c>
      <c r="AD28" s="21">
        <f>SUM(Z28:AC28)</f>
        <v>216.92020282454112</v>
      </c>
      <c r="AE28" s="12"/>
      <c r="AF28" s="21">
        <v>0</v>
      </c>
      <c r="AG28" s="21">
        <v>0</v>
      </c>
      <c r="AH28" s="21">
        <f>+$I84</f>
        <v>328.21961858975232</v>
      </c>
      <c r="AI28" s="21">
        <f>+$I87</f>
        <v>0</v>
      </c>
      <c r="AJ28" s="21">
        <f>SUM(AF28:AI28)</f>
        <v>328.21961858975232</v>
      </c>
      <c r="AK28" s="12"/>
      <c r="AL28" s="21">
        <v>0</v>
      </c>
      <c r="AM28" s="21">
        <v>0</v>
      </c>
      <c r="AN28" s="21">
        <f>+$J84</f>
        <v>0</v>
      </c>
      <c r="AO28" s="21">
        <f>+$J84+$J87</f>
        <v>0</v>
      </c>
      <c r="AP28" s="21">
        <f>SUM(AL28:AO28)</f>
        <v>0</v>
      </c>
      <c r="AQ28" s="12"/>
      <c r="AR28" s="21"/>
      <c r="AS28" s="21"/>
      <c r="AT28" s="21"/>
      <c r="AU28" s="21"/>
      <c r="AV28" s="21"/>
      <c r="AW28" s="21"/>
      <c r="AX28" s="21"/>
      <c r="AY28" s="12"/>
      <c r="AZ28" s="12"/>
      <c r="BA28" s="12"/>
      <c r="BB28" s="12"/>
      <c r="BC28" s="12"/>
      <c r="BD28" s="12"/>
      <c r="BE28" s="12"/>
      <c r="BF28" s="12"/>
      <c r="BG28" s="21">
        <f>+H28+N28+T28+Z28+AF28+AL28-B28</f>
        <v>0</v>
      </c>
      <c r="BH28" s="21">
        <f t="shared" ref="BH28" si="261">+I28+O28+U28+AA28+AG28+AM28-C28</f>
        <v>0</v>
      </c>
      <c r="BI28" s="21">
        <f t="shared" ref="BI28" si="262">+J28+P28+V28+AB28+AH28+AN28-D28</f>
        <v>0</v>
      </c>
      <c r="BJ28" s="21">
        <f t="shared" ref="BJ28" si="263">+K28+Q28+W28+AC28+AI28+AO28-E28</f>
        <v>0</v>
      </c>
      <c r="BK28" s="21">
        <f t="shared" ref="BK28" si="264">+L28+R28+X28+AD28+AJ28+AP28-F28</f>
        <v>0</v>
      </c>
    </row>
    <row r="29" spans="1:63">
      <c r="A29" s="14" t="s">
        <v>1</v>
      </c>
      <c r="B29" s="18">
        <f>+B5+B11+B23+B26</f>
        <v>0</v>
      </c>
      <c r="C29" s="18">
        <f>+C5+C11+C23+C26</f>
        <v>28700.248278727082</v>
      </c>
      <c r="D29" s="18">
        <f>+D5+D11+D23+D26</f>
        <v>25000.093635479068</v>
      </c>
      <c r="E29" s="18">
        <f>+E5+E11+E23+E26</f>
        <v>3621.6087325373755</v>
      </c>
      <c r="F29" s="18">
        <f>+F5+F11+F23+F26</f>
        <v>57321.950646743528</v>
      </c>
      <c r="G29" s="18"/>
      <c r="H29" s="18">
        <f>+H5+H11+H23+H26</f>
        <v>0</v>
      </c>
      <c r="I29" s="18">
        <f>+I5+I11+I23+I26</f>
        <v>846.25926152159923</v>
      </c>
      <c r="J29" s="18">
        <f>+J5+J11+J23+J26</f>
        <v>768.72753073446722</v>
      </c>
      <c r="K29" s="18">
        <f>+K5+K11+K23+K26</f>
        <v>178.72220281401599</v>
      </c>
      <c r="L29" s="18">
        <f>+L5+L11+L23+L26</f>
        <v>1793.7089950700824</v>
      </c>
      <c r="M29" s="18"/>
      <c r="N29" s="18">
        <f>+N5+N11+N23+N26</f>
        <v>0</v>
      </c>
      <c r="O29" s="18">
        <f>+O5+O11+O23+O26</f>
        <v>3604.1608533954518</v>
      </c>
      <c r="P29" s="18">
        <f>+P5+P11+P23+P26</f>
        <v>3265.9728286440645</v>
      </c>
      <c r="Q29" s="18">
        <f>+Q5+Q11+Q23+Q26</f>
        <v>150.98904370347631</v>
      </c>
      <c r="R29" s="18">
        <f>+R5+R11+R23+R26</f>
        <v>7021.1227257429928</v>
      </c>
      <c r="S29" s="18"/>
      <c r="T29" s="18">
        <f>+T5+T11+T23+T26</f>
        <v>0</v>
      </c>
      <c r="U29" s="18">
        <f>+U5+U11+U23+U26</f>
        <v>6189.1574343225248</v>
      </c>
      <c r="V29" s="18">
        <f>+V5+V11+V23+V26</f>
        <v>5580.3313526580796</v>
      </c>
      <c r="W29" s="18">
        <f>+W5+W11+W23+W26</f>
        <v>145.02786081255479</v>
      </c>
      <c r="X29" s="18">
        <f>+X5+X11+X23+X26</f>
        <v>11914.516647793162</v>
      </c>
      <c r="Y29" s="18"/>
      <c r="Z29" s="18">
        <f>+Z5+Z11+Z23+Z26</f>
        <v>0</v>
      </c>
      <c r="AA29" s="18">
        <f>+AA5+AA11+AA23+AA26</f>
        <v>11722.046371054996</v>
      </c>
      <c r="AB29" s="18">
        <f>+AB5+AB11+AB23+AB26</f>
        <v>10194.329436856371</v>
      </c>
      <c r="AC29" s="18">
        <f>+AC5+AC11+AC23+AC26</f>
        <v>1578.7542149801782</v>
      </c>
      <c r="AD29" s="18">
        <f>+AD5+AD11+AD23+AD26</f>
        <v>23495.130022891546</v>
      </c>
      <c r="AE29" s="18"/>
      <c r="AF29" s="18">
        <f>+AF5+AF11+AF23+AF26</f>
        <v>0</v>
      </c>
      <c r="AG29" s="18">
        <f>+AG5+AG11+AG23+AG26</f>
        <v>6338.6243584325121</v>
      </c>
      <c r="AH29" s="18">
        <f>+AH5+AH11+AH23+AH26</f>
        <v>5190.7324865860828</v>
      </c>
      <c r="AI29" s="18">
        <f>+AI5+AI11+AI23+AI26</f>
        <v>1568.1154102271503</v>
      </c>
      <c r="AJ29" s="18">
        <f>+AJ5+AJ11+AJ23+AJ26</f>
        <v>13097.472255245746</v>
      </c>
      <c r="AK29" s="18"/>
      <c r="AL29" s="18">
        <f>+AL5+AL11+AL23+AL26</f>
        <v>0</v>
      </c>
      <c r="AM29" s="18">
        <f>+AM5+AM11+AM23+AM26</f>
        <v>0</v>
      </c>
      <c r="AN29" s="18">
        <f>+AN5+AN11+AN23+AN26</f>
        <v>0</v>
      </c>
      <c r="AO29" s="18">
        <f>+AO5+AO11+AO23+AO26</f>
        <v>0</v>
      </c>
      <c r="AP29" s="18">
        <f>+AP5+AP11+AP23+AP26</f>
        <v>0</v>
      </c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D29" s="18"/>
      <c r="BE29" s="18"/>
      <c r="BF29" s="18"/>
      <c r="BG29" s="18">
        <f>+BG5+BG11+BG23+BG26</f>
        <v>0</v>
      </c>
      <c r="BH29" s="18">
        <f>+BH5+BH11+BH23+BH26</f>
        <v>0</v>
      </c>
      <c r="BI29" s="18">
        <f>+BI5+BI11+BI23+BI26</f>
        <v>0</v>
      </c>
      <c r="BJ29" s="18">
        <f>+BJ5+BJ11+BJ23+BJ26</f>
        <v>0</v>
      </c>
      <c r="BK29" s="18">
        <f>+BK5+BK11+BK23+BK26</f>
        <v>0</v>
      </c>
    </row>
    <row r="30" spans="1:63">
      <c r="A30" s="27"/>
      <c r="B30" s="62">
        <v>0</v>
      </c>
      <c r="C30" s="62">
        <v>28700</v>
      </c>
      <c r="D30" s="62">
        <v>25000</v>
      </c>
      <c r="E30" s="63"/>
      <c r="F30" s="63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29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</row>
    <row r="31" spans="1:63">
      <c r="A31" s="27"/>
      <c r="B31" s="22"/>
      <c r="C31" s="170">
        <f>+'Resumen Costo - Desembolsos'!D19</f>
        <v>28700</v>
      </c>
      <c r="D31" s="170">
        <f>+'Resumen Costo - Desembolsos'!E19</f>
        <v>25000</v>
      </c>
      <c r="E31" s="12"/>
      <c r="F31" s="65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29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</row>
    <row r="32" spans="1:63">
      <c r="A32" s="27"/>
      <c r="B32" s="28"/>
      <c r="C32" s="59"/>
      <c r="D32" s="58"/>
      <c r="E32" s="12"/>
      <c r="F32" s="29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29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</row>
    <row r="33" spans="1:63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</row>
    <row r="34" spans="1:63">
      <c r="A34" s="31"/>
      <c r="B34" s="30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</row>
    <row r="35" spans="1:63">
      <c r="A35" s="32" t="s">
        <v>44</v>
      </c>
      <c r="B35" s="30"/>
      <c r="C35" s="30"/>
      <c r="D35" s="30"/>
      <c r="E35" s="33" t="str">
        <f>+C4</f>
        <v>BID (blend)</v>
      </c>
      <c r="F35" s="33" t="str">
        <f>+D4</f>
        <v>BID (Kor Fac)</v>
      </c>
      <c r="G35" s="33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</row>
    <row r="36" spans="1:63">
      <c r="A36" s="33" t="s">
        <v>2</v>
      </c>
      <c r="B36" s="30"/>
      <c r="C36" s="30"/>
      <c r="D36" s="30"/>
      <c r="E36" s="31">
        <v>0</v>
      </c>
      <c r="F36" s="31">
        <v>0</v>
      </c>
      <c r="G36" s="31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</row>
    <row r="37" spans="1:63">
      <c r="A37" s="33" t="s">
        <v>3</v>
      </c>
      <c r="B37" s="30"/>
      <c r="C37" s="30"/>
      <c r="D37" s="30"/>
      <c r="E37" s="31">
        <v>6</v>
      </c>
      <c r="F37" s="31">
        <v>10</v>
      </c>
      <c r="G37" s="31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12"/>
      <c r="AW37" s="12"/>
      <c r="AX37" s="12"/>
      <c r="AY37" s="12"/>
      <c r="AZ37" s="12"/>
      <c r="BA37" s="12"/>
      <c r="BB37" s="12"/>
      <c r="BC37" s="12"/>
      <c r="BD37" s="12"/>
      <c r="BE37" s="12"/>
      <c r="BF37" s="12"/>
      <c r="BG37" s="12"/>
      <c r="BH37" s="12"/>
      <c r="BI37" s="12"/>
      <c r="BJ37" s="12"/>
      <c r="BK37" s="12"/>
    </row>
    <row r="38" spans="1:63">
      <c r="A38" s="33" t="s">
        <v>4</v>
      </c>
      <c r="B38" s="30"/>
      <c r="C38" s="30"/>
      <c r="D38" s="30"/>
      <c r="E38" s="31">
        <v>30</v>
      </c>
      <c r="F38" s="31">
        <v>40</v>
      </c>
      <c r="G38" s="31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12"/>
      <c r="AW38" s="12"/>
      <c r="AX38" s="12"/>
      <c r="AY38" s="12"/>
      <c r="AZ38" s="12"/>
      <c r="BA38" s="12"/>
      <c r="BB38" s="12"/>
      <c r="BC38" s="12"/>
      <c r="BD38" s="12"/>
      <c r="BE38" s="12"/>
      <c r="BF38" s="12"/>
      <c r="BG38" s="12"/>
      <c r="BH38" s="12"/>
      <c r="BI38" s="12"/>
      <c r="BJ38" s="12"/>
      <c r="BK38" s="12"/>
    </row>
    <row r="39" spans="1:63">
      <c r="A39" s="33" t="s">
        <v>5</v>
      </c>
      <c r="B39" s="30"/>
      <c r="C39" s="30"/>
      <c r="D39" s="30"/>
      <c r="E39" s="34">
        <v>0.125</v>
      </c>
      <c r="F39" s="34">
        <v>0</v>
      </c>
      <c r="G39" s="34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12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</row>
    <row r="40" spans="1:63">
      <c r="A40" s="33" t="s">
        <v>45</v>
      </c>
      <c r="B40" s="30"/>
      <c r="C40" s="30"/>
      <c r="D40" s="30"/>
      <c r="E40" s="34">
        <v>0</v>
      </c>
      <c r="F40" s="34">
        <v>0.1</v>
      </c>
      <c r="G40" s="34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</row>
    <row r="41" spans="1:63">
      <c r="A41" s="33" t="s">
        <v>41</v>
      </c>
      <c r="B41" s="30"/>
      <c r="C41" s="30"/>
      <c r="D41" s="30"/>
      <c r="E41" s="31">
        <v>0</v>
      </c>
      <c r="F41" s="31">
        <v>0</v>
      </c>
      <c r="G41" s="31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  <c r="BA41" s="12"/>
      <c r="BB41" s="12"/>
      <c r="BC41" s="12"/>
      <c r="BD41" s="12"/>
      <c r="BE41" s="12"/>
      <c r="BF41" s="12"/>
      <c r="BG41" s="12"/>
      <c r="BH41" s="12"/>
      <c r="BI41" s="12"/>
      <c r="BJ41" s="12"/>
      <c r="BK41" s="12"/>
    </row>
    <row r="42" spans="1:63">
      <c r="A42" s="33" t="s">
        <v>42</v>
      </c>
      <c r="B42" s="30"/>
      <c r="C42" s="30"/>
      <c r="D42" s="30"/>
      <c r="E42" s="31">
        <v>0</v>
      </c>
      <c r="F42" s="31">
        <v>0</v>
      </c>
      <c r="G42" s="31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</row>
    <row r="43" spans="1:63">
      <c r="A43" s="33" t="s">
        <v>49</v>
      </c>
      <c r="B43" s="30"/>
      <c r="C43" s="30"/>
      <c r="D43" s="30"/>
      <c r="E43" s="55">
        <v>1</v>
      </c>
      <c r="F43" s="55">
        <v>1</v>
      </c>
      <c r="G43" s="31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12"/>
      <c r="AW43" s="12"/>
      <c r="AX43" s="12"/>
      <c r="AY43" s="12"/>
      <c r="AZ43" s="12"/>
      <c r="BA43" s="12"/>
      <c r="BB43" s="12"/>
      <c r="BC43" s="12"/>
      <c r="BD43" s="12"/>
      <c r="BE43" s="12"/>
      <c r="BF43" s="12"/>
      <c r="BG43" s="12"/>
      <c r="BH43" s="12"/>
      <c r="BI43" s="12"/>
      <c r="BJ43" s="12"/>
      <c r="BK43" s="12"/>
    </row>
    <row r="44" spans="1:63">
      <c r="A44" s="33"/>
      <c r="B44" s="30"/>
      <c r="C44" s="30"/>
      <c r="D44" s="30"/>
      <c r="E44" s="31"/>
      <c r="F44" s="31"/>
      <c r="G44" s="31"/>
      <c r="H44" s="30"/>
      <c r="I44" s="30"/>
      <c r="J44" s="30"/>
      <c r="K44" s="30"/>
      <c r="L44" s="30"/>
      <c r="M44" s="30"/>
      <c r="N44" s="30"/>
      <c r="O44" s="30"/>
      <c r="P44" s="30"/>
      <c r="Q44" s="30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12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</row>
    <row r="45" spans="1:63">
      <c r="A45" s="30"/>
      <c r="B45" s="30"/>
      <c r="C45" s="30"/>
      <c r="D45" s="30"/>
      <c r="E45" s="56">
        <f>+H3</f>
        <v>2017</v>
      </c>
      <c r="F45" s="56">
        <f>+E45+1</f>
        <v>2018</v>
      </c>
      <c r="G45" s="56">
        <f t="shared" ref="G45:H45" si="265">+F45+1</f>
        <v>2019</v>
      </c>
      <c r="H45" s="56">
        <f t="shared" si="265"/>
        <v>2020</v>
      </c>
      <c r="I45" s="56">
        <f t="shared" ref="I45:O45" si="266">+H45+1</f>
        <v>2021</v>
      </c>
      <c r="J45" s="56">
        <f t="shared" si="266"/>
        <v>2022</v>
      </c>
      <c r="K45" s="56">
        <f t="shared" si="266"/>
        <v>2023</v>
      </c>
      <c r="L45" s="56">
        <f t="shared" si="266"/>
        <v>2024</v>
      </c>
      <c r="M45" s="56">
        <f t="shared" si="266"/>
        <v>2025</v>
      </c>
      <c r="N45" s="56">
        <f t="shared" si="266"/>
        <v>2026</v>
      </c>
      <c r="O45" s="56">
        <f t="shared" si="266"/>
        <v>2027</v>
      </c>
      <c r="P45" s="12"/>
      <c r="S45" s="12"/>
      <c r="T45" s="12"/>
      <c r="U45" s="12"/>
      <c r="V45" s="12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</row>
    <row r="46" spans="1:63">
      <c r="A46" s="31" t="str">
        <f>E35</f>
        <v>BID (blend)</v>
      </c>
      <c r="B46" s="30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12"/>
      <c r="S46" s="12"/>
      <c r="T46" s="12"/>
      <c r="U46" s="12"/>
      <c r="V46" s="12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</row>
    <row r="47" spans="1:63">
      <c r="A47" s="33" t="s">
        <v>6</v>
      </c>
      <c r="B47" s="30" t="s">
        <v>111</v>
      </c>
      <c r="C47" s="30" t="s">
        <v>79</v>
      </c>
      <c r="D47" s="30" t="s">
        <v>112</v>
      </c>
      <c r="E47" s="31">
        <f>+(Transmision!$I$5+Transmision!$I$11+Transmision!$I$23)*$E$43</f>
        <v>835.56404178672915</v>
      </c>
      <c r="F47" s="31">
        <f>+(Transmision!$O$5+Transmision!$O$11+Transmision!$O$23)*$E$43</f>
        <v>3537.4905350767294</v>
      </c>
      <c r="G47" s="31">
        <f>+(Transmision!$U$5+Transmision!$U$11+Transmision!$U$23)*$E$43</f>
        <v>6000.4020903977289</v>
      </c>
      <c r="H47" s="31">
        <f>+(Transmision!$AA$5+Transmision!$AA$11+Transmision!$AA$23)*$E$43</f>
        <v>11311.69616940473</v>
      </c>
      <c r="I47" s="31">
        <f>+(Transmision!$AG$5+Transmision!$AG$11+Transmision!$AG$23)*$E$43</f>
        <v>5710.3914354402295</v>
      </c>
      <c r="J47" s="31">
        <f>+(Transmision!$AM$5+Transmision!$AM$11+Transmision!$AM$23)*$E$43</f>
        <v>0</v>
      </c>
      <c r="K47" s="31">
        <v>0</v>
      </c>
      <c r="L47" s="31">
        <v>0</v>
      </c>
      <c r="M47" s="31">
        <v>0</v>
      </c>
      <c r="N47" s="31">
        <v>0</v>
      </c>
      <c r="O47" s="35">
        <f>SUM(E47:N47)</f>
        <v>27395.544272106148</v>
      </c>
      <c r="P47" s="12"/>
      <c r="S47" s="12"/>
      <c r="T47" s="12"/>
      <c r="U47" s="12"/>
      <c r="V47" s="12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</row>
    <row r="48" spans="1:63">
      <c r="A48" s="33" t="s">
        <v>7</v>
      </c>
      <c r="B48" s="29">
        <v>4.1000000000000002E-2</v>
      </c>
      <c r="C48" s="29">
        <v>2.5000000000000001E-3</v>
      </c>
      <c r="D48" s="29">
        <f>+B48*0.6+C48*0.4</f>
        <v>2.5600000000000001E-2</v>
      </c>
      <c r="E48" s="34">
        <f>+D48*100</f>
        <v>2.56</v>
      </c>
      <c r="F48" s="34">
        <f>+E48</f>
        <v>2.56</v>
      </c>
      <c r="G48" s="34">
        <f t="shared" ref="G48:H48" si="267">+F48</f>
        <v>2.56</v>
      </c>
      <c r="H48" s="34">
        <f t="shared" si="267"/>
        <v>2.56</v>
      </c>
      <c r="I48" s="34">
        <f t="shared" ref="I48:N48" si="268">+H48</f>
        <v>2.56</v>
      </c>
      <c r="J48" s="34">
        <f t="shared" si="268"/>
        <v>2.56</v>
      </c>
      <c r="K48" s="34">
        <f t="shared" si="268"/>
        <v>2.56</v>
      </c>
      <c r="L48" s="34">
        <f t="shared" si="268"/>
        <v>2.56</v>
      </c>
      <c r="M48" s="34">
        <f t="shared" si="268"/>
        <v>2.56</v>
      </c>
      <c r="N48" s="34">
        <f t="shared" si="268"/>
        <v>2.56</v>
      </c>
      <c r="O48" s="36"/>
      <c r="P48" s="12"/>
      <c r="S48" s="12"/>
      <c r="T48" s="12"/>
      <c r="U48" s="12"/>
      <c r="V48" s="12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2"/>
      <c r="BA48" s="12"/>
      <c r="BB48" s="12"/>
      <c r="BC48" s="12"/>
      <c r="BD48" s="12"/>
      <c r="BE48" s="12"/>
      <c r="BF48" s="12"/>
      <c r="BG48" s="12"/>
      <c r="BH48" s="12"/>
      <c r="BI48" s="12"/>
      <c r="BJ48" s="12"/>
      <c r="BK48" s="12"/>
    </row>
    <row r="49" spans="1:63">
      <c r="A49" s="31" t="str">
        <f>+F35</f>
        <v>BID (Kor Fac)</v>
      </c>
      <c r="B49" s="30"/>
      <c r="C49" s="30"/>
      <c r="D49" s="30"/>
      <c r="E49" s="30"/>
      <c r="F49" s="30"/>
      <c r="G49" s="30"/>
      <c r="H49" s="30"/>
      <c r="I49" s="30"/>
      <c r="J49" s="30"/>
      <c r="K49" s="30"/>
      <c r="L49" s="30"/>
      <c r="M49" s="30"/>
      <c r="N49" s="30"/>
      <c r="O49" s="33" t="s">
        <v>8</v>
      </c>
      <c r="P49" s="12"/>
      <c r="S49" s="12"/>
      <c r="T49" s="12"/>
      <c r="U49" s="12"/>
      <c r="V49" s="12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</row>
    <row r="50" spans="1:63">
      <c r="A50" s="33" t="s">
        <v>6</v>
      </c>
      <c r="B50" s="30"/>
      <c r="C50" s="30"/>
      <c r="D50" s="30"/>
      <c r="E50" s="31">
        <f>+(Transmision!$J$5+Transmision!$J$11+Transmision!$J$23)*$F$43</f>
        <v>763.00499328483102</v>
      </c>
      <c r="F50" s="31">
        <f>+(Transmision!$P$5+Transmision!$P$11+Transmision!$P$23)*$F$43</f>
        <v>3230.3004999948307</v>
      </c>
      <c r="G50" s="31">
        <f>+(Transmision!$V$5+Transmision!$V$11+Transmision!$V$23)*$F$43</f>
        <v>5479.3367446738312</v>
      </c>
      <c r="H50" s="31">
        <f>+(Transmision!$AB$5+Transmision!$AB$11+Transmision!$AB$23)*$F$43</f>
        <v>9977.4092340318293</v>
      </c>
      <c r="I50" s="31">
        <f>+(Transmision!$AH$5+Transmision!$AH$11+Transmision!$AH$23)*$F$43</f>
        <v>4862.5128679963309</v>
      </c>
      <c r="J50" s="31">
        <f>+(Transmision!$AN$5+Transmision!$AN$11+Transmision!$AN$23)*$F$43</f>
        <v>0</v>
      </c>
      <c r="K50" s="31">
        <v>0</v>
      </c>
      <c r="L50" s="31">
        <v>0</v>
      </c>
      <c r="M50" s="31">
        <v>0</v>
      </c>
      <c r="N50" s="31">
        <v>0</v>
      </c>
      <c r="O50" s="35">
        <f>SUM(E50:N50)</f>
        <v>24312.564339981654</v>
      </c>
      <c r="P50" s="12"/>
      <c r="S50" s="12"/>
      <c r="T50" s="12"/>
      <c r="U50" s="12"/>
      <c r="V50" s="12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12"/>
      <c r="AW50" s="12"/>
      <c r="AX50" s="12"/>
      <c r="AY50" s="12"/>
      <c r="AZ50" s="12"/>
      <c r="BA50" s="12"/>
      <c r="BB50" s="12"/>
      <c r="BC50" s="12"/>
      <c r="BD50" s="12"/>
      <c r="BE50" s="12"/>
      <c r="BF50" s="12"/>
      <c r="BG50" s="12"/>
      <c r="BH50" s="12"/>
      <c r="BI50" s="12"/>
      <c r="BJ50" s="12"/>
      <c r="BK50" s="12"/>
    </row>
    <row r="51" spans="1:63">
      <c r="A51" s="33" t="s">
        <v>7</v>
      </c>
      <c r="B51" s="30"/>
      <c r="C51" s="30"/>
      <c r="D51" s="30"/>
      <c r="E51" s="34">
        <v>1.5</v>
      </c>
      <c r="F51" s="34">
        <f>+E51</f>
        <v>1.5</v>
      </c>
      <c r="G51" s="34">
        <f t="shared" ref="G51:N51" si="269">+F51</f>
        <v>1.5</v>
      </c>
      <c r="H51" s="34">
        <f t="shared" si="269"/>
        <v>1.5</v>
      </c>
      <c r="I51" s="34">
        <f t="shared" si="269"/>
        <v>1.5</v>
      </c>
      <c r="J51" s="34">
        <f t="shared" si="269"/>
        <v>1.5</v>
      </c>
      <c r="K51" s="34">
        <f t="shared" si="269"/>
        <v>1.5</v>
      </c>
      <c r="L51" s="34">
        <f t="shared" si="269"/>
        <v>1.5</v>
      </c>
      <c r="M51" s="34">
        <f t="shared" si="269"/>
        <v>1.5</v>
      </c>
      <c r="N51" s="34">
        <f t="shared" si="269"/>
        <v>1.5</v>
      </c>
      <c r="O51" s="53" t="s">
        <v>8</v>
      </c>
      <c r="P51" s="12"/>
      <c r="S51" s="12"/>
      <c r="T51" s="12"/>
      <c r="U51" s="12"/>
      <c r="V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2"/>
      <c r="BA51" s="12"/>
      <c r="BB51" s="12"/>
      <c r="BC51" s="12"/>
      <c r="BD51" s="12"/>
      <c r="BE51" s="12"/>
      <c r="BF51" s="12"/>
      <c r="BG51" s="12"/>
      <c r="BH51" s="12"/>
      <c r="BI51" s="12"/>
      <c r="BJ51" s="12"/>
      <c r="BK51" s="12"/>
    </row>
    <row r="52" spans="1:63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12"/>
      <c r="S52" s="12"/>
      <c r="T52" s="12"/>
      <c r="U52" s="12"/>
      <c r="V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12"/>
      <c r="AW52" s="12"/>
      <c r="AX52" s="12"/>
      <c r="AY52" s="12"/>
      <c r="AZ52" s="12"/>
      <c r="BA52" s="12"/>
      <c r="BB52" s="12"/>
      <c r="BC52" s="12"/>
      <c r="BD52" s="12"/>
      <c r="BE52" s="12"/>
      <c r="BF52" s="12"/>
      <c r="BG52" s="12"/>
      <c r="BH52" s="12"/>
      <c r="BI52" s="12"/>
      <c r="BJ52" s="12"/>
      <c r="BK52" s="12"/>
    </row>
    <row r="53" spans="1:63">
      <c r="A53" s="30"/>
      <c r="B53" s="30"/>
      <c r="C53" s="30"/>
      <c r="D53" s="30"/>
      <c r="E53" s="33" t="s">
        <v>46</v>
      </c>
      <c r="F53" s="30"/>
      <c r="G53" s="30"/>
      <c r="H53" s="30"/>
      <c r="I53" s="33" t="s">
        <v>8</v>
      </c>
      <c r="J53" s="33" t="s">
        <v>8</v>
      </c>
      <c r="K53" s="33" t="s">
        <v>8</v>
      </c>
      <c r="L53" s="33" t="s">
        <v>8</v>
      </c>
      <c r="M53" s="33" t="s">
        <v>8</v>
      </c>
      <c r="N53" s="33" t="s">
        <v>8</v>
      </c>
      <c r="O53" s="33" t="s">
        <v>8</v>
      </c>
      <c r="P53" s="12"/>
      <c r="S53" s="12"/>
      <c r="T53" s="12"/>
      <c r="U53" s="12"/>
      <c r="V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12"/>
      <c r="AW53" s="12"/>
      <c r="AX53" s="12"/>
      <c r="AY53" s="12"/>
      <c r="AZ53" s="12"/>
      <c r="BA53" s="12"/>
      <c r="BB53" s="12"/>
      <c r="BC53" s="12"/>
      <c r="BD53" s="12"/>
      <c r="BE53" s="12"/>
      <c r="BF53" s="12"/>
      <c r="BG53" s="12"/>
      <c r="BH53" s="12"/>
      <c r="BI53" s="12"/>
      <c r="BJ53" s="12"/>
      <c r="BK53" s="12"/>
    </row>
    <row r="54" spans="1:63">
      <c r="A54" s="32" t="s">
        <v>9</v>
      </c>
      <c r="B54" s="30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0"/>
      <c r="P54" s="12"/>
      <c r="S54" s="12"/>
      <c r="T54" s="12"/>
      <c r="U54" s="12"/>
      <c r="V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  <c r="BB54" s="12"/>
      <c r="BC54" s="12"/>
      <c r="BD54" s="12"/>
      <c r="BE54" s="12"/>
      <c r="BF54" s="12"/>
      <c r="BG54" s="12"/>
      <c r="BH54" s="12"/>
      <c r="BI54" s="12"/>
      <c r="BJ54" s="12"/>
      <c r="BK54" s="12"/>
    </row>
    <row r="55" spans="1:63">
      <c r="A55" s="31" t="str">
        <f>A46</f>
        <v>BID (blend)</v>
      </c>
      <c r="B55" s="30"/>
      <c r="C55" s="30"/>
      <c r="D55" s="30"/>
      <c r="E55" s="37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12"/>
      <c r="S55" s="12"/>
      <c r="T55" s="12"/>
      <c r="U55" s="12"/>
      <c r="V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</row>
    <row r="56" spans="1:63">
      <c r="A56" s="33" t="s">
        <v>10</v>
      </c>
      <c r="B56" s="30"/>
      <c r="C56" s="30"/>
      <c r="D56" s="30"/>
      <c r="E56" s="38">
        <f>IF(E47&gt;0,1,0)</f>
        <v>1</v>
      </c>
      <c r="F56" s="38">
        <f>IF(F47&gt;0,1+E56,IF(AND(E56&gt;0,SUM(F47:$N$47)&gt;0),E56+1,0))</f>
        <v>2</v>
      </c>
      <c r="G56" s="38">
        <f>IF(G47&gt;0,1+F56,IF(AND(F56&gt;0,SUM(G47:$N$47)&gt;0),F56+1,0))</f>
        <v>3</v>
      </c>
      <c r="H56" s="38">
        <f>IF(H47&gt;0,1+G56,IF(AND(G56&gt;0,SUM(H47:$N$47)&gt;0),G56+1,0))</f>
        <v>4</v>
      </c>
      <c r="I56" s="38">
        <f>IF(I47&gt;0,1+H56,IF(AND(H56&gt;0,SUM(I47:$N$47)&gt;0),H56+1,0))</f>
        <v>5</v>
      </c>
      <c r="J56" s="38">
        <f>IF(J47&gt;0,1+I56,IF(AND(I56&gt;0,SUM(J47:$N$47)&gt;0),I56+1,0))</f>
        <v>0</v>
      </c>
      <c r="K56" s="38">
        <f>IF(K47&gt;0,1+J56,IF(AND(J56&gt;0,SUM(K47:$N$47)&gt;0),J56+1,0))</f>
        <v>0</v>
      </c>
      <c r="L56" s="38">
        <f>IF(L47&gt;0,1+K56,IF(AND(K56&gt;0,SUM(L47:$N$47)&gt;0),K56+1,0))</f>
        <v>0</v>
      </c>
      <c r="M56" s="38">
        <f>IF(M47&gt;0,1+L56,IF(AND(L56&gt;0,SUM(M47:$N$47)&gt;0),L56+1,0))</f>
        <v>0</v>
      </c>
      <c r="N56" s="38">
        <f>IF(N47&gt;0,1+M56,IF(AND(M56&gt;0,SUM($N$47)&gt;0),M56+1,0))</f>
        <v>0</v>
      </c>
      <c r="O56" s="39"/>
      <c r="P56" s="12"/>
      <c r="S56" s="12"/>
      <c r="T56" s="12"/>
      <c r="U56" s="12"/>
      <c r="V56" s="12"/>
      <c r="Y56" s="12"/>
      <c r="Z56" s="12"/>
      <c r="AA56" s="12"/>
      <c r="AB56" s="12"/>
      <c r="AC56" s="12"/>
      <c r="AD56" s="12"/>
      <c r="AE56" s="12"/>
      <c r="AF56" s="12"/>
      <c r="AG56" s="12"/>
      <c r="AH56" s="12"/>
      <c r="AI56" s="12"/>
      <c r="AJ56" s="12"/>
      <c r="AK56" s="12"/>
      <c r="AL56" s="12"/>
      <c r="AM56" s="12"/>
      <c r="AN56" s="12"/>
      <c r="AO56" s="12"/>
      <c r="AP56" s="12"/>
      <c r="AQ56" s="12"/>
      <c r="AR56" s="12"/>
      <c r="AS56" s="12"/>
      <c r="AT56" s="12"/>
      <c r="AU56" s="12"/>
      <c r="AV56" s="12"/>
      <c r="AW56" s="12"/>
      <c r="AX56" s="12"/>
      <c r="AY56" s="12"/>
      <c r="AZ56" s="12"/>
      <c r="BA56" s="12"/>
      <c r="BB56" s="12"/>
      <c r="BC56" s="12"/>
      <c r="BD56" s="12"/>
      <c r="BE56" s="12"/>
      <c r="BF56" s="12"/>
      <c r="BG56" s="12"/>
      <c r="BH56" s="12"/>
      <c r="BI56" s="12"/>
      <c r="BJ56" s="12"/>
      <c r="BK56" s="12"/>
    </row>
    <row r="57" spans="1:63">
      <c r="A57" s="33" t="s">
        <v>11</v>
      </c>
      <c r="B57" s="30"/>
      <c r="C57" s="30"/>
      <c r="D57" s="30"/>
      <c r="E57" s="38">
        <f>IF(E56&gt;0,E56,IF($E$36&gt;0,1,0))</f>
        <v>1</v>
      </c>
      <c r="F57" s="38">
        <f t="shared" ref="F57:H57" si="270">IF(E57&gt;0,1+E57,IF(F56&gt;0,F56,0))</f>
        <v>2</v>
      </c>
      <c r="G57" s="38">
        <f t="shared" si="270"/>
        <v>3</v>
      </c>
      <c r="H57" s="38">
        <f t="shared" si="270"/>
        <v>4</v>
      </c>
      <c r="I57" s="38">
        <f t="shared" ref="I57:N57" si="271">IF(H57&gt;0,1+H57,IF(I56&gt;0,I56,0))</f>
        <v>5</v>
      </c>
      <c r="J57" s="38">
        <f t="shared" si="271"/>
        <v>6</v>
      </c>
      <c r="K57" s="38">
        <f t="shared" si="271"/>
        <v>7</v>
      </c>
      <c r="L57" s="38">
        <f t="shared" si="271"/>
        <v>8</v>
      </c>
      <c r="M57" s="38">
        <f t="shared" si="271"/>
        <v>9</v>
      </c>
      <c r="N57" s="38">
        <f t="shared" si="271"/>
        <v>10</v>
      </c>
      <c r="O57" s="39"/>
      <c r="P57" s="12"/>
      <c r="S57" s="12"/>
      <c r="T57" s="12"/>
      <c r="U57" s="12"/>
      <c r="V57" s="12"/>
      <c r="Y57" s="12"/>
      <c r="Z57" s="12"/>
      <c r="AA57" s="12"/>
      <c r="AB57" s="12"/>
      <c r="AC57" s="12"/>
      <c r="AD57" s="12"/>
      <c r="AE57" s="12"/>
      <c r="AF57" s="12"/>
      <c r="AG57" s="12"/>
      <c r="AH57" s="12"/>
      <c r="AI57" s="12"/>
      <c r="AJ57" s="12"/>
      <c r="AK57" s="12"/>
      <c r="AL57" s="12"/>
      <c r="AM57" s="12"/>
      <c r="AN57" s="12"/>
      <c r="AO57" s="12"/>
      <c r="AP57" s="12"/>
      <c r="AQ57" s="12"/>
      <c r="AR57" s="12"/>
      <c r="AS57" s="12"/>
      <c r="AT57" s="12"/>
      <c r="AU57" s="12"/>
      <c r="AV57" s="12"/>
      <c r="AW57" s="12"/>
      <c r="AX57" s="12"/>
      <c r="AY57" s="12"/>
      <c r="AZ57" s="12"/>
      <c r="BA57" s="12"/>
      <c r="BB57" s="12"/>
      <c r="BC57" s="12"/>
      <c r="BD57" s="12"/>
      <c r="BE57" s="12"/>
      <c r="BF57" s="12"/>
      <c r="BG57" s="12"/>
      <c r="BH57" s="12"/>
      <c r="BI57" s="12"/>
      <c r="BJ57" s="12"/>
      <c r="BK57" s="12"/>
    </row>
    <row r="58" spans="1:63">
      <c r="A58" s="33" t="s">
        <v>12</v>
      </c>
      <c r="B58" s="30"/>
      <c r="C58" s="30"/>
      <c r="D58" s="30"/>
      <c r="E58" s="38">
        <f>$E$36</f>
        <v>0</v>
      </c>
      <c r="F58" s="38">
        <f t="shared" ref="F58:H58" si="272">E67</f>
        <v>835.56404178672915</v>
      </c>
      <c r="G58" s="38">
        <f t="shared" si="272"/>
        <v>4373.0545768634584</v>
      </c>
      <c r="H58" s="38">
        <f t="shared" si="272"/>
        <v>10373.456667261187</v>
      </c>
      <c r="I58" s="38">
        <f t="shared" ref="I58:N58" si="273">H67</f>
        <v>21685.152836665919</v>
      </c>
      <c r="J58" s="38">
        <f t="shared" si="273"/>
        <v>27395.544272106148</v>
      </c>
      <c r="K58" s="38">
        <f t="shared" si="273"/>
        <v>27395.544272106148</v>
      </c>
      <c r="L58" s="38">
        <f t="shared" si="273"/>
        <v>26254.063260768395</v>
      </c>
      <c r="M58" s="38">
        <f t="shared" si="273"/>
        <v>25112.582249430641</v>
      </c>
      <c r="N58" s="38">
        <f t="shared" si="273"/>
        <v>23971.101238092888</v>
      </c>
      <c r="O58" s="39"/>
      <c r="P58" s="12"/>
      <c r="S58" s="12"/>
      <c r="T58" s="12"/>
      <c r="U58" s="12"/>
      <c r="V58" s="12"/>
      <c r="Y58" s="12"/>
      <c r="Z58" s="12"/>
      <c r="AA58" s="12"/>
      <c r="AB58" s="12"/>
      <c r="AC58" s="12"/>
      <c r="AD58" s="12"/>
      <c r="AE58" s="12"/>
      <c r="AF58" s="12"/>
      <c r="AG58" s="12"/>
      <c r="AH58" s="12"/>
      <c r="AI58" s="12"/>
      <c r="AJ58" s="12"/>
      <c r="AK58" s="12"/>
      <c r="AL58" s="12"/>
      <c r="AM58" s="12"/>
      <c r="AN58" s="12"/>
      <c r="AO58" s="12"/>
      <c r="AP58" s="12"/>
      <c r="AQ58" s="12"/>
      <c r="AR58" s="12"/>
      <c r="AS58" s="12"/>
      <c r="AT58" s="12"/>
      <c r="AU58" s="12"/>
      <c r="AV58" s="12"/>
      <c r="AW58" s="12"/>
      <c r="AX58" s="12"/>
      <c r="AY58" s="12"/>
      <c r="AZ58" s="12"/>
      <c r="BA58" s="12"/>
      <c r="BB58" s="12"/>
      <c r="BC58" s="12"/>
      <c r="BD58" s="12"/>
      <c r="BE58" s="12"/>
      <c r="BF58" s="12"/>
      <c r="BG58" s="12"/>
      <c r="BH58" s="12"/>
      <c r="BI58" s="12"/>
      <c r="BJ58" s="12"/>
      <c r="BK58" s="12"/>
    </row>
    <row r="59" spans="1:63">
      <c r="A59" s="33" t="s">
        <v>13</v>
      </c>
      <c r="B59" s="30"/>
      <c r="C59" s="30"/>
      <c r="D59" s="30"/>
      <c r="E59" s="38">
        <f>$E$36+(SUM($E47:$N47)+SUM($E62:$N62))/IF($E$41=1,0.99,1)</f>
        <v>27395.544272106148</v>
      </c>
      <c r="F59" s="40" t="s">
        <v>8</v>
      </c>
      <c r="G59" s="40" t="s">
        <v>8</v>
      </c>
      <c r="H59" s="40" t="s">
        <v>8</v>
      </c>
      <c r="I59" s="40" t="s">
        <v>8</v>
      </c>
      <c r="J59" s="40" t="s">
        <v>8</v>
      </c>
      <c r="K59" s="40" t="s">
        <v>8</v>
      </c>
      <c r="L59" s="40" t="s">
        <v>8</v>
      </c>
      <c r="M59" s="40" t="s">
        <v>8</v>
      </c>
      <c r="N59" s="40" t="s">
        <v>8</v>
      </c>
      <c r="O59" s="39"/>
      <c r="P59" s="12"/>
      <c r="S59" s="12"/>
      <c r="T59" s="12"/>
      <c r="U59" s="12"/>
      <c r="V59" s="12"/>
      <c r="Y59" s="12"/>
      <c r="Z59" s="12"/>
      <c r="AA59" s="12"/>
      <c r="AB59" s="12"/>
      <c r="AC59" s="12"/>
      <c r="AD59" s="12"/>
      <c r="AE59" s="12"/>
      <c r="AF59" s="12"/>
      <c r="AG59" s="12"/>
      <c r="AH59" s="12"/>
      <c r="AI59" s="12"/>
      <c r="AJ59" s="12"/>
      <c r="AK59" s="12"/>
      <c r="AL59" s="12"/>
      <c r="AM59" s="12"/>
      <c r="AN59" s="12"/>
      <c r="AO59" s="12"/>
      <c r="AP59" s="12"/>
      <c r="AQ59" s="12"/>
      <c r="AR59" s="12"/>
      <c r="AS59" s="12"/>
      <c r="AT59" s="12"/>
      <c r="AU59" s="12"/>
      <c r="AV59" s="12"/>
      <c r="AW59" s="12"/>
      <c r="AX59" s="12"/>
      <c r="AY59" s="12"/>
      <c r="AZ59" s="12"/>
      <c r="BA59" s="12"/>
      <c r="BB59" s="12"/>
      <c r="BC59" s="12"/>
      <c r="BD59" s="12"/>
      <c r="BE59" s="12"/>
      <c r="BF59" s="12"/>
      <c r="BG59" s="12"/>
      <c r="BH59" s="12"/>
      <c r="BI59" s="12"/>
      <c r="BJ59" s="12"/>
      <c r="BK59" s="12"/>
    </row>
    <row r="60" spans="1:63">
      <c r="A60" s="33" t="s">
        <v>14</v>
      </c>
      <c r="B60" s="30"/>
      <c r="C60" s="30"/>
      <c r="D60" s="30"/>
      <c r="E60" s="38">
        <f t="shared" ref="E60:H60" si="274">(E47)</f>
        <v>835.56404178672915</v>
      </c>
      <c r="F60" s="38">
        <f t="shared" si="274"/>
        <v>3537.4905350767294</v>
      </c>
      <c r="G60" s="38">
        <f t="shared" si="274"/>
        <v>6000.4020903977289</v>
      </c>
      <c r="H60" s="38">
        <f t="shared" si="274"/>
        <v>11311.69616940473</v>
      </c>
      <c r="I60" s="38">
        <f t="shared" ref="I60:N60" si="275">(I47)</f>
        <v>5710.3914354402295</v>
      </c>
      <c r="J60" s="38">
        <f t="shared" si="275"/>
        <v>0</v>
      </c>
      <c r="K60" s="38">
        <f t="shared" si="275"/>
        <v>0</v>
      </c>
      <c r="L60" s="38">
        <f t="shared" si="275"/>
        <v>0</v>
      </c>
      <c r="M60" s="38">
        <f t="shared" si="275"/>
        <v>0</v>
      </c>
      <c r="N60" s="38">
        <f t="shared" si="275"/>
        <v>0</v>
      </c>
      <c r="O60" s="38">
        <f>SUM(E60:N60)</f>
        <v>27395.544272106148</v>
      </c>
      <c r="P60" s="12"/>
      <c r="S60" s="12"/>
      <c r="T60" s="12"/>
      <c r="U60" s="12"/>
      <c r="V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2"/>
      <c r="BA60" s="12"/>
      <c r="BB60" s="12"/>
      <c r="BC60" s="12"/>
      <c r="BD60" s="12"/>
      <c r="BE60" s="12"/>
      <c r="BF60" s="12"/>
      <c r="BG60" s="12"/>
      <c r="BH60" s="12"/>
      <c r="BI60" s="12"/>
      <c r="BJ60" s="12"/>
      <c r="BK60" s="12"/>
    </row>
    <row r="61" spans="1:63">
      <c r="A61" s="33" t="s">
        <v>15</v>
      </c>
      <c r="B61" s="30"/>
      <c r="C61" s="30"/>
      <c r="D61" s="30"/>
      <c r="E61" s="38">
        <f t="shared" ref="E61:N61" si="276">IF($E$41=1,IF(E56&gt;0,+($E59-$E$36)*0.01/MAX($E56:$N56),0),0)</f>
        <v>0</v>
      </c>
      <c r="F61" s="38">
        <f t="shared" si="276"/>
        <v>0</v>
      </c>
      <c r="G61" s="38">
        <f t="shared" si="276"/>
        <v>0</v>
      </c>
      <c r="H61" s="38">
        <f t="shared" si="276"/>
        <v>0</v>
      </c>
      <c r="I61" s="38">
        <f t="shared" si="276"/>
        <v>0</v>
      </c>
      <c r="J61" s="38">
        <f t="shared" si="276"/>
        <v>0</v>
      </c>
      <c r="K61" s="38">
        <f t="shared" si="276"/>
        <v>0</v>
      </c>
      <c r="L61" s="38">
        <f t="shared" si="276"/>
        <v>0</v>
      </c>
      <c r="M61" s="38">
        <f t="shared" si="276"/>
        <v>0</v>
      </c>
      <c r="N61" s="38">
        <f t="shared" si="276"/>
        <v>0</v>
      </c>
      <c r="O61" s="38">
        <f>SUM(E61:N61)</f>
        <v>0</v>
      </c>
      <c r="P61" s="12"/>
      <c r="S61" s="12"/>
      <c r="T61" s="12"/>
      <c r="U61" s="12"/>
      <c r="V61" s="12"/>
      <c r="Y61" s="12"/>
      <c r="Z61" s="12"/>
      <c r="AA61" s="12"/>
      <c r="AB61" s="12"/>
      <c r="AC61" s="12"/>
      <c r="AD61" s="12"/>
      <c r="AE61" s="12"/>
      <c r="AF61" s="12"/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2"/>
      <c r="BA61" s="12"/>
      <c r="BB61" s="12"/>
      <c r="BC61" s="12"/>
      <c r="BD61" s="12"/>
      <c r="BE61" s="12"/>
      <c r="BF61" s="12"/>
      <c r="BG61" s="12"/>
      <c r="BH61" s="12"/>
      <c r="BI61" s="12"/>
      <c r="BJ61" s="12"/>
      <c r="BK61" s="12"/>
    </row>
    <row r="62" spans="1:63">
      <c r="A62" s="33" t="s">
        <v>16</v>
      </c>
      <c r="B62" s="30"/>
      <c r="C62" s="30"/>
      <c r="D62" s="30"/>
      <c r="E62" s="38">
        <f t="shared" ref="E62:H62" si="277">IF(AND($E$42&gt;0,E56&gt;0),((E47+E61)*(((1+E48/400)^2)-1)+E58*(((1+E48/200)^2)-1))*$E$42/100,0)</f>
        <v>0</v>
      </c>
      <c r="F62" s="38">
        <f t="shared" si="277"/>
        <v>0</v>
      </c>
      <c r="G62" s="38">
        <f t="shared" si="277"/>
        <v>0</v>
      </c>
      <c r="H62" s="38">
        <f t="shared" si="277"/>
        <v>0</v>
      </c>
      <c r="I62" s="38">
        <f t="shared" ref="I62:N62" si="278">IF(AND($E$42&gt;0,I56&gt;0),((I47+I61)*(((1+I48/400)^2)-1)+I58*(((1+I48/200)^2)-1))*$E$42/100,0)</f>
        <v>0</v>
      </c>
      <c r="J62" s="38">
        <f t="shared" si="278"/>
        <v>0</v>
      </c>
      <c r="K62" s="38">
        <f t="shared" si="278"/>
        <v>0</v>
      </c>
      <c r="L62" s="38">
        <f t="shared" si="278"/>
        <v>0</v>
      </c>
      <c r="M62" s="38">
        <f t="shared" si="278"/>
        <v>0</v>
      </c>
      <c r="N62" s="38">
        <f t="shared" si="278"/>
        <v>0</v>
      </c>
      <c r="O62" s="38">
        <f>SUM(E62:N62)</f>
        <v>0</v>
      </c>
      <c r="P62" s="12"/>
      <c r="S62" s="12"/>
      <c r="T62" s="12"/>
      <c r="U62" s="12"/>
      <c r="V62" s="12"/>
      <c r="Y62" s="12"/>
      <c r="Z62" s="12"/>
      <c r="AA62" s="12"/>
      <c r="AB62" s="12"/>
      <c r="AC62" s="12"/>
      <c r="AD62" s="12"/>
      <c r="AE62" s="12"/>
      <c r="AF62" s="12"/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2"/>
      <c r="BA62" s="12"/>
      <c r="BB62" s="12"/>
      <c r="BC62" s="12"/>
      <c r="BD62" s="12"/>
      <c r="BE62" s="12"/>
      <c r="BF62" s="12"/>
      <c r="BG62" s="12"/>
      <c r="BH62" s="12"/>
      <c r="BI62" s="12"/>
      <c r="BJ62" s="12"/>
      <c r="BK62" s="12"/>
    </row>
    <row r="63" spans="1:63">
      <c r="A63" s="33" t="s">
        <v>17</v>
      </c>
      <c r="B63" s="30"/>
      <c r="C63" s="30"/>
      <c r="D63" s="30"/>
      <c r="E63" s="38">
        <f t="shared" ref="E63:H63" si="279">SUM(E60:E62)</f>
        <v>835.56404178672915</v>
      </c>
      <c r="F63" s="38">
        <f t="shared" si="279"/>
        <v>3537.4905350767294</v>
      </c>
      <c r="G63" s="38">
        <f t="shared" si="279"/>
        <v>6000.4020903977289</v>
      </c>
      <c r="H63" s="38">
        <f t="shared" si="279"/>
        <v>11311.69616940473</v>
      </c>
      <c r="I63" s="38">
        <f t="shared" ref="I63:N63" si="280">SUM(I60:I62)</f>
        <v>5710.3914354402295</v>
      </c>
      <c r="J63" s="38">
        <f t="shared" si="280"/>
        <v>0</v>
      </c>
      <c r="K63" s="38">
        <f t="shared" si="280"/>
        <v>0</v>
      </c>
      <c r="L63" s="38">
        <f t="shared" si="280"/>
        <v>0</v>
      </c>
      <c r="M63" s="38">
        <f t="shared" si="280"/>
        <v>0</v>
      </c>
      <c r="N63" s="38">
        <f t="shared" si="280"/>
        <v>0</v>
      </c>
      <c r="O63" s="38">
        <f>SUM(E63:N63)</f>
        <v>27395.544272106148</v>
      </c>
      <c r="P63" s="12"/>
      <c r="S63" s="12"/>
      <c r="T63" s="12"/>
      <c r="U63" s="12"/>
      <c r="V63" s="12"/>
      <c r="Y63" s="12"/>
      <c r="Z63" s="12"/>
      <c r="AA63" s="12"/>
      <c r="AB63" s="12"/>
      <c r="AC63" s="12"/>
      <c r="AD63" s="12"/>
      <c r="AE63" s="12"/>
      <c r="AF63" s="12"/>
      <c r="AG63" s="12"/>
      <c r="AH63" s="12"/>
      <c r="AI63" s="12"/>
      <c r="AJ63" s="12"/>
      <c r="AK63" s="12"/>
      <c r="AL63" s="12"/>
      <c r="AM63" s="12"/>
      <c r="AN63" s="12"/>
      <c r="AO63" s="12"/>
      <c r="AP63" s="12"/>
      <c r="AQ63" s="12"/>
      <c r="AR63" s="12"/>
      <c r="AS63" s="12"/>
      <c r="AT63" s="12"/>
      <c r="AU63" s="12"/>
      <c r="AV63" s="12"/>
      <c r="AW63" s="12"/>
      <c r="AX63" s="12"/>
      <c r="AY63" s="12"/>
      <c r="AZ63" s="12"/>
      <c r="BA63" s="12"/>
      <c r="BB63" s="12"/>
      <c r="BC63" s="12"/>
      <c r="BD63" s="12"/>
      <c r="BE63" s="12"/>
      <c r="BF63" s="12"/>
      <c r="BG63" s="12"/>
      <c r="BH63" s="12"/>
      <c r="BI63" s="12"/>
      <c r="BJ63" s="12"/>
      <c r="BK63" s="12"/>
    </row>
    <row r="64" spans="1:63">
      <c r="A64" s="33" t="s">
        <v>18</v>
      </c>
      <c r="B64" s="30"/>
      <c r="C64" s="30"/>
      <c r="D64" s="30"/>
      <c r="E64" s="38">
        <f>IF(E59=0,0,(E59/($E$38-$E$37)*0.5))</f>
        <v>570.74050566887809</v>
      </c>
      <c r="F64" s="40" t="s">
        <v>8</v>
      </c>
      <c r="G64" s="40" t="s">
        <v>8</v>
      </c>
      <c r="H64" s="40" t="s">
        <v>8</v>
      </c>
      <c r="I64" s="40" t="s">
        <v>8</v>
      </c>
      <c r="J64" s="40" t="s">
        <v>8</v>
      </c>
      <c r="K64" s="40" t="s">
        <v>8</v>
      </c>
      <c r="L64" s="40" t="s">
        <v>8</v>
      </c>
      <c r="M64" s="40" t="s">
        <v>8</v>
      </c>
      <c r="N64" s="40" t="s">
        <v>8</v>
      </c>
      <c r="O64" s="39"/>
      <c r="P64" s="12"/>
      <c r="S64" s="12"/>
      <c r="T64" s="12"/>
      <c r="U64" s="12"/>
      <c r="V64" s="12"/>
      <c r="Y64" s="12"/>
      <c r="Z64" s="12"/>
      <c r="AA64" s="12"/>
      <c r="AB64" s="12"/>
      <c r="AC64" s="12"/>
      <c r="AD64" s="12"/>
      <c r="AE64" s="12"/>
      <c r="AF64" s="12"/>
      <c r="AG64" s="12"/>
      <c r="AH64" s="12"/>
      <c r="AI64" s="12"/>
      <c r="AJ64" s="12"/>
      <c r="AK64" s="12"/>
      <c r="AL64" s="12"/>
      <c r="AM64" s="12"/>
      <c r="AN64" s="12"/>
      <c r="AO64" s="12"/>
      <c r="AP64" s="12"/>
      <c r="AQ64" s="12"/>
      <c r="AR64" s="12"/>
      <c r="AS64" s="12"/>
      <c r="AT64" s="12"/>
      <c r="AU64" s="12"/>
      <c r="AV64" s="12"/>
      <c r="AW64" s="12"/>
      <c r="AX64" s="12"/>
      <c r="AY64" s="12"/>
      <c r="AZ64" s="12"/>
      <c r="BA64" s="12"/>
      <c r="BB64" s="12"/>
      <c r="BC64" s="12"/>
      <c r="BD64" s="12"/>
      <c r="BE64" s="12"/>
      <c r="BF64" s="12"/>
      <c r="BG64" s="12"/>
      <c r="BH64" s="12"/>
      <c r="BI64" s="12"/>
      <c r="BJ64" s="12"/>
      <c r="BK64" s="12"/>
    </row>
    <row r="65" spans="1:63">
      <c r="A65" s="33" t="s">
        <v>19</v>
      </c>
      <c r="B65" s="30"/>
      <c r="C65" s="30"/>
      <c r="D65" s="30"/>
      <c r="E65" s="38">
        <f t="shared" ref="E65:H65" si="281">IF(AND($E$37+0.5&lt;E57,$E$38+0.5&gt;=E57),$E64,0)</f>
        <v>0</v>
      </c>
      <c r="F65" s="38">
        <f t="shared" si="281"/>
        <v>0</v>
      </c>
      <c r="G65" s="38">
        <f t="shared" si="281"/>
        <v>0</v>
      </c>
      <c r="H65" s="38">
        <f t="shared" si="281"/>
        <v>0</v>
      </c>
      <c r="I65" s="38">
        <f t="shared" ref="I65:N65" si="282">IF(AND($E$37+0.5&lt;I57,$E$38+0.5&gt;=I57),$E64,0)</f>
        <v>0</v>
      </c>
      <c r="J65" s="38">
        <f t="shared" si="282"/>
        <v>0</v>
      </c>
      <c r="K65" s="38">
        <f t="shared" si="282"/>
        <v>570.74050566887809</v>
      </c>
      <c r="L65" s="38">
        <f t="shared" si="282"/>
        <v>570.74050566887809</v>
      </c>
      <c r="M65" s="38">
        <f t="shared" si="282"/>
        <v>570.74050566887809</v>
      </c>
      <c r="N65" s="38">
        <f t="shared" si="282"/>
        <v>570.74050566887809</v>
      </c>
      <c r="O65" s="38">
        <f>SUM(E65:N65)</f>
        <v>2282.9620226755123</v>
      </c>
      <c r="P65" s="12"/>
      <c r="S65" s="12"/>
      <c r="T65" s="12"/>
      <c r="U65" s="12"/>
      <c r="V65" s="12"/>
      <c r="Y65" s="12"/>
      <c r="Z65" s="12"/>
      <c r="AA65" s="12"/>
      <c r="AB65" s="12"/>
      <c r="AC65" s="12"/>
      <c r="AD65" s="12"/>
      <c r="AE65" s="12"/>
      <c r="AF65" s="12"/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2"/>
      <c r="BA65" s="12"/>
      <c r="BB65" s="12"/>
      <c r="BC65" s="12"/>
      <c r="BD65" s="12"/>
      <c r="BE65" s="12"/>
      <c r="BF65" s="12"/>
      <c r="BG65" s="12"/>
      <c r="BH65" s="12"/>
      <c r="BI65" s="12"/>
      <c r="BJ65" s="12"/>
      <c r="BK65" s="12"/>
    </row>
    <row r="66" spans="1:63">
      <c r="A66" s="33" t="s">
        <v>20</v>
      </c>
      <c r="B66" s="30"/>
      <c r="C66" s="30"/>
      <c r="D66" s="30"/>
      <c r="E66" s="38">
        <f t="shared" ref="E66:H66" si="283">IF(AND($E$37+0.5&lt;=E57,$E$38&gt;=E57),$E64,0)</f>
        <v>0</v>
      </c>
      <c r="F66" s="38">
        <f t="shared" si="283"/>
        <v>0</v>
      </c>
      <c r="G66" s="38">
        <f t="shared" si="283"/>
        <v>0</v>
      </c>
      <c r="H66" s="38">
        <f t="shared" si="283"/>
        <v>0</v>
      </c>
      <c r="I66" s="38">
        <f t="shared" ref="I66:N66" si="284">IF(AND($E$37+0.5&lt;=I57,$E$38&gt;=I57),$E64,0)</f>
        <v>0</v>
      </c>
      <c r="J66" s="38">
        <f t="shared" si="284"/>
        <v>0</v>
      </c>
      <c r="K66" s="38">
        <f t="shared" si="284"/>
        <v>570.74050566887809</v>
      </c>
      <c r="L66" s="38">
        <f t="shared" si="284"/>
        <v>570.74050566887809</v>
      </c>
      <c r="M66" s="38">
        <f t="shared" si="284"/>
        <v>570.74050566887809</v>
      </c>
      <c r="N66" s="38">
        <f t="shared" si="284"/>
        <v>570.74050566887809</v>
      </c>
      <c r="O66" s="38">
        <f>SUM(E66:N66)</f>
        <v>2282.9620226755123</v>
      </c>
      <c r="P66" s="12"/>
      <c r="S66" s="12"/>
      <c r="T66" s="12"/>
      <c r="U66" s="12"/>
      <c r="V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12"/>
      <c r="AM66" s="12"/>
      <c r="AN66" s="12"/>
      <c r="AO66" s="12"/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2"/>
      <c r="BB66" s="12"/>
      <c r="BC66" s="12"/>
      <c r="BD66" s="12"/>
      <c r="BE66" s="12"/>
      <c r="BF66" s="12"/>
      <c r="BG66" s="12"/>
      <c r="BH66" s="12"/>
      <c r="BI66" s="12"/>
      <c r="BJ66" s="12"/>
      <c r="BK66" s="12"/>
    </row>
    <row r="67" spans="1:63">
      <c r="A67" s="33" t="s">
        <v>21</v>
      </c>
      <c r="B67" s="30"/>
      <c r="C67" s="30"/>
      <c r="D67" s="30"/>
      <c r="E67" s="38">
        <f t="shared" ref="E67:H67" si="285">(E58+E47+E61+E62-E65-E66)</f>
        <v>835.56404178672915</v>
      </c>
      <c r="F67" s="38">
        <f t="shared" si="285"/>
        <v>4373.0545768634584</v>
      </c>
      <c r="G67" s="38">
        <f t="shared" si="285"/>
        <v>10373.456667261187</v>
      </c>
      <c r="H67" s="38">
        <f t="shared" si="285"/>
        <v>21685.152836665919</v>
      </c>
      <c r="I67" s="38">
        <f t="shared" ref="I67:N67" si="286">(I58+I47+I61+I62-I65-I66)</f>
        <v>27395.544272106148</v>
      </c>
      <c r="J67" s="38">
        <f t="shared" si="286"/>
        <v>27395.544272106148</v>
      </c>
      <c r="K67" s="38">
        <f t="shared" si="286"/>
        <v>26254.063260768395</v>
      </c>
      <c r="L67" s="38">
        <f t="shared" si="286"/>
        <v>25112.582249430641</v>
      </c>
      <c r="M67" s="38">
        <f t="shared" si="286"/>
        <v>23971.101238092888</v>
      </c>
      <c r="N67" s="38">
        <f t="shared" si="286"/>
        <v>22829.620226755134</v>
      </c>
      <c r="O67" s="39"/>
      <c r="P67" s="12"/>
      <c r="S67" s="12"/>
      <c r="T67" s="12"/>
      <c r="U67" s="12"/>
      <c r="V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12"/>
      <c r="AM67" s="12"/>
      <c r="AN67" s="12"/>
      <c r="AO67" s="12"/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2"/>
      <c r="BB67" s="12"/>
      <c r="BC67" s="12"/>
      <c r="BD67" s="12"/>
      <c r="BE67" s="12"/>
      <c r="BF67" s="12"/>
      <c r="BG67" s="12"/>
      <c r="BH67" s="12"/>
      <c r="BI67" s="12"/>
      <c r="BJ67" s="12"/>
      <c r="BK67" s="12"/>
    </row>
    <row r="68" spans="1:63">
      <c r="A68" s="33" t="s">
        <v>22</v>
      </c>
      <c r="B68" s="30"/>
      <c r="C68" s="30"/>
      <c r="D68" s="30"/>
      <c r="E68" s="38">
        <f t="shared" ref="E68:H68" si="287">IF(E56&gt;0,E48/100*(E58+0.5*(E47+E61))*(1-$E$42/100),0)</f>
        <v>10.695219734870134</v>
      </c>
      <c r="F68" s="38">
        <f t="shared" si="287"/>
        <v>66.670318318722394</v>
      </c>
      <c r="G68" s="38">
        <f t="shared" si="287"/>
        <v>188.75534392479548</v>
      </c>
      <c r="H68" s="38">
        <f t="shared" si="287"/>
        <v>410.35020165026691</v>
      </c>
      <c r="I68" s="38">
        <f t="shared" ref="I68:N68" si="288">IF(I56&gt;0,I48/100*(I58+0.5*(I47+I61))*(1-$E$42/100),0)</f>
        <v>628.23292299228251</v>
      </c>
      <c r="J68" s="38">
        <f t="shared" si="288"/>
        <v>0</v>
      </c>
      <c r="K68" s="38">
        <f t="shared" si="288"/>
        <v>0</v>
      </c>
      <c r="L68" s="38">
        <f t="shared" si="288"/>
        <v>0</v>
      </c>
      <c r="M68" s="38">
        <f t="shared" si="288"/>
        <v>0</v>
      </c>
      <c r="N68" s="38">
        <f t="shared" si="288"/>
        <v>0</v>
      </c>
      <c r="O68" s="38">
        <f>SUM(E68:N68)</f>
        <v>1304.7040066209374</v>
      </c>
      <c r="P68" s="12"/>
      <c r="S68" s="12"/>
      <c r="T68" s="12"/>
      <c r="U68" s="12"/>
      <c r="V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2"/>
      <c r="BB68" s="12"/>
      <c r="BC68" s="12"/>
      <c r="BD68" s="12"/>
      <c r="BE68" s="12"/>
      <c r="BF68" s="12"/>
      <c r="BG68" s="12"/>
      <c r="BH68" s="12"/>
      <c r="BI68" s="12"/>
      <c r="BJ68" s="12"/>
      <c r="BK68" s="12"/>
    </row>
    <row r="69" spans="1:63">
      <c r="A69" s="33" t="s">
        <v>23</v>
      </c>
      <c r="B69" s="30"/>
      <c r="C69" s="30"/>
      <c r="D69" s="30"/>
      <c r="E69" s="38">
        <f t="shared" ref="E69:H69" si="289">IF(E56=0,(E58+E66+E67)*0.5*E48/100,0)</f>
        <v>0</v>
      </c>
      <c r="F69" s="38">
        <f t="shared" si="289"/>
        <v>0</v>
      </c>
      <c r="G69" s="38">
        <f t="shared" si="289"/>
        <v>0</v>
      </c>
      <c r="H69" s="38">
        <f t="shared" si="289"/>
        <v>0</v>
      </c>
      <c r="I69" s="38">
        <f t="shared" ref="I69:N69" si="290">IF(I56=0,(I58+I66+I67)*0.5*I48/100,0)</f>
        <v>0</v>
      </c>
      <c r="J69" s="38">
        <f t="shared" si="290"/>
        <v>701.32593336591742</v>
      </c>
      <c r="K69" s="38">
        <f t="shared" si="290"/>
        <v>694.0204548933558</v>
      </c>
      <c r="L69" s="38">
        <f t="shared" si="290"/>
        <v>664.79854100310922</v>
      </c>
      <c r="M69" s="38">
        <f t="shared" si="290"/>
        <v>635.57662711286287</v>
      </c>
      <c r="N69" s="38">
        <f t="shared" si="290"/>
        <v>606.35471322261628</v>
      </c>
      <c r="O69" s="38">
        <f>SUM(E69:N69)</f>
        <v>3302.0762695978615</v>
      </c>
      <c r="P69" s="12"/>
      <c r="S69" s="12"/>
      <c r="T69" s="12"/>
      <c r="U69" s="12"/>
      <c r="V69" s="12"/>
      <c r="Y69" s="12"/>
      <c r="Z69" s="12"/>
      <c r="AA69" s="12"/>
      <c r="AB69" s="12"/>
      <c r="AC69" s="12"/>
      <c r="AD69" s="12"/>
      <c r="AE69" s="12"/>
      <c r="AF69" s="12"/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2"/>
      <c r="BB69" s="12"/>
      <c r="BC69" s="12"/>
      <c r="BD69" s="12"/>
      <c r="BE69" s="12"/>
      <c r="BF69" s="12"/>
      <c r="BG69" s="12"/>
      <c r="BH69" s="12"/>
      <c r="BI69" s="12"/>
      <c r="BJ69" s="12"/>
      <c r="BK69" s="12"/>
    </row>
    <row r="70" spans="1:63">
      <c r="A70" s="33" t="s">
        <v>24</v>
      </c>
      <c r="B70" s="30"/>
      <c r="C70" s="30"/>
      <c r="D70" s="30"/>
      <c r="E70" s="38">
        <f t="shared" ref="E70:H70" si="291">IF(E56&gt;0,($E59-E58-(E60+E62+E61)*0.5)*$E$39/100*IF(E60=1,IF(E60&lt;=2,0,0.83),IF(E60&gt;1,1,0)),0)</f>
        <v>33.722202814015979</v>
      </c>
      <c r="F70" s="38">
        <f t="shared" si="291"/>
        <v>30.98904370347632</v>
      </c>
      <c r="G70" s="38">
        <f t="shared" si="291"/>
        <v>25.027860812554781</v>
      </c>
      <c r="H70" s="38">
        <f t="shared" si="291"/>
        <v>14.207799400178246</v>
      </c>
      <c r="I70" s="38">
        <f t="shared" ref="I70:N70" si="292">IF(I56&gt;0,($E59-I58-(I60+I62+I61)*0.5)*$E$39/100*IF(I60=1,IF(I60&lt;=2,0,0.83),IF(I60&gt;1,1,0)),0)</f>
        <v>3.5689946471501433</v>
      </c>
      <c r="J70" s="38">
        <f t="shared" si="292"/>
        <v>0</v>
      </c>
      <c r="K70" s="38">
        <f t="shared" si="292"/>
        <v>0</v>
      </c>
      <c r="L70" s="38">
        <f t="shared" si="292"/>
        <v>0</v>
      </c>
      <c r="M70" s="38">
        <f t="shared" si="292"/>
        <v>0</v>
      </c>
      <c r="N70" s="38">
        <f t="shared" si="292"/>
        <v>0</v>
      </c>
      <c r="O70" s="38">
        <f>SUM(E70:N70)</f>
        <v>107.51590137737547</v>
      </c>
      <c r="P70" s="12"/>
      <c r="S70" s="12"/>
      <c r="T70" s="12"/>
      <c r="U70" s="12"/>
      <c r="V70" s="12"/>
      <c r="Y70" s="12"/>
      <c r="Z70" s="12"/>
      <c r="AA70" s="12"/>
      <c r="AB70" s="12"/>
      <c r="AC70" s="12"/>
      <c r="AD70" s="12"/>
      <c r="AE70" s="12"/>
      <c r="AF70" s="12"/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2"/>
      <c r="BB70" s="12"/>
      <c r="BC70" s="12"/>
      <c r="BD70" s="12"/>
      <c r="BE70" s="12"/>
      <c r="BF70" s="12"/>
      <c r="BG70" s="12"/>
      <c r="BH70" s="12"/>
      <c r="BI70" s="12"/>
      <c r="BJ70" s="12"/>
      <c r="BK70" s="12"/>
    </row>
    <row r="71" spans="1:63">
      <c r="A71" s="31" t="str">
        <f>A49</f>
        <v>BID (Kor Fac)</v>
      </c>
      <c r="B71" s="30"/>
      <c r="C71" s="30"/>
      <c r="D71" s="30"/>
      <c r="E71" s="54" t="s">
        <v>47</v>
      </c>
      <c r="F71" s="54" t="s">
        <v>47</v>
      </c>
      <c r="G71" s="54" t="s">
        <v>47</v>
      </c>
      <c r="H71" s="54" t="s">
        <v>47</v>
      </c>
      <c r="I71" s="54" t="s">
        <v>47</v>
      </c>
      <c r="J71" s="54" t="s">
        <v>47</v>
      </c>
      <c r="K71" s="54" t="s">
        <v>47</v>
      </c>
      <c r="L71" s="54" t="s">
        <v>47</v>
      </c>
      <c r="M71" s="54" t="s">
        <v>47</v>
      </c>
      <c r="N71" s="54" t="s">
        <v>47</v>
      </c>
      <c r="O71" s="54" t="s">
        <v>47</v>
      </c>
      <c r="P71" s="12"/>
      <c r="S71" s="12"/>
      <c r="T71" s="12"/>
      <c r="U71" s="12"/>
      <c r="V71" s="12"/>
      <c r="Y71" s="12"/>
      <c r="Z71" s="12"/>
      <c r="AA71" s="12"/>
      <c r="AB71" s="12"/>
      <c r="AC71" s="12"/>
      <c r="AD71" s="12"/>
      <c r="AE71" s="12"/>
      <c r="AF71" s="12"/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2"/>
      <c r="BB71" s="12"/>
      <c r="BC71" s="12"/>
      <c r="BD71" s="12"/>
      <c r="BE71" s="12"/>
      <c r="BF71" s="12"/>
      <c r="BG71" s="12"/>
      <c r="BH71" s="12"/>
      <c r="BI71" s="12"/>
      <c r="BJ71" s="12"/>
      <c r="BK71" s="12"/>
    </row>
    <row r="72" spans="1:63">
      <c r="A72" s="33" t="s">
        <v>10</v>
      </c>
      <c r="B72" s="30"/>
      <c r="C72" s="30"/>
      <c r="D72" s="30"/>
      <c r="E72" s="38">
        <f>IF(E50&gt;0,1,0)</f>
        <v>1</v>
      </c>
      <c r="F72" s="38">
        <f>IF(F50&gt;0,1+E72,IF(AND(E72&gt;0,SUM(F50:$N$50)&gt;0),E72+1,0))</f>
        <v>2</v>
      </c>
      <c r="G72" s="38">
        <f>IF(G50&gt;0,1+F72,IF(AND(F72&gt;0,SUM(G50:$N$50)&gt;0),F72+1,0))</f>
        <v>3</v>
      </c>
      <c r="H72" s="38">
        <f>IF(H50&gt;0,1+G72,IF(AND(G72&gt;0,SUM(H50:$N$50)&gt;0),G72+1,0))</f>
        <v>4</v>
      </c>
      <c r="I72" s="38">
        <f>IF(I50&gt;0,1+H72,IF(AND(H72&gt;0,SUM(I50:$N$50)&gt;0),H72+1,0))</f>
        <v>5</v>
      </c>
      <c r="J72" s="38">
        <f>IF(J50&gt;0,1+I72,IF(AND(I72&gt;0,SUM(J50:$N$50)&gt;0),I72+1,0))</f>
        <v>0</v>
      </c>
      <c r="K72" s="38">
        <f>IF(K50&gt;0,1+J72,IF(AND(J72&gt;0,SUM(K50:$N$50)&gt;0),J72+1,0))</f>
        <v>0</v>
      </c>
      <c r="L72" s="38">
        <f>IF(L50&gt;0,1+K72,IF(AND(K72&gt;0,SUM(L50:$N$50)&gt;0),K72+1,0))</f>
        <v>0</v>
      </c>
      <c r="M72" s="38">
        <f>IF(M50&gt;0,1+L72,IF(AND(L72&gt;0,SUM(M50:$N$50)&gt;0),L72+1,0))</f>
        <v>0</v>
      </c>
      <c r="N72" s="38">
        <f>IF(N50&gt;0,1+M72,IF(AND(M72&gt;0,SUM($N$50)&gt;0),M72+1,0))</f>
        <v>0</v>
      </c>
      <c r="O72" s="39"/>
      <c r="P72" s="12"/>
      <c r="S72" s="12"/>
      <c r="T72" s="12"/>
      <c r="U72" s="12"/>
      <c r="V72" s="12"/>
      <c r="Y72" s="12"/>
      <c r="Z72" s="12"/>
      <c r="AA72" s="12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12"/>
      <c r="AM72" s="12"/>
      <c r="AN72" s="12"/>
      <c r="AO72" s="12"/>
      <c r="AP72" s="12"/>
      <c r="AQ72" s="12"/>
      <c r="AR72" s="12"/>
      <c r="AS72" s="12"/>
      <c r="AT72" s="12"/>
      <c r="AU72" s="12"/>
      <c r="AV72" s="12"/>
      <c r="AW72" s="12"/>
      <c r="AX72" s="12"/>
      <c r="AY72" s="12"/>
      <c r="AZ72" s="12"/>
      <c r="BA72" s="12"/>
      <c r="BB72" s="12"/>
      <c r="BC72" s="12"/>
      <c r="BD72" s="12"/>
      <c r="BE72" s="12"/>
      <c r="BF72" s="12"/>
      <c r="BG72" s="12"/>
      <c r="BH72" s="12"/>
      <c r="BI72" s="12"/>
      <c r="BJ72" s="12"/>
      <c r="BK72" s="12"/>
    </row>
    <row r="73" spans="1:63">
      <c r="A73" s="33" t="s">
        <v>11</v>
      </c>
      <c r="B73" s="30"/>
      <c r="C73" s="30"/>
      <c r="D73" s="30"/>
      <c r="E73" s="38">
        <f>IF(E72&gt;0,E72,IF($F$36&gt;0,1,0))</f>
        <v>1</v>
      </c>
      <c r="F73" s="38">
        <f t="shared" ref="F73:H73" si="293">IF(E73&gt;0,1+E73,IF(F72&gt;0,F72,0))</f>
        <v>2</v>
      </c>
      <c r="G73" s="38">
        <f t="shared" si="293"/>
        <v>3</v>
      </c>
      <c r="H73" s="38">
        <f t="shared" si="293"/>
        <v>4</v>
      </c>
      <c r="I73" s="38">
        <f t="shared" ref="I73:N73" si="294">IF(H73&gt;0,1+H73,IF(I72&gt;0,I72,0))</f>
        <v>5</v>
      </c>
      <c r="J73" s="38">
        <f t="shared" si="294"/>
        <v>6</v>
      </c>
      <c r="K73" s="38">
        <f t="shared" si="294"/>
        <v>7</v>
      </c>
      <c r="L73" s="38">
        <f t="shared" si="294"/>
        <v>8</v>
      </c>
      <c r="M73" s="38">
        <f t="shared" si="294"/>
        <v>9</v>
      </c>
      <c r="N73" s="38">
        <f t="shared" si="294"/>
        <v>10</v>
      </c>
      <c r="O73" s="39"/>
      <c r="P73" s="12"/>
      <c r="S73" s="12"/>
      <c r="T73" s="12"/>
      <c r="U73" s="12"/>
      <c r="V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  <c r="BB73" s="12"/>
      <c r="BC73" s="12"/>
      <c r="BD73" s="12"/>
      <c r="BE73" s="12"/>
      <c r="BF73" s="12"/>
      <c r="BG73" s="12"/>
      <c r="BH73" s="12"/>
      <c r="BI73" s="12"/>
      <c r="BJ73" s="12"/>
      <c r="BK73" s="12"/>
    </row>
    <row r="74" spans="1:63">
      <c r="A74" s="33" t="s">
        <v>12</v>
      </c>
      <c r="B74" s="30"/>
      <c r="C74" s="30"/>
      <c r="D74" s="30"/>
      <c r="E74" s="38">
        <f>$F$36</f>
        <v>0</v>
      </c>
      <c r="F74" s="38">
        <f t="shared" ref="F74:H74" si="295">E83</f>
        <v>763.00499328483102</v>
      </c>
      <c r="G74" s="38">
        <f t="shared" si="295"/>
        <v>3993.3054932796617</v>
      </c>
      <c r="H74" s="38">
        <f t="shared" si="295"/>
        <v>9472.6422379534924</v>
      </c>
      <c r="I74" s="38">
        <f t="shared" ref="I74:N74" si="296">H83</f>
        <v>19450.051471985324</v>
      </c>
      <c r="J74" s="38">
        <f t="shared" si="296"/>
        <v>24312.564339981654</v>
      </c>
      <c r="K74" s="38">
        <f t="shared" si="296"/>
        <v>24312.564339981654</v>
      </c>
      <c r="L74" s="38">
        <f t="shared" si="296"/>
        <v>24312.564339981654</v>
      </c>
      <c r="M74" s="38">
        <f t="shared" si="296"/>
        <v>24312.564339981654</v>
      </c>
      <c r="N74" s="38">
        <f t="shared" si="296"/>
        <v>24312.564339981654</v>
      </c>
      <c r="O74" s="39"/>
      <c r="P74" s="12"/>
      <c r="S74" s="12"/>
      <c r="T74" s="12"/>
      <c r="U74" s="12"/>
      <c r="V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  <c r="BB74" s="12"/>
      <c r="BC74" s="12"/>
      <c r="BD74" s="12"/>
      <c r="BE74" s="12"/>
      <c r="BF74" s="12"/>
      <c r="BG74" s="12"/>
      <c r="BH74" s="12"/>
      <c r="BI74" s="12"/>
      <c r="BJ74" s="12"/>
      <c r="BK74" s="12"/>
    </row>
    <row r="75" spans="1:63">
      <c r="A75" s="33" t="s">
        <v>13</v>
      </c>
      <c r="B75" s="30"/>
      <c r="C75" s="30"/>
      <c r="D75" s="30"/>
      <c r="E75" s="38">
        <f>$F$36+(SUM($E50:$N50)+SUM($E78:$N78))/IF($F$41=1,0.99,1)</f>
        <v>24312.564339981654</v>
      </c>
      <c r="F75" s="40" t="s">
        <v>48</v>
      </c>
      <c r="G75" s="39"/>
      <c r="H75" s="39"/>
      <c r="I75" s="39"/>
      <c r="J75" s="39"/>
      <c r="K75" s="39"/>
      <c r="L75" s="39"/>
      <c r="M75" s="39"/>
      <c r="N75" s="39"/>
      <c r="O75" s="39"/>
      <c r="P75" s="12"/>
      <c r="S75" s="12"/>
      <c r="T75" s="12"/>
      <c r="U75" s="12"/>
      <c r="V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12"/>
      <c r="AM75" s="12"/>
      <c r="AN75" s="12"/>
      <c r="AO75" s="12"/>
      <c r="AP75" s="12"/>
      <c r="AQ75" s="12"/>
      <c r="AR75" s="12"/>
      <c r="AS75" s="12"/>
      <c r="AT75" s="12"/>
      <c r="AU75" s="12"/>
      <c r="AV75" s="12"/>
      <c r="AW75" s="12"/>
      <c r="AX75" s="12"/>
      <c r="AY75" s="12"/>
      <c r="AZ75" s="12"/>
      <c r="BA75" s="12"/>
      <c r="BB75" s="12"/>
      <c r="BC75" s="12"/>
      <c r="BD75" s="12"/>
      <c r="BE75" s="12"/>
      <c r="BF75" s="12"/>
      <c r="BG75" s="12"/>
      <c r="BH75" s="12"/>
      <c r="BI75" s="12"/>
      <c r="BJ75" s="12"/>
      <c r="BK75" s="12"/>
    </row>
    <row r="76" spans="1:63">
      <c r="A76" s="33" t="s">
        <v>14</v>
      </c>
      <c r="B76" s="30"/>
      <c r="C76" s="30"/>
      <c r="D76" s="30"/>
      <c r="E76" s="38">
        <f t="shared" ref="E76:H76" si="297">(E50)</f>
        <v>763.00499328483102</v>
      </c>
      <c r="F76" s="38">
        <f t="shared" si="297"/>
        <v>3230.3004999948307</v>
      </c>
      <c r="G76" s="38">
        <f t="shared" si="297"/>
        <v>5479.3367446738312</v>
      </c>
      <c r="H76" s="38">
        <f t="shared" si="297"/>
        <v>9977.4092340318293</v>
      </c>
      <c r="I76" s="38">
        <f t="shared" ref="I76:N76" si="298">(I50)</f>
        <v>4862.5128679963309</v>
      </c>
      <c r="J76" s="38">
        <f t="shared" si="298"/>
        <v>0</v>
      </c>
      <c r="K76" s="38">
        <f t="shared" si="298"/>
        <v>0</v>
      </c>
      <c r="L76" s="38">
        <f t="shared" si="298"/>
        <v>0</v>
      </c>
      <c r="M76" s="38">
        <f t="shared" si="298"/>
        <v>0</v>
      </c>
      <c r="N76" s="38">
        <f t="shared" si="298"/>
        <v>0</v>
      </c>
      <c r="O76" s="38">
        <f>SUM(E76:N76)</f>
        <v>24312.564339981654</v>
      </c>
      <c r="P76" s="12"/>
      <c r="S76" s="12"/>
      <c r="T76" s="12"/>
      <c r="U76" s="12"/>
      <c r="V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  <c r="BJ76" s="12"/>
      <c r="BK76" s="12"/>
    </row>
    <row r="77" spans="1:63">
      <c r="A77" s="33" t="s">
        <v>15</v>
      </c>
      <c r="B77" s="30"/>
      <c r="C77" s="30"/>
      <c r="D77" s="30"/>
      <c r="E77" s="38">
        <f t="shared" ref="E77:N77" si="299">IF($F$41=1,IF(E72&gt;0,+($E75-$F$36)*0.01/MAX($E72:$N72),0),0)</f>
        <v>0</v>
      </c>
      <c r="F77" s="38">
        <f t="shared" si="299"/>
        <v>0</v>
      </c>
      <c r="G77" s="38">
        <f t="shared" si="299"/>
        <v>0</v>
      </c>
      <c r="H77" s="38">
        <f t="shared" si="299"/>
        <v>0</v>
      </c>
      <c r="I77" s="38">
        <f t="shared" si="299"/>
        <v>0</v>
      </c>
      <c r="J77" s="38">
        <f t="shared" si="299"/>
        <v>0</v>
      </c>
      <c r="K77" s="38">
        <f t="shared" si="299"/>
        <v>0</v>
      </c>
      <c r="L77" s="38">
        <f t="shared" si="299"/>
        <v>0</v>
      </c>
      <c r="M77" s="38">
        <f t="shared" si="299"/>
        <v>0</v>
      </c>
      <c r="N77" s="38">
        <f t="shared" si="299"/>
        <v>0</v>
      </c>
      <c r="O77" s="38">
        <f>SUM(E77:N77)</f>
        <v>0</v>
      </c>
      <c r="P77" s="12"/>
      <c r="S77" s="12"/>
      <c r="T77" s="12"/>
      <c r="U77" s="12"/>
      <c r="V77" s="12"/>
      <c r="Y77" s="12"/>
      <c r="Z77" s="12"/>
      <c r="AA77" s="12"/>
      <c r="AB77" s="12"/>
      <c r="AC77" s="12"/>
      <c r="AD77" s="12"/>
      <c r="AE77" s="12"/>
      <c r="AF77" s="12"/>
      <c r="AG77" s="12"/>
      <c r="AH77" s="12"/>
      <c r="AI77" s="12"/>
      <c r="AJ77" s="12"/>
      <c r="AK77" s="12"/>
      <c r="AL77" s="12"/>
      <c r="AM77" s="12"/>
      <c r="AN77" s="12"/>
      <c r="AO77" s="12"/>
      <c r="AP77" s="12"/>
      <c r="AQ77" s="12"/>
      <c r="AR77" s="12"/>
      <c r="AS77" s="12"/>
      <c r="AT77" s="12"/>
      <c r="AU77" s="12"/>
      <c r="AV77" s="12"/>
      <c r="AW77" s="12"/>
      <c r="AX77" s="12"/>
      <c r="AY77" s="12"/>
      <c r="AZ77" s="12"/>
      <c r="BA77" s="12"/>
      <c r="BB77" s="12"/>
      <c r="BC77" s="12"/>
      <c r="BD77" s="12"/>
      <c r="BE77" s="12"/>
      <c r="BF77" s="12"/>
      <c r="BG77" s="12"/>
      <c r="BH77" s="12"/>
      <c r="BI77" s="12"/>
      <c r="BJ77" s="12"/>
      <c r="BK77" s="12"/>
    </row>
    <row r="78" spans="1:63">
      <c r="A78" s="33" t="s">
        <v>16</v>
      </c>
      <c r="B78" s="30"/>
      <c r="C78" s="30"/>
      <c r="D78" s="30"/>
      <c r="E78" s="38">
        <f t="shared" ref="E78:H78" si="300">IF(AND($F$42&gt;0,E72&gt;0),((E76+E77)*(((1+E51/400)^2)-1)+E74*(((1+E51/200)^2)-1))*$F$42/100,0)</f>
        <v>0</v>
      </c>
      <c r="F78" s="38">
        <f t="shared" si="300"/>
        <v>0</v>
      </c>
      <c r="G78" s="38">
        <f t="shared" si="300"/>
        <v>0</v>
      </c>
      <c r="H78" s="38">
        <f t="shared" si="300"/>
        <v>0</v>
      </c>
      <c r="I78" s="38">
        <f t="shared" ref="I78:N78" si="301">IF(AND($F$42&gt;0,I72&gt;0),((I76+I77)*(((1+I51/400)^2)-1)+I74*(((1+I51/200)^2)-1))*$F$42/100,0)</f>
        <v>0</v>
      </c>
      <c r="J78" s="38">
        <f t="shared" si="301"/>
        <v>0</v>
      </c>
      <c r="K78" s="38">
        <f t="shared" si="301"/>
        <v>0</v>
      </c>
      <c r="L78" s="38">
        <f t="shared" si="301"/>
        <v>0</v>
      </c>
      <c r="M78" s="38">
        <f t="shared" si="301"/>
        <v>0</v>
      </c>
      <c r="N78" s="38">
        <f t="shared" si="301"/>
        <v>0</v>
      </c>
      <c r="O78" s="38">
        <f>SUM(E78:N78)</f>
        <v>0</v>
      </c>
      <c r="P78" s="12"/>
      <c r="S78" s="12"/>
      <c r="T78" s="12"/>
      <c r="U78" s="12"/>
      <c r="V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12"/>
      <c r="AM78" s="12"/>
      <c r="AN78" s="12"/>
      <c r="AO78" s="12"/>
      <c r="AP78" s="12"/>
      <c r="AQ78" s="12"/>
      <c r="AR78" s="12"/>
      <c r="AS78" s="12"/>
      <c r="AT78" s="12"/>
      <c r="AU78" s="12"/>
      <c r="AV78" s="12"/>
      <c r="AW78" s="12"/>
      <c r="AX78" s="12"/>
      <c r="AY78" s="12"/>
      <c r="AZ78" s="12"/>
      <c r="BA78" s="12"/>
      <c r="BB78" s="12"/>
      <c r="BC78" s="12"/>
      <c r="BD78" s="12"/>
      <c r="BE78" s="12"/>
      <c r="BF78" s="12"/>
      <c r="BG78" s="12"/>
      <c r="BH78" s="12"/>
      <c r="BI78" s="12"/>
      <c r="BJ78" s="12"/>
      <c r="BK78" s="12"/>
    </row>
    <row r="79" spans="1:63">
      <c r="A79" s="33" t="s">
        <v>17</v>
      </c>
      <c r="B79" s="30"/>
      <c r="C79" s="30"/>
      <c r="D79" s="30"/>
      <c r="E79" s="38">
        <f t="shared" ref="E79:H79" si="302">SUM(E76:E78)</f>
        <v>763.00499328483102</v>
      </c>
      <c r="F79" s="38">
        <f t="shared" si="302"/>
        <v>3230.3004999948307</v>
      </c>
      <c r="G79" s="38">
        <f t="shared" si="302"/>
        <v>5479.3367446738312</v>
      </c>
      <c r="H79" s="38">
        <f t="shared" si="302"/>
        <v>9977.4092340318293</v>
      </c>
      <c r="I79" s="38">
        <f t="shared" ref="I79:N79" si="303">SUM(I76:I78)</f>
        <v>4862.5128679963309</v>
      </c>
      <c r="J79" s="38">
        <f t="shared" si="303"/>
        <v>0</v>
      </c>
      <c r="K79" s="38">
        <f t="shared" si="303"/>
        <v>0</v>
      </c>
      <c r="L79" s="38">
        <f t="shared" si="303"/>
        <v>0</v>
      </c>
      <c r="M79" s="38">
        <f t="shared" si="303"/>
        <v>0</v>
      </c>
      <c r="N79" s="38">
        <f t="shared" si="303"/>
        <v>0</v>
      </c>
      <c r="O79" s="38">
        <f>SUM(E79:N79)</f>
        <v>24312.564339981654</v>
      </c>
      <c r="P79" s="12"/>
      <c r="S79" s="12"/>
      <c r="T79" s="12"/>
      <c r="U79" s="12"/>
      <c r="V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  <c r="BJ79" s="12"/>
      <c r="BK79" s="12"/>
    </row>
    <row r="80" spans="1:63">
      <c r="A80" s="33" t="s">
        <v>18</v>
      </c>
      <c r="B80" s="30"/>
      <c r="C80" s="30"/>
      <c r="D80" s="30"/>
      <c r="E80" s="38">
        <f>IF(E75=0,0,(E75/($F$38-$F$37)*0.5))</f>
        <v>405.20940566636091</v>
      </c>
      <c r="F80" s="40" t="s">
        <v>8</v>
      </c>
      <c r="G80" s="40" t="s">
        <v>8</v>
      </c>
      <c r="H80" s="40" t="s">
        <v>8</v>
      </c>
      <c r="I80" s="40" t="s">
        <v>8</v>
      </c>
      <c r="J80" s="40" t="s">
        <v>8</v>
      </c>
      <c r="K80" s="40" t="s">
        <v>8</v>
      </c>
      <c r="L80" s="40" t="s">
        <v>8</v>
      </c>
      <c r="M80" s="40" t="s">
        <v>8</v>
      </c>
      <c r="N80" s="40" t="s">
        <v>8</v>
      </c>
      <c r="O80" s="39"/>
    </row>
    <row r="81" spans="1:15">
      <c r="A81" s="33" t="s">
        <v>19</v>
      </c>
      <c r="B81" s="30"/>
      <c r="C81" s="30"/>
      <c r="D81" s="30"/>
      <c r="E81" s="38">
        <f t="shared" ref="E81:H81" si="304">IF(AND($F$37+0.5&lt;E73,$F$38+0.5&gt;=E73),$E80,0)</f>
        <v>0</v>
      </c>
      <c r="F81" s="38">
        <f t="shared" si="304"/>
        <v>0</v>
      </c>
      <c r="G81" s="38">
        <f t="shared" si="304"/>
        <v>0</v>
      </c>
      <c r="H81" s="38">
        <f t="shared" si="304"/>
        <v>0</v>
      </c>
      <c r="I81" s="38">
        <f t="shared" ref="I81:N81" si="305">IF(AND($F$37+0.5&lt;I73,$F$38+0.5&gt;=I73),$E80,0)</f>
        <v>0</v>
      </c>
      <c r="J81" s="38">
        <f t="shared" si="305"/>
        <v>0</v>
      </c>
      <c r="K81" s="38">
        <f t="shared" si="305"/>
        <v>0</v>
      </c>
      <c r="L81" s="38">
        <f t="shared" si="305"/>
        <v>0</v>
      </c>
      <c r="M81" s="38">
        <f t="shared" si="305"/>
        <v>0</v>
      </c>
      <c r="N81" s="38">
        <f t="shared" si="305"/>
        <v>0</v>
      </c>
      <c r="O81" s="38">
        <f>SUM(E81:N81)</f>
        <v>0</v>
      </c>
    </row>
    <row r="82" spans="1:15">
      <c r="A82" s="33" t="s">
        <v>20</v>
      </c>
      <c r="B82" s="30"/>
      <c r="C82" s="30"/>
      <c r="D82" s="30"/>
      <c r="E82" s="38">
        <f t="shared" ref="E82:H82" si="306">IF(AND($F$37+0.5&lt;=E73,$F$38&gt;=E73),$E$80,0)</f>
        <v>0</v>
      </c>
      <c r="F82" s="38">
        <f t="shared" si="306"/>
        <v>0</v>
      </c>
      <c r="G82" s="38">
        <f t="shared" si="306"/>
        <v>0</v>
      </c>
      <c r="H82" s="38">
        <f t="shared" si="306"/>
        <v>0</v>
      </c>
      <c r="I82" s="38">
        <f t="shared" ref="I82:N82" si="307">IF(AND($F$37+0.5&lt;=I73,$F$38&gt;=I73),$E$80,0)</f>
        <v>0</v>
      </c>
      <c r="J82" s="38">
        <f t="shared" si="307"/>
        <v>0</v>
      </c>
      <c r="K82" s="38">
        <f t="shared" si="307"/>
        <v>0</v>
      </c>
      <c r="L82" s="38">
        <f t="shared" si="307"/>
        <v>0</v>
      </c>
      <c r="M82" s="38">
        <f t="shared" si="307"/>
        <v>0</v>
      </c>
      <c r="N82" s="38">
        <f t="shared" si="307"/>
        <v>0</v>
      </c>
      <c r="O82" s="38">
        <f>SUM(E82:N82)</f>
        <v>0</v>
      </c>
    </row>
    <row r="83" spans="1:15">
      <c r="A83" s="33" t="s">
        <v>21</v>
      </c>
      <c r="B83" s="30"/>
      <c r="C83" s="30"/>
      <c r="D83" s="30"/>
      <c r="E83" s="38">
        <f t="shared" ref="E83:H83" si="308">(E74+E76+E78+E77-E81-E82)</f>
        <v>763.00499328483102</v>
      </c>
      <c r="F83" s="38">
        <f t="shared" si="308"/>
        <v>3993.3054932796617</v>
      </c>
      <c r="G83" s="38">
        <f t="shared" si="308"/>
        <v>9472.6422379534924</v>
      </c>
      <c r="H83" s="38">
        <f t="shared" si="308"/>
        <v>19450.051471985324</v>
      </c>
      <c r="I83" s="38">
        <f t="shared" ref="I83:N83" si="309">(I74+I76+I78+I77-I81-I82)</f>
        <v>24312.564339981654</v>
      </c>
      <c r="J83" s="38">
        <f t="shared" si="309"/>
        <v>24312.564339981654</v>
      </c>
      <c r="K83" s="38">
        <f t="shared" si="309"/>
        <v>24312.564339981654</v>
      </c>
      <c r="L83" s="38">
        <f t="shared" si="309"/>
        <v>24312.564339981654</v>
      </c>
      <c r="M83" s="38">
        <f t="shared" si="309"/>
        <v>24312.564339981654</v>
      </c>
      <c r="N83" s="38">
        <f t="shared" si="309"/>
        <v>24312.564339981654</v>
      </c>
      <c r="O83" s="39"/>
    </row>
    <row r="84" spans="1:15">
      <c r="A84" s="33" t="s">
        <v>22</v>
      </c>
      <c r="B84" s="30"/>
      <c r="C84" s="30"/>
      <c r="D84" s="30"/>
      <c r="E84" s="38">
        <f t="shared" ref="E84:H84" si="310">IF(E72&gt;0,E51/100*(E74+0.5*(E76+E77))*(1-$F$42/100),0)</f>
        <v>5.7225374496362322</v>
      </c>
      <c r="F84" s="38">
        <f t="shared" si="310"/>
        <v>35.672328649233691</v>
      </c>
      <c r="G84" s="38">
        <f t="shared" si="310"/>
        <v>100.99460798424866</v>
      </c>
      <c r="H84" s="38">
        <f t="shared" si="310"/>
        <v>216.92020282454112</v>
      </c>
      <c r="I84" s="38">
        <f t="shared" ref="I84:N84" si="311">IF(I72&gt;0,I51/100*(I74+0.5*(I76+I77))*(1-$F$42/100),0)</f>
        <v>328.21961858975232</v>
      </c>
      <c r="J84" s="38">
        <f t="shared" si="311"/>
        <v>0</v>
      </c>
      <c r="K84" s="38">
        <f t="shared" si="311"/>
        <v>0</v>
      </c>
      <c r="L84" s="38">
        <f t="shared" si="311"/>
        <v>0</v>
      </c>
      <c r="M84" s="38">
        <f t="shared" si="311"/>
        <v>0</v>
      </c>
      <c r="N84" s="38">
        <f t="shared" si="311"/>
        <v>0</v>
      </c>
      <c r="O84" s="38">
        <f>SUM(E84:N84)</f>
        <v>687.52929549741202</v>
      </c>
    </row>
    <row r="85" spans="1:15">
      <c r="A85" s="33" t="s">
        <v>23</v>
      </c>
      <c r="B85" s="30"/>
      <c r="C85" s="30"/>
      <c r="D85" s="30"/>
      <c r="E85" s="38">
        <f t="shared" ref="E85:H85" si="312">IF(E72=0,(E74+E82+E83)*0.5*E51/100,0)</f>
        <v>0</v>
      </c>
      <c r="F85" s="38">
        <f t="shared" si="312"/>
        <v>0</v>
      </c>
      <c r="G85" s="38">
        <f t="shared" si="312"/>
        <v>0</v>
      </c>
      <c r="H85" s="38">
        <f t="shared" si="312"/>
        <v>0</v>
      </c>
      <c r="I85" s="38">
        <f t="shared" ref="I85:N85" si="313">IF(I72=0,(I74+I82+I83)*0.5*I51/100,0)</f>
        <v>0</v>
      </c>
      <c r="J85" s="38">
        <f t="shared" si="313"/>
        <v>364.68846509972485</v>
      </c>
      <c r="K85" s="38">
        <f t="shared" si="313"/>
        <v>364.68846509972485</v>
      </c>
      <c r="L85" s="38">
        <f t="shared" si="313"/>
        <v>364.68846509972485</v>
      </c>
      <c r="M85" s="38">
        <f t="shared" si="313"/>
        <v>364.68846509972485</v>
      </c>
      <c r="N85" s="38">
        <f t="shared" si="313"/>
        <v>364.68846509972485</v>
      </c>
      <c r="O85" s="38">
        <f>SUM(E85:N85)</f>
        <v>1823.4423254986243</v>
      </c>
    </row>
    <row r="86" spans="1:15">
      <c r="A86" s="33" t="s">
        <v>24</v>
      </c>
      <c r="B86" s="30"/>
      <c r="C86" s="30"/>
      <c r="D86" s="30"/>
      <c r="E86" s="38">
        <f t="shared" ref="E86:H86" si="314">IF(E72&gt;0,($E75-E74-(E76+E78+E77)*0.5)*$F$39/100*IF(E76=1,IF(E76&lt;=2,0,0.83),IF(E76&gt;1,1,0)),0)</f>
        <v>0</v>
      </c>
      <c r="F86" s="38">
        <f t="shared" si="314"/>
        <v>0</v>
      </c>
      <c r="G86" s="38">
        <f t="shared" si="314"/>
        <v>0</v>
      </c>
      <c r="H86" s="38">
        <f t="shared" si="314"/>
        <v>0</v>
      </c>
      <c r="I86" s="38">
        <f t="shared" ref="I86:N86" si="315">IF(I72&gt;0,($E75-I74-(I76+I78+I77)*0.5)*$F$39/100*IF(I76=1,IF(I76&lt;=2,0,0.83),IF(I76&gt;1,1,0)),0)</f>
        <v>0</v>
      </c>
      <c r="J86" s="38">
        <f t="shared" si="315"/>
        <v>0</v>
      </c>
      <c r="K86" s="38">
        <f t="shared" si="315"/>
        <v>0</v>
      </c>
      <c r="L86" s="38">
        <f t="shared" si="315"/>
        <v>0</v>
      </c>
      <c r="M86" s="38">
        <f t="shared" si="315"/>
        <v>0</v>
      </c>
      <c r="N86" s="38">
        <f t="shared" si="315"/>
        <v>0</v>
      </c>
      <c r="O86" s="38">
        <f>SUM(E86:N86)</f>
        <v>0</v>
      </c>
    </row>
    <row r="87" spans="1:15">
      <c r="A87" s="33" t="s">
        <v>113</v>
      </c>
      <c r="B87" s="30"/>
      <c r="C87" s="30"/>
      <c r="D87" s="30"/>
      <c r="E87" s="38">
        <f>+D30*F40/100</f>
        <v>25</v>
      </c>
    </row>
  </sheetData>
  <mergeCells count="12">
    <mergeCell ref="A1:F1"/>
    <mergeCell ref="AF3:AJ3"/>
    <mergeCell ref="BA3:BE3"/>
    <mergeCell ref="AS3:AY3"/>
    <mergeCell ref="A3:A4"/>
    <mergeCell ref="A2:B2"/>
    <mergeCell ref="B3:F3"/>
    <mergeCell ref="H3:L3"/>
    <mergeCell ref="N3:R3"/>
    <mergeCell ref="T3:X3"/>
    <mergeCell ref="Z3:AD3"/>
    <mergeCell ref="AL3:AP3"/>
  </mergeCells>
  <phoneticPr fontId="0" type="noConversion"/>
  <pageMargins left="0.75" right="0.75" top="1" bottom="1" header="0.5" footer="0.5"/>
  <pageSetup scale="5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14"/>
  <sheetViews>
    <sheetView workbookViewId="0">
      <selection activeCell="A3" sqref="A3"/>
    </sheetView>
  </sheetViews>
  <sheetFormatPr defaultRowHeight="12.75"/>
  <cols>
    <col min="1" max="1" width="3.28515625" customWidth="1"/>
    <col min="2" max="2" width="18.5703125" customWidth="1"/>
    <col min="3" max="3" width="13.28515625" customWidth="1"/>
  </cols>
  <sheetData>
    <row r="2" spans="2:3">
      <c r="B2" s="70" t="s">
        <v>69</v>
      </c>
    </row>
    <row r="4" spans="2:3">
      <c r="B4" s="71" t="s">
        <v>64</v>
      </c>
      <c r="C4" s="72">
        <f>1606639*1.1</f>
        <v>1767302.9000000001</v>
      </c>
    </row>
    <row r="5" spans="2:3">
      <c r="C5" s="72"/>
    </row>
    <row r="6" spans="2:3">
      <c r="B6" s="71" t="s">
        <v>65</v>
      </c>
      <c r="C6" s="72">
        <f>2364302*1.1</f>
        <v>2600732.2000000002</v>
      </c>
    </row>
    <row r="7" spans="2:3">
      <c r="C7" s="72"/>
    </row>
    <row r="8" spans="2:3">
      <c r="B8" s="71" t="s">
        <v>66</v>
      </c>
      <c r="C8" s="73">
        <f>1112494*1.1</f>
        <v>1223743.4000000001</v>
      </c>
    </row>
    <row r="9" spans="2:3">
      <c r="C9" s="72"/>
    </row>
    <row r="10" spans="2:3">
      <c r="B10" s="71" t="s">
        <v>67</v>
      </c>
      <c r="C10" s="72">
        <f>2284441*1.1</f>
        <v>2512885.1</v>
      </c>
    </row>
    <row r="11" spans="2:3">
      <c r="C11" s="72"/>
    </row>
    <row r="12" spans="2:3">
      <c r="B12" s="71" t="s">
        <v>68</v>
      </c>
      <c r="C12" s="72">
        <f>1112494*1.1</f>
        <v>1223743.4000000001</v>
      </c>
    </row>
    <row r="13" spans="2:3">
      <c r="C13" s="72"/>
    </row>
    <row r="14" spans="2:3">
      <c r="B14" s="74" t="s">
        <v>30</v>
      </c>
      <c r="C14" s="75">
        <f>SUM(C4:C12)</f>
        <v>9328407.0000000019</v>
      </c>
    </row>
  </sheetData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0DEE2E9B0648644E8FA7253BC7B9D772" ma:contentTypeVersion="0" ma:contentTypeDescription="A content type to manage public (operations) IDB documents" ma:contentTypeScope="" ma:versionID="a5685abb9f78d883561da580be03f66f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678c23e49c7f96c53dbc311b72ecf3c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8be9b3f0-593f-4939-a32e-78bc44e80446}" ma:internalName="TaxCatchAll" ma:showField="CatchAllData" ma:web="eb750629-ec99-4236-a6b1-018c4332f0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8be9b3f0-593f-4939-a32e-78bc44e80446}" ma:internalName="TaxCatchAllLabel" ma:readOnly="true" ma:showField="CatchAllDataLabel" ma:web="eb750629-ec99-4236-a6b1-018c4332f0a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INE/ENE</Division_x0020_or_x0020_Unit>
    <Other_x0020_Author xmlns="9c571b2f-e523-4ab2-ba2e-09e151a03ef4" xsi:nil="true"/>
    <Region xmlns="9c571b2f-e523-4ab2-ba2e-09e151a03ef4" xsi:nil="true"/>
    <IDBDocs_x0020_Number xmlns="9c571b2f-e523-4ab2-ba2e-09e151a03ef4">40344217</IDBDocs_x0020_Number>
    <Document_x0020_Author xmlns="9c571b2f-e523-4ab2-ba2e-09e151a03ef4">Baldivieso, Hector</Document_x0020_Author>
    <Publication_x0020_Type xmlns="9c571b2f-e523-4ab2-ba2e-09e151a03ef4" xsi:nil="true"/>
    <Operation_x0020_Type xmlns="9c571b2f-e523-4ab2-ba2e-09e151a03ef4" xsi:nil="true"/>
    <TaxCatchAll xmlns="9c571b2f-e523-4ab2-ba2e-09e151a03ef4">
      <Value>5</Value>
      <Value>4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NI-L1094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Proposal&lt;/USER_STAGE&gt;&lt;APPROVAL_CODE&gt;DE&lt;/APPROVAL_CODE&gt;&lt;APPROVAL_DESC&gt;Board of Executive Directors&lt;/APPROVAL_DESC&gt;&lt;PD_OBJ_TYPE&gt;0&lt;/PD_OBJ_TYPE&gt;&lt;MAKERECORD&gt;N&lt;/MAKERECORD&gt;&lt;/Data&gt;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EN-ALT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A46F7A79-5C4B-4AC2-A842-E1F7BF57C8F2}"/>
</file>

<file path=customXml/itemProps2.xml><?xml version="1.0" encoding="utf-8"?>
<ds:datastoreItem xmlns:ds="http://schemas.openxmlformats.org/officeDocument/2006/customXml" ds:itemID="{BA65121C-6922-4E78-8529-73E648A7C88F}"/>
</file>

<file path=customXml/itemProps3.xml><?xml version="1.0" encoding="utf-8"?>
<ds:datastoreItem xmlns:ds="http://schemas.openxmlformats.org/officeDocument/2006/customXml" ds:itemID="{E8F16F29-6C02-42FB-BB58-9DA4B79D33BB}"/>
</file>

<file path=customXml/itemProps4.xml><?xml version="1.0" encoding="utf-8"?>
<ds:datastoreItem xmlns:ds="http://schemas.openxmlformats.org/officeDocument/2006/customXml" ds:itemID="{70429832-C2D7-4F9C-8B03-AC381328CE18}"/>
</file>

<file path=customXml/itemProps5.xml><?xml version="1.0" encoding="utf-8"?>
<ds:datastoreItem xmlns:ds="http://schemas.openxmlformats.org/officeDocument/2006/customXml" ds:itemID="{77FCDB2B-31BA-49E4-AB7B-8675BFC8423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Sheet1</vt:lpstr>
      <vt:lpstr>con CTF y GLM en C1</vt:lpstr>
      <vt:lpstr>Resumen Costo - Desembolsos</vt:lpstr>
      <vt:lpstr>Geotermia</vt:lpstr>
      <vt:lpstr>Transmision</vt:lpstr>
      <vt:lpstr>Detalle Subest.</vt:lpstr>
      <vt:lpstr>'con CTF y GLM en C1'!Print_Area</vt:lpstr>
      <vt:lpstr>Geotermia!Print_Area</vt:lpstr>
      <vt:lpstr>Transmision!Print_Area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NI-L1094 -Costos y Financiamiento_v-Jun-13-2016</dc:title>
  <dc:creator>ITS/ITC</dc:creator>
  <cp:lastModifiedBy>CARLOSTR</cp:lastModifiedBy>
  <cp:lastPrinted>2013-03-06T15:11:43Z</cp:lastPrinted>
  <dcterms:created xsi:type="dcterms:W3CDTF">2007-07-03T13:45:09Z</dcterms:created>
  <dcterms:modified xsi:type="dcterms:W3CDTF">2016-07-27T18:43:30Z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0x01010046CF21643EE8D14686A648AA6DAD0892000DEE2E9B0648644E8FA7253BC7B9D772</vt:lpwstr>
  </property>
  <property fmtid="{D5CDD505-2E9C-101B-9397-08002B2CF9AE}" pid="6" name="TaxKeywordTaxHTField">
    <vt:lpwstr/>
  </property>
  <property fmtid="{D5CDD505-2E9C-101B-9397-08002B2CF9AE}" pid="7" name="Series Operations IDB">
    <vt:lpwstr>4;#Unclassified|a6dff32e-d477-44cd-a56b-85efe9e0a56c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4;#Unclassified|a6dff32e-d477-44cd-a56b-85efe9e0a56c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5;#IDBDocs|cca77002-e150-4b2d-ab1f-1d7a7cdcae16</vt:lpwstr>
  </property>
</Properties>
</file>