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TOFE\Documents\Documents\A_URUGUAY\B Ops Preparacion\EC-L1227 Calidad serv sectoriales\Costo beneficio\Analisis economico EC L1227\CALCULOS\"/>
    </mc:Choice>
  </mc:AlternateContent>
  <bookViews>
    <workbookView xWindow="0" yWindow="0" windowWidth="9192" windowHeight="3348" firstSheet="3" activeTab="4" xr2:uid="{00000000-000D-0000-FFFF-FFFF00000000}"/>
  </bookViews>
  <sheets>
    <sheet name="Datos sectoriales Educ y salud" sheetId="1" r:id="rId1"/>
    <sheet name="Planilla de beneficiarios" sheetId="3" r:id="rId2"/>
    <sheet name="Benefs egreso adelantado" sheetId="2" r:id="rId3"/>
    <sheet name="Benefs aumento escolaridad" sheetId="4" r:id="rId4"/>
    <sheet name="Resumen de Beneficios y Costos" sheetId="10" r:id="rId5"/>
    <sheet name="Benefs at prim salud" sheetId="5" r:id="rId6"/>
    <sheet name="OMS AVAD" sheetId="9" r:id="rId7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0" l="1"/>
  <c r="D18" i="10" l="1"/>
  <c r="G17" i="10"/>
  <c r="E18" i="10"/>
  <c r="F18" i="10"/>
  <c r="G16" i="10" l="1"/>
  <c r="G18" i="10" s="1"/>
  <c r="D10" i="10"/>
  <c r="O10" i="10"/>
  <c r="B47" i="2" l="1"/>
  <c r="B46" i="2"/>
  <c r="B45" i="2"/>
  <c r="B44" i="2"/>
  <c r="B43" i="2"/>
  <c r="D30" i="5" l="1"/>
  <c r="E20" i="4"/>
  <c r="I4" i="3"/>
  <c r="I3" i="3"/>
  <c r="O27" i="10" l="1"/>
  <c r="D27" i="10"/>
  <c r="E8" i="10"/>
  <c r="F8" i="10" s="1"/>
  <c r="G8" i="10" s="1"/>
  <c r="H8" i="10" s="1"/>
  <c r="I8" i="10" s="1"/>
  <c r="J8" i="10" s="1"/>
  <c r="K8" i="10" s="1"/>
  <c r="L8" i="10" s="1"/>
  <c r="M8" i="10" s="1"/>
  <c r="N8" i="10" s="1"/>
  <c r="O8" i="10" s="1"/>
  <c r="D22" i="5" l="1"/>
  <c r="B16" i="9"/>
  <c r="D17" i="5"/>
  <c r="D14" i="5"/>
  <c r="C18" i="10" l="1"/>
  <c r="C20" i="10" s="1"/>
  <c r="D5" i="5"/>
  <c r="D6" i="5" s="1"/>
  <c r="D10" i="5" s="1"/>
  <c r="D19" i="5" s="1"/>
  <c r="D20" i="5" s="1"/>
  <c r="D24" i="5" s="1"/>
  <c r="F20" i="1" l="1"/>
  <c r="F19" i="1"/>
  <c r="E12" i="1"/>
  <c r="E13" i="1" s="1"/>
  <c r="E27" i="1" s="1"/>
  <c r="H27" i="1" s="1"/>
  <c r="K6" i="4"/>
  <c r="J6" i="4"/>
  <c r="I6" i="4"/>
  <c r="H6" i="4"/>
  <c r="G6" i="4"/>
  <c r="B12" i="4"/>
  <c r="D36" i="2"/>
  <c r="D34" i="2"/>
  <c r="K5" i="2"/>
  <c r="J5" i="2"/>
  <c r="I5" i="2"/>
  <c r="H5" i="2"/>
  <c r="G5" i="2"/>
  <c r="F5" i="2"/>
  <c r="E5" i="2"/>
  <c r="D5" i="2"/>
  <c r="B20" i="2"/>
  <c r="I5" i="3"/>
  <c r="D8" i="3"/>
  <c r="D16" i="3" s="1"/>
  <c r="F21" i="1" l="1"/>
  <c r="D37" i="2"/>
  <c r="E35" i="4" s="1"/>
  <c r="F23" i="1"/>
  <c r="D45" i="2"/>
  <c r="B10" i="2"/>
  <c r="E45" i="1"/>
  <c r="D16" i="2" s="1"/>
  <c r="D26" i="5" s="1"/>
  <c r="D28" i="5" s="1"/>
  <c r="D32" i="5" s="1"/>
  <c r="E14" i="1"/>
  <c r="E10" i="1" s="1"/>
  <c r="B21" i="2"/>
  <c r="B22" i="2" s="1"/>
  <c r="D7" i="2"/>
  <c r="F7" i="1"/>
  <c r="E8" i="3" s="1"/>
  <c r="E16" i="3" s="1"/>
  <c r="M44" i="2" l="1"/>
  <c r="M43" i="2"/>
  <c r="E46" i="2"/>
  <c r="D33" i="5"/>
  <c r="D12" i="10"/>
  <c r="C12" i="10" s="1"/>
  <c r="N44" i="2"/>
  <c r="E7" i="2"/>
  <c r="E42" i="2" s="1"/>
  <c r="F46" i="2"/>
  <c r="L43" i="2"/>
  <c r="E45" i="2"/>
  <c r="N43" i="2"/>
  <c r="D46" i="2"/>
  <c r="O44" i="2"/>
  <c r="O46" i="2"/>
  <c r="N45" i="2"/>
  <c r="O45" i="2"/>
  <c r="E47" i="2"/>
  <c r="O43" i="2"/>
  <c r="F47" i="2"/>
  <c r="D44" i="2"/>
  <c r="G47" i="2"/>
  <c r="D47" i="2"/>
  <c r="G26" i="1"/>
  <c r="G28" i="1" s="1"/>
  <c r="F12" i="3" s="1"/>
  <c r="F26" i="1"/>
  <c r="F28" i="1" s="1"/>
  <c r="E11" i="3" s="1"/>
  <c r="E26" i="1"/>
  <c r="G7" i="1"/>
  <c r="E19" i="4"/>
  <c r="E10" i="4"/>
  <c r="D4" i="2"/>
  <c r="B11" i="2"/>
  <c r="B13" i="4"/>
  <c r="D42" i="2"/>
  <c r="O21" i="2"/>
  <c r="F24" i="2"/>
  <c r="E23" i="2"/>
  <c r="M20" i="2"/>
  <c r="D22" i="2"/>
  <c r="D24" i="2"/>
  <c r="D23" i="2"/>
  <c r="N20" i="2"/>
  <c r="E24" i="2"/>
  <c r="L20" i="2"/>
  <c r="O20" i="2"/>
  <c r="D21" i="2"/>
  <c r="E22" i="2"/>
  <c r="F23" i="2"/>
  <c r="G24" i="2"/>
  <c r="B23" i="2"/>
  <c r="E4" i="2" l="1"/>
  <c r="F10" i="4"/>
  <c r="F5" i="4" s="1"/>
  <c r="F11" i="3"/>
  <c r="G11" i="3" s="1"/>
  <c r="H11" i="3" s="1"/>
  <c r="G12" i="3"/>
  <c r="H12" i="3" s="1"/>
  <c r="H26" i="1"/>
  <c r="E28" i="1"/>
  <c r="H7" i="1"/>
  <c r="F8" i="3"/>
  <c r="F16" i="3" s="1"/>
  <c r="F7" i="2"/>
  <c r="E21" i="4"/>
  <c r="E5" i="4"/>
  <c r="E24" i="4"/>
  <c r="B12" i="2"/>
  <c r="B14" i="4"/>
  <c r="B24" i="2"/>
  <c r="I12" i="3" l="1"/>
  <c r="I11" i="3"/>
  <c r="F24" i="4"/>
  <c r="H28" i="1"/>
  <c r="D10" i="3"/>
  <c r="I7" i="1"/>
  <c r="G8" i="3"/>
  <c r="G16" i="3" s="1"/>
  <c r="G7" i="2"/>
  <c r="G10" i="4"/>
  <c r="F4" i="2"/>
  <c r="F42" i="2"/>
  <c r="B13" i="2"/>
  <c r="B15" i="4"/>
  <c r="D14" i="3" l="1"/>
  <c r="D17" i="3"/>
  <c r="D18" i="3"/>
  <c r="E10" i="3"/>
  <c r="G24" i="4"/>
  <c r="G5" i="4"/>
  <c r="J7" i="1"/>
  <c r="H8" i="3"/>
  <c r="H16" i="3" s="1"/>
  <c r="H7" i="2"/>
  <c r="H10" i="4"/>
  <c r="G4" i="2"/>
  <c r="G42" i="2"/>
  <c r="B16" i="4"/>
  <c r="D19" i="3" l="1"/>
  <c r="E14" i="3"/>
  <c r="E19" i="3" s="1"/>
  <c r="F10" i="3"/>
  <c r="C12" i="4"/>
  <c r="G12" i="4" s="1"/>
  <c r="C9" i="2"/>
  <c r="I10" i="4"/>
  <c r="H4" i="2"/>
  <c r="H42" i="2"/>
  <c r="H24" i="4"/>
  <c r="H5" i="4"/>
  <c r="K7" i="1"/>
  <c r="I7" i="2"/>
  <c r="E17" i="3" l="1"/>
  <c r="E18" i="3"/>
  <c r="C13" i="4" s="1"/>
  <c r="D9" i="2"/>
  <c r="K9" i="2"/>
  <c r="G9" i="2"/>
  <c r="I9" i="2"/>
  <c r="J9" i="2"/>
  <c r="E9" i="2"/>
  <c r="F9" i="2"/>
  <c r="H9" i="2"/>
  <c r="G17" i="4"/>
  <c r="H12" i="4"/>
  <c r="J12" i="4"/>
  <c r="K12" i="4"/>
  <c r="I12" i="4"/>
  <c r="F14" i="3"/>
  <c r="G10" i="3"/>
  <c r="J10" i="4"/>
  <c r="I4" i="2"/>
  <c r="I42" i="2"/>
  <c r="I24" i="4"/>
  <c r="I5" i="4"/>
  <c r="L7" i="1"/>
  <c r="J7" i="2"/>
  <c r="F19" i="3" l="1"/>
  <c r="C10" i="2"/>
  <c r="L10" i="2" s="1"/>
  <c r="L44" i="2" s="1"/>
  <c r="F17" i="3"/>
  <c r="C11" i="2" s="1"/>
  <c r="F18" i="3"/>
  <c r="C14" i="4" s="1"/>
  <c r="H20" i="2"/>
  <c r="H43" i="2"/>
  <c r="G14" i="3"/>
  <c r="G19" i="3" s="1"/>
  <c r="H10" i="3"/>
  <c r="I10" i="3" s="1"/>
  <c r="F43" i="2"/>
  <c r="F20" i="2"/>
  <c r="G20" i="2"/>
  <c r="G43" i="2"/>
  <c r="E20" i="2"/>
  <c r="E43" i="2"/>
  <c r="K43" i="2"/>
  <c r="K20" i="2"/>
  <c r="K13" i="4"/>
  <c r="J13" i="4"/>
  <c r="I13" i="4"/>
  <c r="L13" i="4"/>
  <c r="H13" i="4"/>
  <c r="H17" i="4" s="1"/>
  <c r="I43" i="2"/>
  <c r="I20" i="2"/>
  <c r="G36" i="4"/>
  <c r="F26" i="4"/>
  <c r="F29" i="4" s="1"/>
  <c r="G27" i="4"/>
  <c r="J20" i="2"/>
  <c r="J43" i="2"/>
  <c r="D43" i="2"/>
  <c r="D20" i="2"/>
  <c r="K10" i="4"/>
  <c r="J4" i="2"/>
  <c r="J42" i="2"/>
  <c r="J24" i="4"/>
  <c r="J5" i="4"/>
  <c r="M7" i="1"/>
  <c r="K7" i="2"/>
  <c r="E27" i="10" l="1"/>
  <c r="E10" i="10"/>
  <c r="C43" i="2"/>
  <c r="C20" i="2"/>
  <c r="H10" i="2"/>
  <c r="H44" i="2" s="1"/>
  <c r="I10" i="2"/>
  <c r="I44" i="2" s="1"/>
  <c r="J10" i="2"/>
  <c r="J21" i="2" s="1"/>
  <c r="E10" i="2"/>
  <c r="E44" i="2" s="1"/>
  <c r="F10" i="2"/>
  <c r="F44" i="2" s="1"/>
  <c r="D25" i="2"/>
  <c r="D48" i="2"/>
  <c r="D11" i="10" s="1"/>
  <c r="G10" i="2"/>
  <c r="G44" i="2" s="1"/>
  <c r="K10" i="2"/>
  <c r="K44" i="2" s="1"/>
  <c r="G18" i="3"/>
  <c r="C15" i="4" s="1"/>
  <c r="G17" i="3"/>
  <c r="C12" i="2" s="1"/>
  <c r="H36" i="4"/>
  <c r="G26" i="4"/>
  <c r="G29" i="4" s="1"/>
  <c r="F10" i="10" s="1"/>
  <c r="H27" i="4"/>
  <c r="L14" i="4"/>
  <c r="M14" i="4"/>
  <c r="J14" i="4"/>
  <c r="K14" i="4"/>
  <c r="I14" i="4"/>
  <c r="I17" i="4" s="1"/>
  <c r="H14" i="3"/>
  <c r="J11" i="2"/>
  <c r="K11" i="2"/>
  <c r="F11" i="2"/>
  <c r="G11" i="2"/>
  <c r="I11" i="2"/>
  <c r="L11" i="2"/>
  <c r="L45" i="2" s="1"/>
  <c r="M11" i="2"/>
  <c r="M45" i="2" s="1"/>
  <c r="H11" i="2"/>
  <c r="L10" i="4"/>
  <c r="K4" i="2"/>
  <c r="K42" i="2"/>
  <c r="K5" i="4"/>
  <c r="K24" i="4"/>
  <c r="N7" i="1"/>
  <c r="L7" i="2"/>
  <c r="L21" i="2"/>
  <c r="D26" i="10" l="1"/>
  <c r="D9" i="10"/>
  <c r="D28" i="10"/>
  <c r="E21" i="2"/>
  <c r="E25" i="2" s="1"/>
  <c r="F21" i="2"/>
  <c r="I21" i="2"/>
  <c r="H21" i="2"/>
  <c r="J44" i="2"/>
  <c r="K21" i="2"/>
  <c r="E48" i="2"/>
  <c r="E11" i="10" s="1"/>
  <c r="G21" i="2"/>
  <c r="F27" i="10"/>
  <c r="H19" i="3"/>
  <c r="I19" i="3" s="1"/>
  <c r="I14" i="3"/>
  <c r="J14" i="3" s="1"/>
  <c r="H17" i="3"/>
  <c r="I17" i="3" s="1"/>
  <c r="H18" i="3"/>
  <c r="I18" i="3" s="1"/>
  <c r="F45" i="2"/>
  <c r="F22" i="2"/>
  <c r="K45" i="2"/>
  <c r="K22" i="2"/>
  <c r="N12" i="2"/>
  <c r="N46" i="2" s="1"/>
  <c r="J12" i="2"/>
  <c r="M12" i="2"/>
  <c r="G12" i="2"/>
  <c r="H12" i="2"/>
  <c r="L12" i="2"/>
  <c r="I12" i="2"/>
  <c r="K12" i="2"/>
  <c r="L22" i="2"/>
  <c r="I45" i="2"/>
  <c r="I22" i="2"/>
  <c r="J45" i="2"/>
  <c r="J22" i="2"/>
  <c r="K15" i="4"/>
  <c r="N15" i="4"/>
  <c r="J15" i="4"/>
  <c r="J17" i="4" s="1"/>
  <c r="M15" i="4"/>
  <c r="L15" i="4"/>
  <c r="H26" i="4"/>
  <c r="H29" i="4" s="1"/>
  <c r="G10" i="10" s="1"/>
  <c r="I36" i="4"/>
  <c r="I27" i="4"/>
  <c r="H45" i="2"/>
  <c r="H22" i="2"/>
  <c r="G45" i="2"/>
  <c r="G22" i="2"/>
  <c r="M10" i="4"/>
  <c r="L42" i="2"/>
  <c r="L24" i="4"/>
  <c r="O7" i="1"/>
  <c r="M7" i="2"/>
  <c r="M22" i="2"/>
  <c r="N21" i="2"/>
  <c r="M21" i="2"/>
  <c r="D13" i="10" l="1"/>
  <c r="E26" i="10"/>
  <c r="E9" i="10"/>
  <c r="D29" i="10"/>
  <c r="C44" i="2"/>
  <c r="C45" i="2"/>
  <c r="C21" i="2"/>
  <c r="E28" i="10"/>
  <c r="C13" i="2"/>
  <c r="C14" i="2" s="1"/>
  <c r="F25" i="2"/>
  <c r="C16" i="4"/>
  <c r="C17" i="4" s="1"/>
  <c r="F48" i="2"/>
  <c r="F11" i="10" s="1"/>
  <c r="G27" i="10"/>
  <c r="N23" i="2"/>
  <c r="K46" i="2"/>
  <c r="K23" i="2"/>
  <c r="G46" i="2"/>
  <c r="G23" i="2"/>
  <c r="I46" i="2"/>
  <c r="I23" i="2"/>
  <c r="M46" i="2"/>
  <c r="M23" i="2"/>
  <c r="L46" i="2"/>
  <c r="L23" i="2"/>
  <c r="J46" i="2"/>
  <c r="J23" i="2"/>
  <c r="J27" i="4"/>
  <c r="J36" i="4"/>
  <c r="I26" i="4"/>
  <c r="I29" i="4" s="1"/>
  <c r="H10" i="10" s="1"/>
  <c r="H46" i="2"/>
  <c r="H23" i="2"/>
  <c r="M24" i="4"/>
  <c r="N10" i="4"/>
  <c r="M42" i="2"/>
  <c r="P7" i="1"/>
  <c r="N7" i="2"/>
  <c r="O22" i="2"/>
  <c r="C22" i="2" s="1"/>
  <c r="N22" i="2"/>
  <c r="O23" i="2"/>
  <c r="E29" i="10" l="1"/>
  <c r="F26" i="10"/>
  <c r="F9" i="10"/>
  <c r="N13" i="2"/>
  <c r="N24" i="2" s="1"/>
  <c r="E13" i="10"/>
  <c r="C46" i="2"/>
  <c r="C23" i="2"/>
  <c r="F28" i="10"/>
  <c r="I13" i="2"/>
  <c r="I47" i="2" s="1"/>
  <c r="M13" i="2"/>
  <c r="M47" i="2" s="1"/>
  <c r="L13" i="2"/>
  <c r="L47" i="2" s="1"/>
  <c r="H13" i="2"/>
  <c r="H24" i="2" s="1"/>
  <c r="K13" i="2"/>
  <c r="K24" i="2" s="1"/>
  <c r="J13" i="2"/>
  <c r="J47" i="2" s="1"/>
  <c r="O13" i="2"/>
  <c r="O47" i="2" s="1"/>
  <c r="L16" i="4"/>
  <c r="L17" i="4" s="1"/>
  <c r="K16" i="4"/>
  <c r="K17" i="4" s="1"/>
  <c r="K27" i="4" s="1"/>
  <c r="N16" i="4"/>
  <c r="N17" i="4" s="1"/>
  <c r="O16" i="4"/>
  <c r="O17" i="4" s="1"/>
  <c r="M16" i="4"/>
  <c r="M17" i="4" s="1"/>
  <c r="G25" i="2"/>
  <c r="G48" i="2"/>
  <c r="G11" i="10" s="1"/>
  <c r="H27" i="10"/>
  <c r="N47" i="2"/>
  <c r="O10" i="4"/>
  <c r="N42" i="2"/>
  <c r="N24" i="4"/>
  <c r="Q7" i="1"/>
  <c r="O7" i="2"/>
  <c r="F13" i="10" l="1"/>
  <c r="G26" i="10"/>
  <c r="G9" i="10"/>
  <c r="H47" i="2"/>
  <c r="H48" i="2" s="1"/>
  <c r="H11" i="10" s="1"/>
  <c r="J24" i="2"/>
  <c r="J25" i="2" s="1"/>
  <c r="M24" i="2"/>
  <c r="M25" i="2" s="1"/>
  <c r="J26" i="4"/>
  <c r="J29" i="4" s="1"/>
  <c r="I24" i="2"/>
  <c r="K47" i="2"/>
  <c r="F29" i="10"/>
  <c r="G28" i="10"/>
  <c r="O24" i="2"/>
  <c r="L24" i="2"/>
  <c r="L25" i="2" s="1"/>
  <c r="K36" i="4"/>
  <c r="K25" i="2"/>
  <c r="M48" i="2"/>
  <c r="L48" i="2"/>
  <c r="N48" i="2"/>
  <c r="N25" i="2"/>
  <c r="H25" i="2"/>
  <c r="O48" i="2"/>
  <c r="I48" i="2"/>
  <c r="I11" i="10" s="1"/>
  <c r="J48" i="2"/>
  <c r="L36" i="4"/>
  <c r="K26" i="4"/>
  <c r="K29" i="4" s="1"/>
  <c r="J10" i="10" s="1"/>
  <c r="L27" i="4"/>
  <c r="O24" i="4"/>
  <c r="O42" i="2"/>
  <c r="G29" i="10" l="1"/>
  <c r="M26" i="10"/>
  <c r="M9" i="10"/>
  <c r="H26" i="10"/>
  <c r="H9" i="10"/>
  <c r="L26" i="10"/>
  <c r="L9" i="10"/>
  <c r="J26" i="10"/>
  <c r="J9" i="10"/>
  <c r="N26" i="10"/>
  <c r="N9" i="10"/>
  <c r="K26" i="10"/>
  <c r="K9" i="10"/>
  <c r="I27" i="10"/>
  <c r="I10" i="10"/>
  <c r="O28" i="10"/>
  <c r="O11" i="10"/>
  <c r="J11" i="10"/>
  <c r="I25" i="2"/>
  <c r="K48" i="2"/>
  <c r="K28" i="10" s="1"/>
  <c r="C24" i="2"/>
  <c r="C25" i="2" s="1"/>
  <c r="C47" i="2"/>
  <c r="H28" i="10"/>
  <c r="G13" i="10"/>
  <c r="J28" i="10"/>
  <c r="I28" i="10"/>
  <c r="O25" i="2"/>
  <c r="C48" i="2"/>
  <c r="C49" i="2" s="1"/>
  <c r="J27" i="10"/>
  <c r="M27" i="4"/>
  <c r="L26" i="4"/>
  <c r="L29" i="4" s="1"/>
  <c r="K10" i="10" s="1"/>
  <c r="M36" i="4"/>
  <c r="L11" i="10" s="1"/>
  <c r="O26" i="10" l="1"/>
  <c r="O9" i="10"/>
  <c r="I26" i="10"/>
  <c r="I29" i="10" s="1"/>
  <c r="I9" i="10"/>
  <c r="I13" i="10" s="1"/>
  <c r="K11" i="10"/>
  <c r="E51" i="2"/>
  <c r="C26" i="10"/>
  <c r="C26" i="2"/>
  <c r="H13" i="10"/>
  <c r="L28" i="10"/>
  <c r="H29" i="10"/>
  <c r="J13" i="10"/>
  <c r="J29" i="10"/>
  <c r="K27" i="10"/>
  <c r="N36" i="4"/>
  <c r="M11" i="10" s="1"/>
  <c r="N27" i="4"/>
  <c r="M26" i="4"/>
  <c r="M29" i="4" s="1"/>
  <c r="L10" i="10" s="1"/>
  <c r="K13" i="10" l="1"/>
  <c r="C9" i="10"/>
  <c r="M28" i="10"/>
  <c r="K29" i="10"/>
  <c r="L27" i="10"/>
  <c r="L13" i="10" s="1"/>
  <c r="O26" i="4"/>
  <c r="O36" i="4"/>
  <c r="N11" i="10" s="1"/>
  <c r="N26" i="4"/>
  <c r="N29" i="4" s="1"/>
  <c r="M10" i="10" s="1"/>
  <c r="O27" i="4"/>
  <c r="E37" i="4" l="1"/>
  <c r="C28" i="10" s="1"/>
  <c r="N28" i="10"/>
  <c r="L29" i="10"/>
  <c r="M27" i="10"/>
  <c r="M13" i="10" s="1"/>
  <c r="O29" i="4"/>
  <c r="N27" i="10" l="1"/>
  <c r="N29" i="10" s="1"/>
  <c r="N10" i="10"/>
  <c r="O29" i="10"/>
  <c r="M29" i="10"/>
  <c r="E30" i="4"/>
  <c r="N13" i="10" l="1"/>
  <c r="C10" i="10"/>
  <c r="O13" i="10"/>
  <c r="C11" i="10"/>
  <c r="C27" i="10"/>
  <c r="C29" i="10" s="1"/>
  <c r="E31" i="4"/>
  <c r="E39" i="4"/>
  <c r="C13" i="10" l="1"/>
  <c r="C23" i="10" l="1"/>
  <c r="C22" i="10"/>
</calcChain>
</file>

<file path=xl/sharedStrings.xml><?xml version="1.0" encoding="utf-8"?>
<sst xmlns="http://schemas.openxmlformats.org/spreadsheetml/2006/main" count="144" uniqueCount="128">
  <si>
    <t>Ingreso mensual laboral medio</t>
  </si>
  <si>
    <t>Número de mensualidades</t>
  </si>
  <si>
    <t>Ratio Estudiante/docente</t>
  </si>
  <si>
    <t>Ingreso anual por persona</t>
  </si>
  <si>
    <t>PERSONAS</t>
  </si>
  <si>
    <t>Ingreso anual medio por persona</t>
  </si>
  <si>
    <t>VAN por persona</t>
  </si>
  <si>
    <t>Total</t>
  </si>
  <si>
    <t>Estudiantes totales</t>
  </si>
  <si>
    <t>Docentes totales</t>
  </si>
  <si>
    <t>Nota: tanto estudiantes como docentes refiere a Educacion Gral Básica (10 años) más Bchillerato (3 años). No incluye educación pre-escolar</t>
  </si>
  <si>
    <t>Numero de Estudiantes beneficiados Año 1</t>
  </si>
  <si>
    <t>Supuestos:</t>
  </si>
  <si>
    <t>Tasa de renovación anual</t>
  </si>
  <si>
    <t>Porcentaje de estudiantes que adelantan egreso del sistema con mismo nivel educativo</t>
  </si>
  <si>
    <t>Porcentaje de estudiantes que egresan con mayor nivel educativo (años escolaridad)</t>
  </si>
  <si>
    <t>Porcentaje de estudiantes que no resulta influido</t>
  </si>
  <si>
    <t>Estudiantes con egreso adelantado</t>
  </si>
  <si>
    <t>Estudiantes con mayor nivel educativo</t>
  </si>
  <si>
    <t>Porcentaje de estudiantes</t>
  </si>
  <si>
    <t>Ingresos anuales incrementales en dólares corrientes</t>
  </si>
  <si>
    <t>Reducción de costos operativos del sistema escolar por menor cantidad de alumnos</t>
  </si>
  <si>
    <t>Cantidad de alumnos totales</t>
  </si>
  <si>
    <t>Gasto corriente promedio por alumno</t>
  </si>
  <si>
    <t>Primaria</t>
  </si>
  <si>
    <t>Secundaria Baja</t>
  </si>
  <si>
    <t>Secundaria Alta</t>
  </si>
  <si>
    <t>Gastos corrientes totales anuales (sobre datos del sistema en 2015)</t>
  </si>
  <si>
    <t>Gastos corrientes anuales evitados por disminución de alumnos</t>
  </si>
  <si>
    <t>Momento de ingreso al mercado laboral de alumnos con contacto en 2018</t>
  </si>
  <si>
    <t>Momento de incidencia en la repetición de alumnos con contacto en 2018</t>
  </si>
  <si>
    <t>CÁLCULO DE BENEFICIOS POR EGRESO ADELANTADO (REDUCCIÓN REPETICIÓN)</t>
  </si>
  <si>
    <t>Número de Personas que ingresan al mercado con mayor escolaridad por efecto del proyecto y momento de ingreso al mercado</t>
  </si>
  <si>
    <t>VAN de los ingresos incrementales</t>
  </si>
  <si>
    <t>Gastos corrientes incrementales</t>
  </si>
  <si>
    <t>Gastos corrientes incrementales en dólares corrientes</t>
  </si>
  <si>
    <t xml:space="preserve">Ingresos de los beneficiarios SIN proyecto </t>
  </si>
  <si>
    <t>Ingresos de los beneficiarios CON proyecto</t>
  </si>
  <si>
    <t>VAN de los gastos incrementales</t>
  </si>
  <si>
    <t>Numero de Docentes Nuevos Perfiles</t>
  </si>
  <si>
    <t>Número docentes desvinculados</t>
  </si>
  <si>
    <t>Ingreso anual medio de beneficiarios Con Proyecto</t>
  </si>
  <si>
    <t>Ingreso anual medio por persona Sin Proyecto</t>
  </si>
  <si>
    <t>Porcentaje de aumento del ingreso promedio anual</t>
  </si>
  <si>
    <t>VAN de los Beneficios Netos por Aumento del nivel educativo</t>
  </si>
  <si>
    <t>Ratio Docente Nuevo/Docentes Antes</t>
  </si>
  <si>
    <t>Beneficios por Aumento del Nivel Educativo de los Estudiantes - Futuros entrantes al mercado laboral</t>
  </si>
  <si>
    <t xml:space="preserve">Nota: Además de los 4.182 docentes que se contratan con nuevos perfiles; habrá un aumento de la calificación del plantel existente de docentes, que pasará de 29,2% a 33% en nivel </t>
  </si>
  <si>
    <t xml:space="preserve">"excelente"o "favorable" en las pruebas "Ser Maestro". Estos 3.8 puntos porcentuales del total de docentes equivale a 8.637 docentes. Esto surge de la Matriz de Resultados </t>
  </si>
  <si>
    <t>Línea de Base</t>
  </si>
  <si>
    <t>Valor meta final</t>
  </si>
  <si>
    <t>Incremento</t>
  </si>
  <si>
    <t>Docentes que suben de nivel en "Ser Maestro"</t>
  </si>
  <si>
    <t>Incremento anual por capacitación</t>
  </si>
  <si>
    <t>Incremento neto por capacitación para fin de Año 3 (2020)</t>
  </si>
  <si>
    <t>Incremento de docentes total</t>
  </si>
  <si>
    <t>Incremento anual por nuevos contratos</t>
  </si>
  <si>
    <t>Número estudiantes con nvos docentes del Año 1</t>
  </si>
  <si>
    <t>Número estudiantes con nvos docentes del Año 2</t>
  </si>
  <si>
    <t>Número estudiantes con nvos docentes del Año 3</t>
  </si>
  <si>
    <t>Total Acumulado</t>
  </si>
  <si>
    <t>Número total de estudiantes con acceso a Docentes con nuevos perfiles</t>
  </si>
  <si>
    <t>EDUCACIÓN</t>
  </si>
  <si>
    <t>SALUD</t>
  </si>
  <si>
    <t>Número de personal de salud desvinculado</t>
  </si>
  <si>
    <t>Número total médicos más enfermeros</t>
  </si>
  <si>
    <t>Médicos y enfermeros con nuevos perfiles</t>
  </si>
  <si>
    <t>Participación de nuevos med y enfermeros</t>
  </si>
  <si>
    <t>% de incidencia en incremento de atenciones</t>
  </si>
  <si>
    <t>% de incremento de prestaciones</t>
  </si>
  <si>
    <t>Población total Ecuador (proyección INEC 2015)</t>
  </si>
  <si>
    <t>Consultas Primer Nivel 2015 Totales</t>
  </si>
  <si>
    <t>Coeficiente de consultas promedio anuales totales</t>
  </si>
  <si>
    <t>Consultas Primer Nivel Preventivas</t>
  </si>
  <si>
    <t>Coeficiente de consultas preventivas promedio anuales</t>
  </si>
  <si>
    <t>Cantidad consultas preventivas con personal nuevo</t>
  </si>
  <si>
    <t> </t>
  </si>
  <si>
    <t>AVAD (por 100,000)</t>
  </si>
  <si>
    <t>Condiciones maternas</t>
  </si>
  <si>
    <t>Diarrea 0-14</t>
  </si>
  <si>
    <t>Enfermedades Niñez</t>
  </si>
  <si>
    <t>Enfermedades Respiratorias</t>
  </si>
  <si>
    <t>Condiciones perinatales</t>
  </si>
  <si>
    <t>Deficiencias nutricionales</t>
  </si>
  <si>
    <t>Diabetes</t>
  </si>
  <si>
    <t>Cardiovascular</t>
  </si>
  <si>
    <t>Total AVAD</t>
  </si>
  <si>
    <t>AVAD cada 100.000 habitantes enfermedades prevenibles</t>
  </si>
  <si>
    <t>AVAD impactados por el proyecto</t>
  </si>
  <si>
    <t>Ingreso anual promedio</t>
  </si>
  <si>
    <t>BENEFICIOS SECTOR SALUD</t>
  </si>
  <si>
    <t>Población abarcada promedio en consultas preventivas</t>
  </si>
  <si>
    <t>Lesiones accidentales</t>
  </si>
  <si>
    <t>Beneficios totales por egreso adelantado</t>
  </si>
  <si>
    <t>Estudiantes sin cambio educativo-laboral</t>
  </si>
  <si>
    <t>Resumen de Beneficios y Costos</t>
  </si>
  <si>
    <t>Incremento de ingresos por egreso adelantado</t>
  </si>
  <si>
    <t>Incremento de ingresos por mayor nivel educativo</t>
  </si>
  <si>
    <t>Incremento de gastos operativos sector educación</t>
  </si>
  <si>
    <t>VAN</t>
  </si>
  <si>
    <t>Totales</t>
  </si>
  <si>
    <t>Ingresos incrementales de los beneficiarios en valores presentes calculados al año de ingreso al mercado</t>
  </si>
  <si>
    <t>Gasto corriente anual promedio por alumno</t>
  </si>
  <si>
    <t>Beneficio incremental total Sector Educación</t>
  </si>
  <si>
    <t>Van por persona</t>
  </si>
  <si>
    <t>Cuadro. Años de Vida Ajustados por Discapacidad para las principales enfermedades y condiciones del perfil epidemiológico del Ecuador a ser cubierto por el Proyecto</t>
  </si>
  <si>
    <t>Valor económico de los AVAD</t>
  </si>
  <si>
    <t>Porcentaje de atribución de los AVAD al Proyecto</t>
  </si>
  <si>
    <t>Beneficio económico bruto del Proyecto en Sector Salud</t>
  </si>
  <si>
    <t>SECTOR EDUCACIÓN</t>
  </si>
  <si>
    <t>Valor de los AVAD evitados</t>
  </si>
  <si>
    <t>BENEFICIOS</t>
  </si>
  <si>
    <t>COSTOS</t>
  </si>
  <si>
    <t>Beneficios incrementales totales</t>
  </si>
  <si>
    <t>Costos incrementales totales</t>
  </si>
  <si>
    <t>Razón B-C</t>
  </si>
  <si>
    <t>PROYECTO en su CONJUNTO</t>
  </si>
  <si>
    <t>Porcentaje de beneficiarios que egresan antes</t>
  </si>
  <si>
    <t>Porcentaje de beneficiarios que suben nivel</t>
  </si>
  <si>
    <t>Porcentaje de aumento del ingreso laboral</t>
  </si>
  <si>
    <t>Porcentaje de atribución de los AVAD al proyecto</t>
  </si>
  <si>
    <t>VARIABLES SELECCIONADAS PARA EL ANÁLISIS DE SENSIBILIDAD</t>
  </si>
  <si>
    <t>SECTOR SALUD</t>
  </si>
  <si>
    <t>VAN del Beneficio economico</t>
  </si>
  <si>
    <t>VPN de los Costos</t>
  </si>
  <si>
    <t>VAN del PROYECTO (12%)</t>
  </si>
  <si>
    <t>Aportes BID</t>
  </si>
  <si>
    <t>Aporte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</si>
</sst>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  <numFmt numFmtId="167" formatCode="0.000"/>
    <numFmt numFmtId="168" formatCode="0.0"/>
    <numFmt numFmtId="169" formatCode="_(&quot;$&quot;* #,##0_);_(&quot;$&quot;* \(#,##0\);_(&quot;$&quot;* &quot;-&quot;??_);_(@_)"/>
    <numFmt numFmtId="170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u/>
      <sz val="11"/>
      <color theme="1"/>
      <name val="Calibri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0" fillId="2" borderId="0" xfId="0" applyFill="1"/>
    <xf numFmtId="8" fontId="0" fillId="0" borderId="0" xfId="0" applyNumberFormat="1"/>
    <xf numFmtId="164" fontId="0" fillId="0" borderId="0" xfId="1" applyNumberFormat="1" applyFont="1"/>
    <xf numFmtId="165" fontId="0" fillId="0" borderId="0" xfId="1" applyNumberFormat="1" applyFont="1"/>
    <xf numFmtId="9" fontId="0" fillId="2" borderId="0" xfId="0" applyNumberFormat="1" applyFill="1"/>
    <xf numFmtId="165" fontId="0" fillId="2" borderId="0" xfId="1" applyNumberFormat="1" applyFont="1" applyFill="1"/>
    <xf numFmtId="0" fontId="0" fillId="0" borderId="0" xfId="0" applyFill="1"/>
    <xf numFmtId="165" fontId="0" fillId="0" borderId="0" xfId="0" applyNumberFormat="1" applyFill="1"/>
    <xf numFmtId="165" fontId="0" fillId="0" borderId="0" xfId="0" applyNumberFormat="1"/>
    <xf numFmtId="43" fontId="0" fillId="0" borderId="0" xfId="0" applyNumberFormat="1"/>
    <xf numFmtId="9" fontId="0" fillId="0" borderId="0" xfId="0" applyNumberFormat="1"/>
    <xf numFmtId="166" fontId="0" fillId="0" borderId="0" xfId="0" applyNumberFormat="1"/>
    <xf numFmtId="43" fontId="0" fillId="0" borderId="0" xfId="1" applyFont="1"/>
    <xf numFmtId="0" fontId="0" fillId="0" borderId="0" xfId="0" applyAlignment="1">
      <alignment horizontal="center" vertical="center"/>
    </xf>
    <xf numFmtId="9" fontId="0" fillId="0" borderId="0" xfId="2" applyFont="1"/>
    <xf numFmtId="43" fontId="0" fillId="0" borderId="0" xfId="1" applyNumberFormat="1" applyFont="1"/>
    <xf numFmtId="0" fontId="2" fillId="0" borderId="0" xfId="0" applyFont="1"/>
    <xf numFmtId="38" fontId="0" fillId="0" borderId="0" xfId="0" applyNumberFormat="1"/>
    <xf numFmtId="165" fontId="2" fillId="0" borderId="0" xfId="0" applyNumberFormat="1" applyFont="1"/>
    <xf numFmtId="43" fontId="0" fillId="2" borderId="0" xfId="1" applyNumberFormat="1" applyFont="1" applyFill="1"/>
    <xf numFmtId="165" fontId="0" fillId="0" borderId="0" xfId="1" applyNumberFormat="1" applyFont="1" applyFill="1"/>
    <xf numFmtId="166" fontId="0" fillId="2" borderId="0" xfId="2" applyNumberFormat="1" applyFont="1" applyFill="1"/>
    <xf numFmtId="9" fontId="0" fillId="2" borderId="0" xfId="2" applyFont="1" applyFill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10" fontId="0" fillId="0" borderId="0" xfId="2" applyNumberFormat="1" applyFont="1"/>
    <xf numFmtId="10" fontId="0" fillId="0" borderId="0" xfId="0" applyNumberFormat="1"/>
    <xf numFmtId="167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/>
    <xf numFmtId="165" fontId="2" fillId="0" borderId="0" xfId="1" applyNumberFormat="1" applyFont="1"/>
    <xf numFmtId="168" fontId="0" fillId="0" borderId="0" xfId="0" applyNumberFormat="1"/>
    <xf numFmtId="2" fontId="2" fillId="0" borderId="0" xfId="0" applyNumberFormat="1" applyFont="1"/>
    <xf numFmtId="0" fontId="0" fillId="0" borderId="0" xfId="0"/>
    <xf numFmtId="9" fontId="0" fillId="0" borderId="0" xfId="0" applyNumberFormat="1" applyFill="1"/>
    <xf numFmtId="9" fontId="0" fillId="0" borderId="0" xfId="2" applyFont="1" applyFill="1"/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165" fontId="4" fillId="0" borderId="0" xfId="1" applyNumberFormat="1" applyFont="1"/>
    <xf numFmtId="165" fontId="4" fillId="0" borderId="0" xfId="0" applyNumberFormat="1" applyFont="1"/>
    <xf numFmtId="0" fontId="5" fillId="0" borderId="0" xfId="0" applyFont="1"/>
    <xf numFmtId="6" fontId="4" fillId="0" borderId="0" xfId="0" applyNumberFormat="1" applyFont="1"/>
    <xf numFmtId="6" fontId="5" fillId="0" borderId="0" xfId="0" applyNumberFormat="1" applyFont="1"/>
    <xf numFmtId="2" fontId="5" fillId="0" borderId="0" xfId="0" applyNumberFormat="1" applyFont="1"/>
    <xf numFmtId="43" fontId="4" fillId="0" borderId="0" xfId="0" applyNumberFormat="1" applyFont="1"/>
    <xf numFmtId="165" fontId="5" fillId="0" borderId="0" xfId="0" applyNumberFormat="1" applyFont="1"/>
    <xf numFmtId="9" fontId="4" fillId="0" borderId="0" xfId="0" applyNumberFormat="1" applyFont="1"/>
    <xf numFmtId="9" fontId="4" fillId="2" borderId="0" xfId="0" applyNumberFormat="1" applyFont="1" applyFill="1"/>
    <xf numFmtId="0" fontId="3" fillId="0" borderId="1" xfId="0" applyFont="1" applyBorder="1" applyAlignment="1">
      <alignment horizontal="center"/>
    </xf>
    <xf numFmtId="0" fontId="7" fillId="0" borderId="0" xfId="0" applyFont="1"/>
    <xf numFmtId="165" fontId="3" fillId="0" borderId="0" xfId="1" applyNumberFormat="1" applyFont="1"/>
    <xf numFmtId="165" fontId="3" fillId="0" borderId="0" xfId="0" applyNumberFormat="1" applyFont="1"/>
    <xf numFmtId="169" fontId="3" fillId="0" borderId="0" xfId="3" applyNumberFormat="1" applyFont="1"/>
    <xf numFmtId="169" fontId="0" fillId="0" borderId="0" xfId="3" applyNumberFormat="1" applyFont="1"/>
    <xf numFmtId="169" fontId="2" fillId="0" borderId="0" xfId="3" applyNumberFormat="1" applyFont="1"/>
    <xf numFmtId="0" fontId="3" fillId="0" borderId="0" xfId="0" applyFont="1"/>
    <xf numFmtId="165" fontId="4" fillId="0" borderId="2" xfId="1" applyNumberFormat="1" applyFont="1" applyBorder="1"/>
    <xf numFmtId="165" fontId="4" fillId="0" borderId="3" xfId="1" applyNumberFormat="1" applyFont="1" applyBorder="1"/>
    <xf numFmtId="6" fontId="5" fillId="0" borderId="4" xfId="0" applyNumberFormat="1" applyFont="1" applyBorder="1"/>
    <xf numFmtId="0" fontId="0" fillId="0" borderId="0" xfId="0" applyFont="1"/>
    <xf numFmtId="170" fontId="0" fillId="0" borderId="0" xfId="0" applyNumberFormat="1"/>
    <xf numFmtId="165" fontId="3" fillId="0" borderId="0" xfId="1" applyNumberFormat="1" applyFont="1" applyFill="1"/>
    <xf numFmtId="166" fontId="0" fillId="2" borderId="0" xfId="0" applyNumberFormat="1" applyFont="1" applyFill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Q46"/>
  <sheetViews>
    <sheetView topLeftCell="A27" workbookViewId="0">
      <selection activeCell="E34" sqref="E34"/>
    </sheetView>
  </sheetViews>
  <sheetFormatPr defaultRowHeight="14.4" x14ac:dyDescent="0.3"/>
  <cols>
    <col min="5" max="5" width="12.5546875" bestFit="1" customWidth="1"/>
    <col min="6" max="6" width="10.21875" bestFit="1" customWidth="1"/>
    <col min="7" max="7" width="9.109375" bestFit="1" customWidth="1"/>
    <col min="8" max="8" width="11" customWidth="1"/>
  </cols>
  <sheetData>
    <row r="7" spans="1:17" x14ac:dyDescent="0.3">
      <c r="E7">
        <v>2018</v>
      </c>
      <c r="F7">
        <f>E7+1</f>
        <v>2019</v>
      </c>
      <c r="G7">
        <f t="shared" ref="G7:Q7" si="0">F7+1</f>
        <v>2020</v>
      </c>
      <c r="H7">
        <f t="shared" si="0"/>
        <v>2021</v>
      </c>
      <c r="I7">
        <f t="shared" si="0"/>
        <v>2022</v>
      </c>
      <c r="J7">
        <f t="shared" si="0"/>
        <v>2023</v>
      </c>
      <c r="K7">
        <f t="shared" si="0"/>
        <v>2024</v>
      </c>
      <c r="L7">
        <f t="shared" si="0"/>
        <v>2025</v>
      </c>
      <c r="M7">
        <f t="shared" si="0"/>
        <v>2026</v>
      </c>
      <c r="N7">
        <f t="shared" si="0"/>
        <v>2027</v>
      </c>
      <c r="O7">
        <f t="shared" si="0"/>
        <v>2028</v>
      </c>
      <c r="P7">
        <f t="shared" si="0"/>
        <v>2029</v>
      </c>
      <c r="Q7">
        <f t="shared" si="0"/>
        <v>2030</v>
      </c>
    </row>
    <row r="8" spans="1:17" x14ac:dyDescent="0.3">
      <c r="A8" t="s">
        <v>62</v>
      </c>
    </row>
    <row r="10" spans="1:17" x14ac:dyDescent="0.3">
      <c r="A10" t="s">
        <v>11</v>
      </c>
      <c r="E10" s="21">
        <f>E13*E14</f>
        <v>85151.909461009316</v>
      </c>
    </row>
    <row r="11" spans="1:17" x14ac:dyDescent="0.3">
      <c r="A11" t="s">
        <v>40</v>
      </c>
      <c r="E11" s="6">
        <v>2715</v>
      </c>
    </row>
    <row r="12" spans="1:17" x14ac:dyDescent="0.3">
      <c r="A12" t="s">
        <v>45</v>
      </c>
      <c r="E12" s="20">
        <f>2600/1535</f>
        <v>1.6938110749185669</v>
      </c>
    </row>
    <row r="13" spans="1:17" x14ac:dyDescent="0.3">
      <c r="A13" t="s">
        <v>39</v>
      </c>
      <c r="E13" s="21">
        <f>E11*E12</f>
        <v>4598.6970684039088</v>
      </c>
    </row>
    <row r="14" spans="1:17" x14ac:dyDescent="0.3">
      <c r="A14" t="s">
        <v>2</v>
      </c>
      <c r="E14" s="3">
        <f>E15/E16</f>
        <v>18.516529398307025</v>
      </c>
    </row>
    <row r="15" spans="1:17" x14ac:dyDescent="0.3">
      <c r="B15" t="s">
        <v>8</v>
      </c>
      <c r="E15" s="6">
        <v>4208659</v>
      </c>
    </row>
    <row r="16" spans="1:17" x14ac:dyDescent="0.3">
      <c r="B16" t="s">
        <v>9</v>
      </c>
      <c r="E16" s="6">
        <v>227292</v>
      </c>
    </row>
    <row r="17" spans="1:8" x14ac:dyDescent="0.3">
      <c r="E17" s="21"/>
    </row>
    <row r="18" spans="1:8" x14ac:dyDescent="0.3">
      <c r="A18" t="s">
        <v>52</v>
      </c>
      <c r="E18" s="21"/>
    </row>
    <row r="19" spans="1:8" x14ac:dyDescent="0.3">
      <c r="B19" t="s">
        <v>49</v>
      </c>
      <c r="E19" s="22">
        <v>0.29199999999999998</v>
      </c>
      <c r="F19" s="10">
        <f>$E$16*E19</f>
        <v>66369.263999999996</v>
      </c>
    </row>
    <row r="20" spans="1:8" x14ac:dyDescent="0.3">
      <c r="B20" t="s">
        <v>50</v>
      </c>
      <c r="E20" s="23">
        <v>0.33</v>
      </c>
      <c r="F20" s="10">
        <f>$E$16*E20</f>
        <v>75006.36</v>
      </c>
    </row>
    <row r="21" spans="1:8" x14ac:dyDescent="0.3">
      <c r="B21" t="s">
        <v>51</v>
      </c>
      <c r="E21" s="21"/>
      <c r="F21" s="9">
        <f>F20-F19</f>
        <v>8637.096000000005</v>
      </c>
    </row>
    <row r="22" spans="1:8" x14ac:dyDescent="0.3">
      <c r="E22" s="21"/>
    </row>
    <row r="23" spans="1:8" x14ac:dyDescent="0.3">
      <c r="A23" t="s">
        <v>54</v>
      </c>
      <c r="E23" s="21"/>
      <c r="F23" s="9">
        <f>F21-E13</f>
        <v>4038.3989315960962</v>
      </c>
    </row>
    <row r="24" spans="1:8" x14ac:dyDescent="0.3">
      <c r="E24" s="21"/>
      <c r="F24" s="9"/>
    </row>
    <row r="25" spans="1:8" ht="28.8" x14ac:dyDescent="0.3">
      <c r="E25" s="21">
        <v>2018</v>
      </c>
      <c r="F25" s="4">
        <v>2019</v>
      </c>
      <c r="G25" s="4">
        <v>2020</v>
      </c>
      <c r="H25" s="24" t="s">
        <v>60</v>
      </c>
    </row>
    <row r="26" spans="1:8" x14ac:dyDescent="0.3">
      <c r="A26" t="s">
        <v>53</v>
      </c>
      <c r="E26" s="4">
        <f>$F$23/3</f>
        <v>1346.1329771986987</v>
      </c>
      <c r="F26" s="4">
        <f t="shared" ref="F26:G26" si="1">$F$23/3</f>
        <v>1346.1329771986987</v>
      </c>
      <c r="G26" s="4">
        <f t="shared" si="1"/>
        <v>1346.1329771986987</v>
      </c>
      <c r="H26" s="9">
        <f>SUM(E26:G26)</f>
        <v>4038.3989315960962</v>
      </c>
    </row>
    <row r="27" spans="1:8" x14ac:dyDescent="0.3">
      <c r="A27" t="s">
        <v>56</v>
      </c>
      <c r="E27" s="21">
        <f>E13</f>
        <v>4598.6970684039088</v>
      </c>
      <c r="F27" s="4"/>
      <c r="G27" s="4"/>
      <c r="H27" s="9">
        <f t="shared" ref="H27:H28" si="2">SUM(E27:G27)</f>
        <v>4598.6970684039088</v>
      </c>
    </row>
    <row r="28" spans="1:8" x14ac:dyDescent="0.3">
      <c r="A28" t="s">
        <v>55</v>
      </c>
      <c r="E28" s="21">
        <f>SUM(E26:E27)</f>
        <v>5944.8300456026072</v>
      </c>
      <c r="F28" s="21">
        <f t="shared" ref="F28:G28" si="3">SUM(F26:F27)</f>
        <v>1346.1329771986987</v>
      </c>
      <c r="G28" s="21">
        <f t="shared" si="3"/>
        <v>1346.1329771986987</v>
      </c>
      <c r="H28" s="19">
        <f t="shared" si="2"/>
        <v>8637.096000000005</v>
      </c>
    </row>
    <row r="29" spans="1:8" x14ac:dyDescent="0.3">
      <c r="E29" s="21"/>
      <c r="F29" s="4"/>
      <c r="G29" s="4"/>
      <c r="H29" s="4"/>
    </row>
    <row r="30" spans="1:8" x14ac:dyDescent="0.3">
      <c r="E30" s="21"/>
      <c r="F30" s="4"/>
      <c r="G30" s="4"/>
      <c r="H30" s="4"/>
    </row>
    <row r="31" spans="1:8" x14ac:dyDescent="0.3">
      <c r="A31" t="s">
        <v>63</v>
      </c>
      <c r="E31" s="21"/>
      <c r="F31" s="4"/>
      <c r="G31" s="4"/>
      <c r="H31" s="4"/>
    </row>
    <row r="32" spans="1:8" x14ac:dyDescent="0.3">
      <c r="E32" s="21"/>
      <c r="F32" s="4"/>
      <c r="G32" s="4"/>
      <c r="H32" s="4"/>
    </row>
    <row r="33" spans="1:8" x14ac:dyDescent="0.3">
      <c r="A33" t="s">
        <v>64</v>
      </c>
      <c r="E33" s="21">
        <v>931</v>
      </c>
      <c r="F33" s="4"/>
      <c r="G33" s="4"/>
      <c r="H33" s="4"/>
    </row>
    <row r="34" spans="1:8" x14ac:dyDescent="0.3">
      <c r="A34" t="s">
        <v>65</v>
      </c>
      <c r="E34" s="21">
        <v>46305</v>
      </c>
      <c r="F34" s="4"/>
      <c r="G34" s="4"/>
      <c r="H34" s="4"/>
    </row>
    <row r="35" spans="1:8" x14ac:dyDescent="0.3">
      <c r="E35" s="21"/>
      <c r="F35" s="4"/>
      <c r="G35" s="4"/>
      <c r="H35" s="4"/>
    </row>
    <row r="36" spans="1:8" x14ac:dyDescent="0.3">
      <c r="E36" s="21"/>
      <c r="F36" s="10"/>
      <c r="G36" s="10"/>
      <c r="H36" s="10"/>
    </row>
    <row r="37" spans="1:8" x14ac:dyDescent="0.3">
      <c r="A37" t="s">
        <v>10</v>
      </c>
    </row>
    <row r="39" spans="1:8" x14ac:dyDescent="0.3">
      <c r="A39" t="s">
        <v>47</v>
      </c>
    </row>
    <row r="40" spans="1:8" x14ac:dyDescent="0.3">
      <c r="B40" t="s">
        <v>48</v>
      </c>
    </row>
    <row r="41" spans="1:8" x14ac:dyDescent="0.3">
      <c r="E41" s="8"/>
    </row>
    <row r="42" spans="1:8" x14ac:dyDescent="0.3">
      <c r="E42" s="7"/>
    </row>
    <row r="43" spans="1:8" x14ac:dyDescent="0.3">
      <c r="A43" t="s">
        <v>0</v>
      </c>
      <c r="E43" s="1">
        <v>325.08</v>
      </c>
    </row>
    <row r="44" spans="1:8" x14ac:dyDescent="0.3">
      <c r="A44" t="s">
        <v>1</v>
      </c>
      <c r="E44" s="1">
        <v>14</v>
      </c>
    </row>
    <row r="45" spans="1:8" x14ac:dyDescent="0.3">
      <c r="A45" t="s">
        <v>3</v>
      </c>
      <c r="E45" s="13">
        <f>E43*E44</f>
        <v>4551.12</v>
      </c>
    </row>
    <row r="46" spans="1:8" x14ac:dyDescent="0.3">
      <c r="E46" s="10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workbookViewId="0">
      <selection activeCell="I17" sqref="I17"/>
    </sheetView>
  </sheetViews>
  <sheetFormatPr defaultRowHeight="14.4" x14ac:dyDescent="0.3"/>
  <cols>
    <col min="3" max="3" width="24.109375" customWidth="1"/>
    <col min="4" max="4" width="10.21875" bestFit="1" customWidth="1"/>
    <col min="5" max="5" width="10.44140625" bestFit="1" customWidth="1"/>
    <col min="6" max="7" width="10.109375" bestFit="1" customWidth="1"/>
    <col min="8" max="13" width="9.109375" bestFit="1" customWidth="1"/>
  </cols>
  <sheetData>
    <row r="1" spans="1:13" x14ac:dyDescent="0.3">
      <c r="A1" t="s">
        <v>12</v>
      </c>
    </row>
    <row r="2" spans="1:13" x14ac:dyDescent="0.3">
      <c r="A2" t="s">
        <v>13</v>
      </c>
      <c r="D2" s="5">
        <v>0.6</v>
      </c>
    </row>
    <row r="3" spans="1:13" x14ac:dyDescent="0.3">
      <c r="A3" t="s">
        <v>14</v>
      </c>
      <c r="I3" s="41">
        <f>'Resumen de Beneficios y Costos'!C34</f>
        <v>0.12</v>
      </c>
    </row>
    <row r="4" spans="1:13" x14ac:dyDescent="0.3">
      <c r="A4" t="s">
        <v>15</v>
      </c>
      <c r="I4" s="41">
        <f>'Resumen de Beneficios y Costos'!C35</f>
        <v>0.48</v>
      </c>
    </row>
    <row r="5" spans="1:13" x14ac:dyDescent="0.3">
      <c r="A5" t="s">
        <v>16</v>
      </c>
      <c r="I5" s="11">
        <f>100%-I3-I4</f>
        <v>0.4</v>
      </c>
    </row>
    <row r="8" spans="1:13" x14ac:dyDescent="0.3">
      <c r="D8" s="31">
        <f>'Datos sectoriales Educ y salud'!E7</f>
        <v>2018</v>
      </c>
      <c r="E8" s="31">
        <f>'Datos sectoriales Educ y salud'!F7</f>
        <v>2019</v>
      </c>
      <c r="F8" s="31">
        <f>'Datos sectoriales Educ y salud'!G7</f>
        <v>2020</v>
      </c>
      <c r="G8" s="31">
        <f>'Datos sectoriales Educ y salud'!H7</f>
        <v>2021</v>
      </c>
      <c r="H8" s="31">
        <f>'Datos sectoriales Educ y salud'!I7</f>
        <v>2022</v>
      </c>
      <c r="I8" s="31" t="s">
        <v>7</v>
      </c>
    </row>
    <row r="10" spans="1:13" x14ac:dyDescent="0.3">
      <c r="A10" t="s">
        <v>57</v>
      </c>
      <c r="D10" s="4">
        <f>'Datos sectoriales Educ y salud'!E28*'Datos sectoriales Educ y salud'!E14</f>
        <v>110077.62030733957</v>
      </c>
      <c r="E10" s="9">
        <f>D10*$D$2</f>
        <v>66046.572184403747</v>
      </c>
      <c r="F10" s="9">
        <f t="shared" ref="F10:H12" si="0">E10*$D$2</f>
        <v>39627.943310642244</v>
      </c>
      <c r="G10" s="9">
        <f t="shared" si="0"/>
        <v>23776.765986385344</v>
      </c>
      <c r="H10" s="9">
        <f t="shared" si="0"/>
        <v>14266.059591831206</v>
      </c>
      <c r="I10" s="9">
        <f>SUM(D10:H10)</f>
        <v>253794.96138060209</v>
      </c>
      <c r="J10" s="9"/>
      <c r="K10" s="9"/>
      <c r="L10" s="9"/>
      <c r="M10" s="9"/>
    </row>
    <row r="11" spans="1:13" x14ac:dyDescent="0.3">
      <c r="A11" t="s">
        <v>58</v>
      </c>
      <c r="E11" s="4">
        <f>'Datos sectoriales Educ y salud'!F28*'Datos sectoriales Educ y salud'!E14</f>
        <v>24925.710846330265</v>
      </c>
      <c r="F11" s="4">
        <f t="shared" si="0"/>
        <v>14955.426507798158</v>
      </c>
      <c r="G11" s="4">
        <f t="shared" si="0"/>
        <v>8973.2559046788938</v>
      </c>
      <c r="H11" s="4">
        <f t="shared" si="0"/>
        <v>5383.9535428073359</v>
      </c>
      <c r="I11" s="9">
        <f t="shared" ref="I11:I14" si="1">SUM(D11:H11)</f>
        <v>54238.346801614658</v>
      </c>
      <c r="J11" s="4"/>
      <c r="K11" s="4"/>
      <c r="L11" s="4"/>
      <c r="M11" s="4"/>
    </row>
    <row r="12" spans="1:13" x14ac:dyDescent="0.3">
      <c r="A12" t="s">
        <v>59</v>
      </c>
      <c r="E12" s="4"/>
      <c r="F12" s="4">
        <f>'Datos sectoriales Educ y salud'!G28*'Datos sectoriales Educ y salud'!E14</f>
        <v>24925.710846330265</v>
      </c>
      <c r="G12" s="4">
        <f t="shared" si="0"/>
        <v>14955.426507798158</v>
      </c>
      <c r="H12" s="4">
        <f t="shared" si="0"/>
        <v>8973.2559046788938</v>
      </c>
      <c r="I12" s="9">
        <f t="shared" si="1"/>
        <v>48854.393258807322</v>
      </c>
      <c r="J12" s="4"/>
      <c r="K12" s="4"/>
      <c r="L12" s="4"/>
      <c r="M12" s="4"/>
    </row>
    <row r="13" spans="1:13" s="32" customFormat="1" x14ac:dyDescent="0.3">
      <c r="D13" s="33">
        <v>2018</v>
      </c>
      <c r="E13" s="34">
        <v>2019</v>
      </c>
      <c r="F13" s="34">
        <v>2020</v>
      </c>
      <c r="G13" s="34">
        <v>2021</v>
      </c>
      <c r="H13" s="34">
        <v>2022</v>
      </c>
      <c r="I13" s="35" t="s">
        <v>7</v>
      </c>
      <c r="J13" s="4"/>
      <c r="K13" s="4"/>
      <c r="L13" s="4"/>
      <c r="M13" s="4"/>
    </row>
    <row r="14" spans="1:13" ht="24" customHeight="1" x14ac:dyDescent="0.3">
      <c r="A14" s="72" t="s">
        <v>61</v>
      </c>
      <c r="B14" s="72"/>
      <c r="C14" s="72"/>
      <c r="D14" s="36">
        <f>SUM(D10:D12)</f>
        <v>110077.62030733957</v>
      </c>
      <c r="E14" s="36">
        <f t="shared" ref="E14:H14" si="2">SUM(E10:E12)</f>
        <v>90972.283030734019</v>
      </c>
      <c r="F14" s="36">
        <f t="shared" si="2"/>
        <v>79509.080664770678</v>
      </c>
      <c r="G14" s="36">
        <f t="shared" si="2"/>
        <v>47705.448398862398</v>
      </c>
      <c r="H14" s="36">
        <f t="shared" si="2"/>
        <v>28623.269039317434</v>
      </c>
      <c r="I14" s="36">
        <f t="shared" si="1"/>
        <v>356887.70144102408</v>
      </c>
      <c r="J14" s="10">
        <f>I14/'Datos sectoriales Educ y salud'!H28</f>
        <v>41.320335149803114</v>
      </c>
      <c r="K14" s="9"/>
      <c r="L14" s="9"/>
      <c r="M14" s="9"/>
    </row>
    <row r="15" spans="1:13" ht="27" customHeight="1" x14ac:dyDescent="0.3">
      <c r="A15" s="25"/>
      <c r="B15" s="25"/>
      <c r="C15" s="25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3">
      <c r="A16" s="73"/>
      <c r="B16" s="73"/>
      <c r="C16" s="73"/>
      <c r="D16" s="31">
        <f>D8</f>
        <v>2018</v>
      </c>
      <c r="E16" s="31">
        <f t="shared" ref="E16:H16" si="3">E8</f>
        <v>2019</v>
      </c>
      <c r="F16" s="31">
        <f t="shared" si="3"/>
        <v>2020</v>
      </c>
      <c r="G16" s="31">
        <f t="shared" si="3"/>
        <v>2021</v>
      </c>
      <c r="H16" s="31">
        <f t="shared" si="3"/>
        <v>2022</v>
      </c>
      <c r="I16" s="31" t="s">
        <v>7</v>
      </c>
    </row>
    <row r="17" spans="1:13" x14ac:dyDescent="0.3">
      <c r="A17" t="s">
        <v>17</v>
      </c>
      <c r="D17" s="9">
        <f>D14*$I$3</f>
        <v>13209.314436880748</v>
      </c>
      <c r="E17" s="9">
        <f>E14*$I$3</f>
        <v>10916.673963688081</v>
      </c>
      <c r="F17" s="9">
        <f>F14*$I$3</f>
        <v>9541.0896797724818</v>
      </c>
      <c r="G17" s="9">
        <f>G14*$I$3</f>
        <v>5724.6538078634876</v>
      </c>
      <c r="H17" s="9">
        <f>H14*$I$3</f>
        <v>3434.7922847180921</v>
      </c>
      <c r="I17" s="9">
        <f t="shared" ref="I17:I19" si="4">SUM(D17:H17)</f>
        <v>42826.524172922887</v>
      </c>
      <c r="J17" s="9"/>
      <c r="K17" s="9"/>
      <c r="L17" s="9"/>
      <c r="M17" s="9"/>
    </row>
    <row r="18" spans="1:13" x14ac:dyDescent="0.3">
      <c r="A18" t="s">
        <v>18</v>
      </c>
      <c r="D18" s="9">
        <f>D14*$I$4</f>
        <v>52837.257747522992</v>
      </c>
      <c r="E18" s="9">
        <f>E14*$I$4</f>
        <v>43666.695854752325</v>
      </c>
      <c r="F18" s="9">
        <f>F14*$I$4</f>
        <v>38164.358719089927</v>
      </c>
      <c r="G18" s="9">
        <f>G14*$I$4</f>
        <v>22898.61523145395</v>
      </c>
      <c r="H18" s="9">
        <f>H14*$I$4</f>
        <v>13739.169138872368</v>
      </c>
      <c r="I18" s="9">
        <f t="shared" si="4"/>
        <v>171306.09669169155</v>
      </c>
      <c r="J18" s="9"/>
      <c r="K18" s="9"/>
      <c r="L18" s="9"/>
      <c r="M18" s="9"/>
    </row>
    <row r="19" spans="1:13" x14ac:dyDescent="0.3">
      <c r="A19" t="s">
        <v>94</v>
      </c>
      <c r="D19" s="9">
        <f>D14*$I$5</f>
        <v>44031.048122935834</v>
      </c>
      <c r="E19" s="9">
        <f t="shared" ref="E19:H19" si="5">E14*$I$5</f>
        <v>36388.913212293606</v>
      </c>
      <c r="F19" s="9">
        <f t="shared" si="5"/>
        <v>31803.632265908273</v>
      </c>
      <c r="G19" s="9">
        <f t="shared" si="5"/>
        <v>19082.17935954496</v>
      </c>
      <c r="H19" s="9">
        <f t="shared" si="5"/>
        <v>11449.307615726975</v>
      </c>
      <c r="I19" s="9">
        <f t="shared" si="4"/>
        <v>142755.08057640967</v>
      </c>
    </row>
  </sheetData>
  <mergeCells count="2">
    <mergeCell ref="A14:C14"/>
    <mergeCell ref="A16:C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1"/>
  <sheetViews>
    <sheetView topLeftCell="A29" workbookViewId="0">
      <selection activeCell="D25" sqref="D25"/>
    </sheetView>
  </sheetViews>
  <sheetFormatPr defaultRowHeight="14.4" x14ac:dyDescent="0.3"/>
  <cols>
    <col min="2" max="2" width="10.88671875" customWidth="1"/>
    <col min="3" max="3" width="13.6640625" customWidth="1"/>
    <col min="4" max="4" width="15" customWidth="1"/>
    <col min="5" max="5" width="13.6640625" customWidth="1"/>
    <col min="6" max="6" width="11.109375" customWidth="1"/>
    <col min="7" max="7" width="11.44140625" customWidth="1"/>
    <col min="8" max="8" width="11.5546875" customWidth="1"/>
    <col min="9" max="9" width="11.44140625" customWidth="1"/>
    <col min="10" max="12" width="11.5546875" customWidth="1"/>
    <col min="13" max="25" width="10.109375" bestFit="1" customWidth="1"/>
  </cols>
  <sheetData>
    <row r="1" spans="1:16" x14ac:dyDescent="0.3">
      <c r="A1" t="s">
        <v>31</v>
      </c>
    </row>
    <row r="3" spans="1:16" x14ac:dyDescent="0.3">
      <c r="A3" t="s">
        <v>30</v>
      </c>
    </row>
    <row r="4" spans="1:16" x14ac:dyDescent="0.3">
      <c r="D4" s="14">
        <f>D7</f>
        <v>2018</v>
      </c>
      <c r="E4" s="14">
        <f t="shared" ref="E4:K4" si="0">E7</f>
        <v>2019</v>
      </c>
      <c r="F4" s="14">
        <f t="shared" si="0"/>
        <v>2020</v>
      </c>
      <c r="G4" s="14">
        <f t="shared" si="0"/>
        <v>2021</v>
      </c>
      <c r="H4" s="14">
        <f t="shared" si="0"/>
        <v>2022</v>
      </c>
      <c r="I4" s="14">
        <f t="shared" si="0"/>
        <v>2023</v>
      </c>
      <c r="J4" s="14">
        <f t="shared" si="0"/>
        <v>2024</v>
      </c>
      <c r="K4" s="14">
        <f t="shared" si="0"/>
        <v>2025</v>
      </c>
    </row>
    <row r="5" spans="1:16" x14ac:dyDescent="0.3">
      <c r="A5" t="s">
        <v>19</v>
      </c>
      <c r="D5" s="12">
        <f>1/8</f>
        <v>0.125</v>
      </c>
      <c r="E5" s="12">
        <f t="shared" ref="E5:K5" si="1">1/8</f>
        <v>0.125</v>
      </c>
      <c r="F5" s="12">
        <f t="shared" si="1"/>
        <v>0.125</v>
      </c>
      <c r="G5" s="12">
        <f t="shared" si="1"/>
        <v>0.125</v>
      </c>
      <c r="H5" s="12">
        <f t="shared" si="1"/>
        <v>0.125</v>
      </c>
      <c r="I5" s="12">
        <f t="shared" si="1"/>
        <v>0.125</v>
      </c>
      <c r="J5" s="12">
        <f t="shared" si="1"/>
        <v>0.125</v>
      </c>
      <c r="K5" s="12">
        <f t="shared" si="1"/>
        <v>0.125</v>
      </c>
    </row>
    <row r="7" spans="1:16" x14ac:dyDescent="0.3">
      <c r="D7">
        <f>'Datos sectoriales Educ y salud'!E7</f>
        <v>2018</v>
      </c>
      <c r="E7">
        <f>'Datos sectoriales Educ y salud'!F7</f>
        <v>2019</v>
      </c>
      <c r="F7">
        <f>'Datos sectoriales Educ y salud'!G7</f>
        <v>2020</v>
      </c>
      <c r="G7">
        <f>'Datos sectoriales Educ y salud'!H7</f>
        <v>2021</v>
      </c>
      <c r="H7">
        <f>'Datos sectoriales Educ y salud'!I7</f>
        <v>2022</v>
      </c>
      <c r="I7">
        <f>'Datos sectoriales Educ y salud'!J7</f>
        <v>2023</v>
      </c>
      <c r="J7">
        <f>'Datos sectoriales Educ y salud'!K7</f>
        <v>2024</v>
      </c>
      <c r="K7">
        <f>'Datos sectoriales Educ y salud'!L7</f>
        <v>2025</v>
      </c>
      <c r="L7">
        <f>'Datos sectoriales Educ y salud'!M7</f>
        <v>2026</v>
      </c>
      <c r="M7">
        <f>'Datos sectoriales Educ y salud'!N7</f>
        <v>2027</v>
      </c>
      <c r="N7">
        <f>'Datos sectoriales Educ y salud'!O7</f>
        <v>2028</v>
      </c>
      <c r="O7">
        <f>'Datos sectoriales Educ y salud'!P7</f>
        <v>2029</v>
      </c>
    </row>
    <row r="8" spans="1:16" x14ac:dyDescent="0.3">
      <c r="C8" t="s">
        <v>4</v>
      </c>
    </row>
    <row r="9" spans="1:16" x14ac:dyDescent="0.3">
      <c r="B9">
        <v>2018</v>
      </c>
      <c r="C9" s="4">
        <f>'Planilla de beneficiarios'!D17</f>
        <v>13209.314436880748</v>
      </c>
      <c r="D9" s="4">
        <f>$C9*$D$5</f>
        <v>1651.1643046100935</v>
      </c>
      <c r="E9" s="4">
        <f>$C9*$E$5</f>
        <v>1651.1643046100935</v>
      </c>
      <c r="F9" s="4">
        <f>$C9*$F$5</f>
        <v>1651.1643046100935</v>
      </c>
      <c r="G9" s="4">
        <f>$C9*$G$5</f>
        <v>1651.1643046100935</v>
      </c>
      <c r="H9" s="4">
        <f>$C9*$H$5</f>
        <v>1651.1643046100935</v>
      </c>
      <c r="I9" s="4">
        <f>$C9*$I$5</f>
        <v>1651.1643046100935</v>
      </c>
      <c r="J9" s="4">
        <f>$C9*$J$5</f>
        <v>1651.1643046100935</v>
      </c>
      <c r="K9" s="4">
        <f>$C9*$K$5</f>
        <v>1651.1643046100935</v>
      </c>
      <c r="L9" s="4"/>
      <c r="M9" s="4"/>
      <c r="N9" s="4"/>
      <c r="O9" s="4"/>
      <c r="P9" s="4"/>
    </row>
    <row r="10" spans="1:16" x14ac:dyDescent="0.3">
      <c r="B10">
        <f>B9+1</f>
        <v>2019</v>
      </c>
      <c r="C10" s="4">
        <f>'Planilla de beneficiarios'!E17</f>
        <v>10916.673963688081</v>
      </c>
      <c r="D10" s="4"/>
      <c r="E10" s="4">
        <f>$C10*$D$5</f>
        <v>1364.5842454610101</v>
      </c>
      <c r="F10" s="4">
        <f>$C10*$E$5</f>
        <v>1364.5842454610101</v>
      </c>
      <c r="G10" s="4">
        <f>$C10*$F$5</f>
        <v>1364.5842454610101</v>
      </c>
      <c r="H10" s="4">
        <f>$C10*$F$5</f>
        <v>1364.5842454610101</v>
      </c>
      <c r="I10" s="4">
        <f>$C10*$H$5</f>
        <v>1364.5842454610101</v>
      </c>
      <c r="J10" s="4">
        <f>$C10*$I$5</f>
        <v>1364.5842454610101</v>
      </c>
      <c r="K10" s="4">
        <f>$C10*$J$5</f>
        <v>1364.5842454610101</v>
      </c>
      <c r="L10" s="4">
        <f>$C10*$K$5</f>
        <v>1364.5842454610101</v>
      </c>
    </row>
    <row r="11" spans="1:16" x14ac:dyDescent="0.3">
      <c r="B11">
        <f t="shared" ref="B11:B13" si="2">B10+1</f>
        <v>2020</v>
      </c>
      <c r="C11" s="4">
        <f>'Planilla de beneficiarios'!F17</f>
        <v>9541.0896797724818</v>
      </c>
      <c r="F11" s="4">
        <f>$C11*$D$5</f>
        <v>1192.6362099715602</v>
      </c>
      <c r="G11" s="4">
        <f>$C11*$E$5</f>
        <v>1192.6362099715602</v>
      </c>
      <c r="H11" s="4">
        <f>$C11*$F$5</f>
        <v>1192.6362099715602</v>
      </c>
      <c r="I11" s="4">
        <f>$C11*$F$5</f>
        <v>1192.6362099715602</v>
      </c>
      <c r="J11" s="4">
        <f>$C11*$H$5</f>
        <v>1192.6362099715602</v>
      </c>
      <c r="K11" s="4">
        <f>$C11*$I$5</f>
        <v>1192.6362099715602</v>
      </c>
      <c r="L11" s="4">
        <f>$C11*$J$5</f>
        <v>1192.6362099715602</v>
      </c>
      <c r="M11" s="4">
        <f>$C11*$K$5</f>
        <v>1192.6362099715602</v>
      </c>
    </row>
    <row r="12" spans="1:16" x14ac:dyDescent="0.3">
      <c r="B12">
        <f t="shared" si="2"/>
        <v>2021</v>
      </c>
      <c r="C12" s="4">
        <f>'Planilla de beneficiarios'!G17</f>
        <v>5724.6538078634876</v>
      </c>
      <c r="G12" s="4">
        <f>$C12*$D$5</f>
        <v>715.58172598293595</v>
      </c>
      <c r="H12" s="4">
        <f>$C12*$E$5</f>
        <v>715.58172598293595</v>
      </c>
      <c r="I12" s="4">
        <f>$C12*$F$5</f>
        <v>715.58172598293595</v>
      </c>
      <c r="J12" s="4">
        <f>$C12*$F$5</f>
        <v>715.58172598293595</v>
      </c>
      <c r="K12" s="4">
        <f>$C12*$H$5</f>
        <v>715.58172598293595</v>
      </c>
      <c r="L12" s="4">
        <f>$C12*$I$5</f>
        <v>715.58172598293595</v>
      </c>
      <c r="M12" s="4">
        <f>$C12*$J$5</f>
        <v>715.58172598293595</v>
      </c>
      <c r="N12" s="4">
        <f>$C12*$K$5</f>
        <v>715.58172598293595</v>
      </c>
    </row>
    <row r="13" spans="1:16" x14ac:dyDescent="0.3">
      <c r="B13">
        <f t="shared" si="2"/>
        <v>2022</v>
      </c>
      <c r="C13" s="4">
        <f>'Planilla de beneficiarios'!H17</f>
        <v>3434.7922847180921</v>
      </c>
      <c r="H13" s="4">
        <f>$C13*$D$5</f>
        <v>429.34903558976151</v>
      </c>
      <c r="I13" s="4">
        <f>$C13*$E$5</f>
        <v>429.34903558976151</v>
      </c>
      <c r="J13" s="4">
        <f>$C13*$F$5</f>
        <v>429.34903558976151</v>
      </c>
      <c r="K13" s="4">
        <f>$C13*$F$5</f>
        <v>429.34903558976151</v>
      </c>
      <c r="L13" s="4">
        <f>$C13*$H$5</f>
        <v>429.34903558976151</v>
      </c>
      <c r="M13" s="4">
        <f>$C13*$I$5</f>
        <v>429.34903558976151</v>
      </c>
      <c r="N13" s="4">
        <f>$C13*$J$5</f>
        <v>429.34903558976151</v>
      </c>
      <c r="O13" s="4">
        <f>$C13*$K$5</f>
        <v>429.34903558976151</v>
      </c>
    </row>
    <row r="14" spans="1:16" x14ac:dyDescent="0.3">
      <c r="B14" t="s">
        <v>7</v>
      </c>
      <c r="C14" s="4">
        <f>SUM(C9:C13)</f>
        <v>42826.524172922887</v>
      </c>
    </row>
    <row r="15" spans="1:16" x14ac:dyDescent="0.3">
      <c r="C15" s="4"/>
    </row>
    <row r="16" spans="1:16" x14ac:dyDescent="0.3">
      <c r="A16" t="s">
        <v>5</v>
      </c>
      <c r="D16" s="4">
        <f>'Datos sectoriales Educ y salud'!E45</f>
        <v>4551.12</v>
      </c>
    </row>
    <row r="17" spans="1:25" x14ac:dyDescent="0.3">
      <c r="D17" s="4"/>
    </row>
    <row r="18" spans="1:25" x14ac:dyDescent="0.3">
      <c r="A18" t="s">
        <v>20</v>
      </c>
      <c r="D18" s="4"/>
    </row>
    <row r="19" spans="1:25" x14ac:dyDescent="0.3">
      <c r="C19" s="31" t="s">
        <v>99</v>
      </c>
      <c r="D19">
        <v>2018</v>
      </c>
      <c r="E19">
        <v>2019</v>
      </c>
      <c r="F19">
        <v>2020</v>
      </c>
      <c r="G19">
        <v>2021</v>
      </c>
      <c r="H19">
        <v>2022</v>
      </c>
      <c r="I19">
        <v>2023</v>
      </c>
      <c r="J19">
        <v>2024</v>
      </c>
      <c r="K19">
        <v>2025</v>
      </c>
      <c r="L19">
        <v>2026</v>
      </c>
      <c r="M19">
        <v>2027</v>
      </c>
      <c r="N19">
        <v>2028</v>
      </c>
      <c r="O19">
        <v>2029</v>
      </c>
    </row>
    <row r="20" spans="1:25" x14ac:dyDescent="0.3">
      <c r="B20">
        <f>B9</f>
        <v>2018</v>
      </c>
      <c r="C20" s="4">
        <f>NPV(0.12,D20:O20)</f>
        <v>37330058.724499449</v>
      </c>
      <c r="D20" s="9">
        <f t="shared" ref="D20:O20" si="3">D9*$D$16</f>
        <v>7514646.8899970884</v>
      </c>
      <c r="E20" s="9">
        <f t="shared" si="3"/>
        <v>7514646.8899970884</v>
      </c>
      <c r="F20" s="9">
        <f t="shared" si="3"/>
        <v>7514646.8899970884</v>
      </c>
      <c r="G20" s="9">
        <f t="shared" si="3"/>
        <v>7514646.8899970884</v>
      </c>
      <c r="H20" s="9">
        <f t="shared" si="3"/>
        <v>7514646.8899970884</v>
      </c>
      <c r="I20" s="9">
        <f t="shared" si="3"/>
        <v>7514646.8899970884</v>
      </c>
      <c r="J20" s="9">
        <f t="shared" si="3"/>
        <v>7514646.8899970884</v>
      </c>
      <c r="K20" s="9">
        <f t="shared" si="3"/>
        <v>7514646.8899970884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 t="shared" si="3"/>
        <v>0</v>
      </c>
      <c r="P20" s="9"/>
      <c r="T20" s="9"/>
      <c r="U20" s="9"/>
      <c r="V20" s="9"/>
      <c r="W20" s="9"/>
      <c r="X20" s="9"/>
      <c r="Y20" s="9"/>
    </row>
    <row r="21" spans="1:25" x14ac:dyDescent="0.3">
      <c r="B21">
        <f>B20+1</f>
        <v>2019</v>
      </c>
      <c r="C21" s="4">
        <f t="shared" ref="C21:C24" si="4">NPV(0.12,D21:O21)</f>
        <v>27545503.299961716</v>
      </c>
      <c r="D21" s="9">
        <f t="shared" ref="D21:O21" si="5">D10*$D$16</f>
        <v>0</v>
      </c>
      <c r="E21" s="9">
        <f t="shared" si="5"/>
        <v>6210386.651202512</v>
      </c>
      <c r="F21" s="9">
        <f t="shared" si="5"/>
        <v>6210386.651202512</v>
      </c>
      <c r="G21" s="9">
        <f t="shared" si="5"/>
        <v>6210386.651202512</v>
      </c>
      <c r="H21" s="9">
        <f t="shared" si="5"/>
        <v>6210386.651202512</v>
      </c>
      <c r="I21" s="9">
        <f t="shared" si="5"/>
        <v>6210386.651202512</v>
      </c>
      <c r="J21" s="9">
        <f t="shared" si="5"/>
        <v>6210386.651202512</v>
      </c>
      <c r="K21" s="9">
        <f t="shared" si="5"/>
        <v>6210386.651202512</v>
      </c>
      <c r="L21" s="9">
        <f t="shared" si="5"/>
        <v>6210386.651202512</v>
      </c>
      <c r="M21" s="9">
        <f t="shared" si="5"/>
        <v>0</v>
      </c>
      <c r="N21" s="9">
        <f t="shared" si="5"/>
        <v>0</v>
      </c>
      <c r="O21" s="9">
        <f t="shared" si="5"/>
        <v>0</v>
      </c>
      <c r="P21" s="9"/>
      <c r="T21" s="9"/>
      <c r="U21" s="9"/>
      <c r="V21" s="9"/>
      <c r="W21" s="9"/>
      <c r="X21" s="9"/>
      <c r="Y21" s="9"/>
    </row>
    <row r="22" spans="1:25" x14ac:dyDescent="0.3">
      <c r="B22">
        <f t="shared" ref="B22:B24" si="6">B21+1</f>
        <v>2020</v>
      </c>
      <c r="C22" s="4">
        <f t="shared" si="4"/>
        <v>21495142.441670693</v>
      </c>
      <c r="D22" s="9">
        <f t="shared" ref="D22:O22" si="7">D11*$D$16</f>
        <v>0</v>
      </c>
      <c r="E22" s="9">
        <f t="shared" si="7"/>
        <v>0</v>
      </c>
      <c r="F22" s="9">
        <f t="shared" si="7"/>
        <v>5427830.5079257675</v>
      </c>
      <c r="G22" s="9">
        <f t="shared" si="7"/>
        <v>5427830.5079257675</v>
      </c>
      <c r="H22" s="9">
        <f t="shared" si="7"/>
        <v>5427830.5079257675</v>
      </c>
      <c r="I22" s="9">
        <f t="shared" si="7"/>
        <v>5427830.5079257675</v>
      </c>
      <c r="J22" s="9">
        <f t="shared" si="7"/>
        <v>5427830.5079257675</v>
      </c>
      <c r="K22" s="9">
        <f t="shared" si="7"/>
        <v>5427830.5079257675</v>
      </c>
      <c r="L22" s="9">
        <f t="shared" si="7"/>
        <v>5427830.5079257675</v>
      </c>
      <c r="M22" s="9">
        <f t="shared" si="7"/>
        <v>5427830.5079257675</v>
      </c>
      <c r="N22" s="9">
        <f t="shared" si="7"/>
        <v>0</v>
      </c>
      <c r="O22" s="9">
        <f t="shared" si="7"/>
        <v>0</v>
      </c>
      <c r="P22" s="9"/>
      <c r="T22" s="9"/>
      <c r="U22" s="9"/>
      <c r="V22" s="9"/>
      <c r="W22" s="9"/>
      <c r="X22" s="9"/>
      <c r="Y22" s="9"/>
    </row>
    <row r="23" spans="1:25" x14ac:dyDescent="0.3">
      <c r="B23">
        <f t="shared" si="6"/>
        <v>2021</v>
      </c>
      <c r="C23" s="4">
        <f t="shared" si="4"/>
        <v>11515254.879466442</v>
      </c>
      <c r="D23" s="9">
        <f t="shared" ref="D23:O23" si="8">D12*$D$16</f>
        <v>0</v>
      </c>
      <c r="E23" s="9">
        <f t="shared" si="8"/>
        <v>0</v>
      </c>
      <c r="F23" s="9">
        <f t="shared" si="8"/>
        <v>0</v>
      </c>
      <c r="G23" s="9">
        <f t="shared" si="8"/>
        <v>3256698.3047554595</v>
      </c>
      <c r="H23" s="9">
        <f t="shared" si="8"/>
        <v>3256698.3047554595</v>
      </c>
      <c r="I23" s="9">
        <f t="shared" si="8"/>
        <v>3256698.3047554595</v>
      </c>
      <c r="J23" s="9">
        <f t="shared" si="8"/>
        <v>3256698.3047554595</v>
      </c>
      <c r="K23" s="9">
        <f t="shared" si="8"/>
        <v>3256698.3047554595</v>
      </c>
      <c r="L23" s="9">
        <f t="shared" si="8"/>
        <v>3256698.3047554595</v>
      </c>
      <c r="M23" s="9">
        <f t="shared" si="8"/>
        <v>3256698.3047554595</v>
      </c>
      <c r="N23" s="9">
        <f t="shared" si="8"/>
        <v>3256698.3047554595</v>
      </c>
      <c r="O23" s="9">
        <f t="shared" si="8"/>
        <v>0</v>
      </c>
      <c r="P23" s="9"/>
      <c r="T23" s="9"/>
      <c r="U23" s="9"/>
      <c r="V23" s="9"/>
      <c r="W23" s="9"/>
      <c r="X23" s="9"/>
      <c r="Y23" s="9"/>
    </row>
    <row r="24" spans="1:25" x14ac:dyDescent="0.3">
      <c r="B24">
        <f t="shared" si="6"/>
        <v>2022</v>
      </c>
      <c r="C24" s="4">
        <f t="shared" si="4"/>
        <v>6168886.5425713062</v>
      </c>
      <c r="D24" s="9">
        <f t="shared" ref="D24:O24" si="9">D13*$D$16</f>
        <v>0</v>
      </c>
      <c r="E24" s="9">
        <f t="shared" si="9"/>
        <v>0</v>
      </c>
      <c r="F24" s="9">
        <f t="shared" si="9"/>
        <v>0</v>
      </c>
      <c r="G24" s="9">
        <f t="shared" si="9"/>
        <v>0</v>
      </c>
      <c r="H24" s="9">
        <f t="shared" si="9"/>
        <v>1954018.9828532753</v>
      </c>
      <c r="I24" s="9">
        <f t="shared" si="9"/>
        <v>1954018.9828532753</v>
      </c>
      <c r="J24" s="9">
        <f t="shared" si="9"/>
        <v>1954018.9828532753</v>
      </c>
      <c r="K24" s="9">
        <f t="shared" si="9"/>
        <v>1954018.9828532753</v>
      </c>
      <c r="L24" s="9">
        <f t="shared" si="9"/>
        <v>1954018.9828532753</v>
      </c>
      <c r="M24" s="9">
        <f t="shared" si="9"/>
        <v>1954018.9828532753</v>
      </c>
      <c r="N24" s="9">
        <f t="shared" si="9"/>
        <v>1954018.9828532753</v>
      </c>
      <c r="O24" s="9">
        <f t="shared" si="9"/>
        <v>1954018.9828532753</v>
      </c>
      <c r="P24" s="9"/>
      <c r="T24" s="9"/>
      <c r="U24" s="9"/>
      <c r="V24" s="9"/>
      <c r="W24" s="9"/>
      <c r="X24" s="9"/>
      <c r="Y24" s="9"/>
    </row>
    <row r="25" spans="1:25" x14ac:dyDescent="0.3">
      <c r="B25" t="s">
        <v>100</v>
      </c>
      <c r="C25" s="60">
        <f>SUM(C20:C24)</f>
        <v>104054845.88816962</v>
      </c>
      <c r="D25" s="9">
        <f>SUM(D20:D24)</f>
        <v>7514646.8899970884</v>
      </c>
      <c r="E25" s="9">
        <f t="shared" ref="E25:O25" si="10">SUM(E20:E24)</f>
        <v>13725033.5411996</v>
      </c>
      <c r="F25" s="9">
        <f t="shared" si="10"/>
        <v>19152864.049125366</v>
      </c>
      <c r="G25" s="9">
        <f t="shared" si="10"/>
        <v>22409562.353880826</v>
      </c>
      <c r="H25" s="9">
        <f t="shared" si="10"/>
        <v>24363581.336734101</v>
      </c>
      <c r="I25" s="9">
        <f t="shared" si="10"/>
        <v>24363581.336734101</v>
      </c>
      <c r="J25" s="9">
        <f t="shared" si="10"/>
        <v>24363581.336734101</v>
      </c>
      <c r="K25" s="9">
        <f t="shared" si="10"/>
        <v>24363581.336734101</v>
      </c>
      <c r="L25" s="9">
        <f t="shared" si="10"/>
        <v>16848934.446737014</v>
      </c>
      <c r="M25" s="9">
        <f t="shared" si="10"/>
        <v>10638547.795534503</v>
      </c>
      <c r="N25" s="9">
        <f t="shared" si="10"/>
        <v>5210717.2876087353</v>
      </c>
      <c r="O25" s="9">
        <f t="shared" si="10"/>
        <v>1954018.9828532753</v>
      </c>
    </row>
    <row r="26" spans="1:25" x14ac:dyDescent="0.3">
      <c r="A26" t="s">
        <v>6</v>
      </c>
      <c r="C26" s="4">
        <f>C25/C14</f>
        <v>2429.68225644514</v>
      </c>
    </row>
    <row r="28" spans="1:25" x14ac:dyDescent="0.3">
      <c r="A28" t="s">
        <v>21</v>
      </c>
    </row>
    <row r="30" spans="1:25" x14ac:dyDescent="0.3">
      <c r="A30" t="s">
        <v>27</v>
      </c>
    </row>
    <row r="31" spans="1:25" x14ac:dyDescent="0.3">
      <c r="B31" t="s">
        <v>24</v>
      </c>
      <c r="D31" s="4">
        <v>1100329183</v>
      </c>
    </row>
    <row r="32" spans="1:25" x14ac:dyDescent="0.3">
      <c r="B32" t="s">
        <v>25</v>
      </c>
      <c r="D32" s="4">
        <v>387308922</v>
      </c>
    </row>
    <row r="33" spans="1:16" x14ac:dyDescent="0.3">
      <c r="B33" t="s">
        <v>26</v>
      </c>
      <c r="D33" s="4">
        <v>185748424</v>
      </c>
    </row>
    <row r="34" spans="1:16" x14ac:dyDescent="0.3">
      <c r="B34" t="s">
        <v>7</v>
      </c>
      <c r="D34" s="4">
        <f>SUM(D31:D33)</f>
        <v>1673386529</v>
      </c>
    </row>
    <row r="36" spans="1:16" x14ac:dyDescent="0.3">
      <c r="A36" t="s">
        <v>22</v>
      </c>
      <c r="D36" s="4">
        <f>'Datos sectoriales Educ y salud'!E15</f>
        <v>4208659</v>
      </c>
    </row>
    <row r="37" spans="1:16" x14ac:dyDescent="0.3">
      <c r="A37" t="s">
        <v>23</v>
      </c>
      <c r="D37" s="10">
        <f>D34/D36</f>
        <v>397.60563376600481</v>
      </c>
    </row>
    <row r="40" spans="1:16" x14ac:dyDescent="0.3">
      <c r="A40" t="s">
        <v>28</v>
      </c>
    </row>
    <row r="42" spans="1:16" x14ac:dyDescent="0.3">
      <c r="C42" s="14" t="s">
        <v>99</v>
      </c>
      <c r="D42">
        <f t="shared" ref="D42:O42" si="11">D7</f>
        <v>2018</v>
      </c>
      <c r="E42">
        <f t="shared" si="11"/>
        <v>2019</v>
      </c>
      <c r="F42">
        <f t="shared" si="11"/>
        <v>2020</v>
      </c>
      <c r="G42">
        <f t="shared" si="11"/>
        <v>2021</v>
      </c>
      <c r="H42">
        <f t="shared" si="11"/>
        <v>2022</v>
      </c>
      <c r="I42">
        <f t="shared" si="11"/>
        <v>2023</v>
      </c>
      <c r="J42">
        <f t="shared" si="11"/>
        <v>2024</v>
      </c>
      <c r="K42">
        <f t="shared" si="11"/>
        <v>2025</v>
      </c>
      <c r="L42">
        <f t="shared" si="11"/>
        <v>2026</v>
      </c>
      <c r="M42">
        <f t="shared" si="11"/>
        <v>2027</v>
      </c>
      <c r="N42">
        <f t="shared" si="11"/>
        <v>2028</v>
      </c>
      <c r="O42">
        <f t="shared" si="11"/>
        <v>2029</v>
      </c>
    </row>
    <row r="43" spans="1:16" x14ac:dyDescent="0.3">
      <c r="B43">
        <f>B20</f>
        <v>2018</v>
      </c>
      <c r="C43" s="4">
        <f>NPV(0.12,D43:O43)</f>
        <v>3261316.2601023009</v>
      </c>
      <c r="D43" s="4">
        <f t="shared" ref="D43:O43" si="12">D9*$D$37</f>
        <v>656512.2297863008</v>
      </c>
      <c r="E43" s="4">
        <f t="shared" si="12"/>
        <v>656512.2297863008</v>
      </c>
      <c r="F43" s="4">
        <f t="shared" si="12"/>
        <v>656512.2297863008</v>
      </c>
      <c r="G43" s="4">
        <f t="shared" si="12"/>
        <v>656512.2297863008</v>
      </c>
      <c r="H43" s="4">
        <f t="shared" si="12"/>
        <v>656512.2297863008</v>
      </c>
      <c r="I43" s="4">
        <f t="shared" si="12"/>
        <v>656512.2297863008</v>
      </c>
      <c r="J43" s="4">
        <f t="shared" si="12"/>
        <v>656512.2297863008</v>
      </c>
      <c r="K43" s="4">
        <f t="shared" si="12"/>
        <v>656512.2297863008</v>
      </c>
      <c r="L43" s="4">
        <f t="shared" si="12"/>
        <v>0</v>
      </c>
      <c r="M43" s="4">
        <f t="shared" si="12"/>
        <v>0</v>
      </c>
      <c r="N43" s="4">
        <f t="shared" si="12"/>
        <v>0</v>
      </c>
      <c r="O43" s="4">
        <f t="shared" si="12"/>
        <v>0</v>
      </c>
      <c r="P43" s="4"/>
    </row>
    <row r="44" spans="1:16" x14ac:dyDescent="0.3">
      <c r="B44" s="43">
        <f t="shared" ref="B44:B47" si="13">B21</f>
        <v>2019</v>
      </c>
      <c r="C44" s="4">
        <f t="shared" ref="C44:C48" si="14">NPV(0.12,D44:O44)</f>
        <v>2406494.9500309494</v>
      </c>
      <c r="D44" s="4">
        <f t="shared" ref="D44:O44" si="15">D10*$D$37</f>
        <v>0</v>
      </c>
      <c r="E44" s="4">
        <f t="shared" si="15"/>
        <v>542566.38374363037</v>
      </c>
      <c r="F44" s="4">
        <f t="shared" si="15"/>
        <v>542566.38374363037</v>
      </c>
      <c r="G44" s="4">
        <f t="shared" si="15"/>
        <v>542566.38374363037</v>
      </c>
      <c r="H44" s="4">
        <f t="shared" si="15"/>
        <v>542566.38374363037</v>
      </c>
      <c r="I44" s="4">
        <f t="shared" si="15"/>
        <v>542566.38374363037</v>
      </c>
      <c r="J44" s="4">
        <f t="shared" si="15"/>
        <v>542566.38374363037</v>
      </c>
      <c r="K44" s="4">
        <f t="shared" si="15"/>
        <v>542566.38374363037</v>
      </c>
      <c r="L44" s="4">
        <f t="shared" si="15"/>
        <v>542566.38374363037</v>
      </c>
      <c r="M44" s="4">
        <f t="shared" si="15"/>
        <v>0</v>
      </c>
      <c r="N44" s="4">
        <f t="shared" si="15"/>
        <v>0</v>
      </c>
      <c r="O44" s="4">
        <f t="shared" si="15"/>
        <v>0</v>
      </c>
      <c r="P44" s="4"/>
    </row>
    <row r="45" spans="1:16" x14ac:dyDescent="0.3">
      <c r="B45" s="43">
        <f t="shared" si="13"/>
        <v>2020</v>
      </c>
      <c r="C45" s="4">
        <f t="shared" si="14"/>
        <v>1877909.1154289546</v>
      </c>
      <c r="D45" s="4">
        <f t="shared" ref="D45:O45" si="16">D11*$D$37</f>
        <v>0</v>
      </c>
      <c r="E45" s="4">
        <f t="shared" si="16"/>
        <v>0</v>
      </c>
      <c r="F45" s="4">
        <f t="shared" si="16"/>
        <v>474198.87611802819</v>
      </c>
      <c r="G45" s="4">
        <f t="shared" si="16"/>
        <v>474198.87611802819</v>
      </c>
      <c r="H45" s="4">
        <f t="shared" si="16"/>
        <v>474198.87611802819</v>
      </c>
      <c r="I45" s="4">
        <f t="shared" si="16"/>
        <v>474198.87611802819</v>
      </c>
      <c r="J45" s="4">
        <f t="shared" si="16"/>
        <v>474198.87611802819</v>
      </c>
      <c r="K45" s="4">
        <f t="shared" si="16"/>
        <v>474198.87611802819</v>
      </c>
      <c r="L45" s="4">
        <f t="shared" si="16"/>
        <v>474198.87611802819</v>
      </c>
      <c r="M45" s="4">
        <f t="shared" si="16"/>
        <v>474198.87611802819</v>
      </c>
      <c r="N45" s="4">
        <f t="shared" si="16"/>
        <v>0</v>
      </c>
      <c r="O45" s="4">
        <f t="shared" si="16"/>
        <v>0</v>
      </c>
      <c r="P45" s="4"/>
    </row>
    <row r="46" spans="1:16" x14ac:dyDescent="0.3">
      <c r="B46" s="43">
        <f t="shared" si="13"/>
        <v>2021</v>
      </c>
      <c r="C46" s="4">
        <f t="shared" si="14"/>
        <v>1006022.7404083684</v>
      </c>
      <c r="D46" s="4">
        <f t="shared" ref="D46:O46" si="17">D12*$D$37</f>
        <v>0</v>
      </c>
      <c r="E46" s="4">
        <f t="shared" si="17"/>
        <v>0</v>
      </c>
      <c r="F46" s="4">
        <f t="shared" si="17"/>
        <v>0</v>
      </c>
      <c r="G46" s="4">
        <f t="shared" si="17"/>
        <v>284519.32567081682</v>
      </c>
      <c r="H46" s="4">
        <f t="shared" si="17"/>
        <v>284519.32567081682</v>
      </c>
      <c r="I46" s="4">
        <f t="shared" si="17"/>
        <v>284519.32567081682</v>
      </c>
      <c r="J46" s="4">
        <f t="shared" si="17"/>
        <v>284519.32567081682</v>
      </c>
      <c r="K46" s="4">
        <f t="shared" si="17"/>
        <v>284519.32567081682</v>
      </c>
      <c r="L46" s="4">
        <f t="shared" si="17"/>
        <v>284519.32567081682</v>
      </c>
      <c r="M46" s="4">
        <f t="shared" si="17"/>
        <v>284519.32567081682</v>
      </c>
      <c r="N46" s="4">
        <f t="shared" si="17"/>
        <v>284519.32567081682</v>
      </c>
      <c r="O46" s="4">
        <f t="shared" si="17"/>
        <v>0</v>
      </c>
      <c r="P46" s="4"/>
    </row>
    <row r="47" spans="1:16" x14ac:dyDescent="0.3">
      <c r="B47" s="43">
        <f t="shared" si="13"/>
        <v>2022</v>
      </c>
      <c r="C47" s="4">
        <f t="shared" si="14"/>
        <v>538940.7537901972</v>
      </c>
      <c r="D47" s="4">
        <f t="shared" ref="D47:O47" si="18">D13*$D$37</f>
        <v>0</v>
      </c>
      <c r="E47" s="4">
        <f t="shared" si="18"/>
        <v>0</v>
      </c>
      <c r="F47" s="4">
        <f t="shared" si="18"/>
        <v>0</v>
      </c>
      <c r="G47" s="4">
        <f t="shared" si="18"/>
        <v>0</v>
      </c>
      <c r="H47" s="4">
        <f t="shared" si="18"/>
        <v>170711.59540249009</v>
      </c>
      <c r="I47" s="4">
        <f t="shared" si="18"/>
        <v>170711.59540249009</v>
      </c>
      <c r="J47" s="4">
        <f t="shared" si="18"/>
        <v>170711.59540249009</v>
      </c>
      <c r="K47" s="4">
        <f t="shared" si="18"/>
        <v>170711.59540249009</v>
      </c>
      <c r="L47" s="4">
        <f t="shared" si="18"/>
        <v>170711.59540249009</v>
      </c>
      <c r="M47" s="4">
        <f t="shared" si="18"/>
        <v>170711.59540249009</v>
      </c>
      <c r="N47" s="4">
        <f t="shared" si="18"/>
        <v>170711.59540249009</v>
      </c>
      <c r="O47" s="4">
        <f t="shared" si="18"/>
        <v>170711.59540249009</v>
      </c>
      <c r="P47" s="4"/>
    </row>
    <row r="48" spans="1:16" x14ac:dyDescent="0.3">
      <c r="B48" t="s">
        <v>100</v>
      </c>
      <c r="C48" s="61">
        <f t="shared" si="14"/>
        <v>9090683.8197607715</v>
      </c>
      <c r="D48" s="9">
        <f>SUM(D43:D47)</f>
        <v>656512.2297863008</v>
      </c>
      <c r="E48" s="9">
        <f t="shared" ref="E48:O48" si="19">SUM(E43:E47)</f>
        <v>1199078.6135299313</v>
      </c>
      <c r="F48" s="9">
        <f t="shared" si="19"/>
        <v>1673277.4896479594</v>
      </c>
      <c r="G48" s="9">
        <f t="shared" si="19"/>
        <v>1957796.8153187763</v>
      </c>
      <c r="H48" s="9">
        <f t="shared" si="19"/>
        <v>2128508.4107212662</v>
      </c>
      <c r="I48" s="9">
        <f t="shared" si="19"/>
        <v>2128508.4107212662</v>
      </c>
      <c r="J48" s="9">
        <f t="shared" si="19"/>
        <v>2128508.4107212662</v>
      </c>
      <c r="K48" s="9">
        <f t="shared" si="19"/>
        <v>2128508.4107212662</v>
      </c>
      <c r="L48" s="9">
        <f t="shared" si="19"/>
        <v>1471996.1809349654</v>
      </c>
      <c r="M48" s="9">
        <f t="shared" si="19"/>
        <v>929429.79719133512</v>
      </c>
      <c r="N48" s="9">
        <f t="shared" si="19"/>
        <v>455230.92107330693</v>
      </c>
      <c r="O48" s="9">
        <f t="shared" si="19"/>
        <v>170711.59540249009</v>
      </c>
    </row>
    <row r="49" spans="1:5" x14ac:dyDescent="0.3">
      <c r="A49" t="s">
        <v>6</v>
      </c>
      <c r="C49" s="62">
        <f>C48/C14</f>
        <v>212.26760740738249</v>
      </c>
    </row>
    <row r="51" spans="1:5" x14ac:dyDescent="0.3">
      <c r="A51" t="s">
        <v>93</v>
      </c>
      <c r="E51" s="63">
        <f>C25+C48</f>
        <v>113145529.70793039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9"/>
  <sheetViews>
    <sheetView workbookViewId="0">
      <selection activeCell="E30" sqref="E30"/>
    </sheetView>
  </sheetViews>
  <sheetFormatPr defaultRowHeight="14.4" x14ac:dyDescent="0.3"/>
  <cols>
    <col min="3" max="3" width="12.44140625" customWidth="1"/>
    <col min="4" max="4" width="16" customWidth="1"/>
    <col min="5" max="5" width="14" customWidth="1"/>
    <col min="6" max="6" width="14.21875" customWidth="1"/>
    <col min="7" max="7" width="14" customWidth="1"/>
    <col min="8" max="10" width="12.6640625" customWidth="1"/>
    <col min="11" max="11" width="14.21875" customWidth="1"/>
    <col min="12" max="19" width="12.6640625" customWidth="1"/>
    <col min="20" max="20" width="11.6640625" customWidth="1"/>
  </cols>
  <sheetData>
    <row r="1" spans="1:18" x14ac:dyDescent="0.3">
      <c r="A1" t="s">
        <v>46</v>
      </c>
    </row>
    <row r="4" spans="1:18" x14ac:dyDescent="0.3">
      <c r="A4" t="s">
        <v>29</v>
      </c>
    </row>
    <row r="5" spans="1:18" x14ac:dyDescent="0.3">
      <c r="E5">
        <f t="shared" ref="E5:K5" si="0">E10</f>
        <v>2018</v>
      </c>
      <c r="F5">
        <f t="shared" si="0"/>
        <v>2019</v>
      </c>
      <c r="G5">
        <f t="shared" si="0"/>
        <v>2020</v>
      </c>
      <c r="H5">
        <f t="shared" si="0"/>
        <v>2021</v>
      </c>
      <c r="I5">
        <f t="shared" si="0"/>
        <v>2022</v>
      </c>
      <c r="J5">
        <f t="shared" si="0"/>
        <v>2023</v>
      </c>
      <c r="K5">
        <f t="shared" si="0"/>
        <v>2024</v>
      </c>
    </row>
    <row r="6" spans="1:18" x14ac:dyDescent="0.3">
      <c r="A6" t="s">
        <v>19</v>
      </c>
      <c r="G6" s="15">
        <f>1/5</f>
        <v>0.2</v>
      </c>
      <c r="H6" s="15">
        <f t="shared" ref="H6:K6" si="1">1/5</f>
        <v>0.2</v>
      </c>
      <c r="I6" s="15">
        <f t="shared" si="1"/>
        <v>0.2</v>
      </c>
      <c r="J6" s="15">
        <f t="shared" si="1"/>
        <v>0.2</v>
      </c>
      <c r="K6" s="15">
        <f t="shared" si="1"/>
        <v>0.2</v>
      </c>
    </row>
    <row r="8" spans="1:18" x14ac:dyDescent="0.3">
      <c r="A8" s="17" t="s">
        <v>32</v>
      </c>
      <c r="B8" s="17"/>
      <c r="C8" s="17"/>
      <c r="D8" s="17"/>
      <c r="E8" s="17"/>
      <c r="F8" s="17"/>
      <c r="G8" s="17"/>
      <c r="H8" s="17"/>
      <c r="I8" s="17"/>
    </row>
    <row r="10" spans="1:18" x14ac:dyDescent="0.3">
      <c r="E10">
        <f>'Benefs egreso adelantado'!D7</f>
        <v>2018</v>
      </c>
      <c r="F10">
        <f>'Benefs egreso adelantado'!E7</f>
        <v>2019</v>
      </c>
      <c r="G10">
        <f>'Benefs egreso adelantado'!F7</f>
        <v>2020</v>
      </c>
      <c r="H10">
        <f>'Benefs egreso adelantado'!G7</f>
        <v>2021</v>
      </c>
      <c r="I10">
        <f>'Benefs egreso adelantado'!H7</f>
        <v>2022</v>
      </c>
      <c r="J10">
        <f>'Benefs egreso adelantado'!I7</f>
        <v>2023</v>
      </c>
      <c r="K10">
        <f>'Benefs egreso adelantado'!J7</f>
        <v>2024</v>
      </c>
      <c r="L10">
        <f>'Benefs egreso adelantado'!K7</f>
        <v>2025</v>
      </c>
      <c r="M10">
        <f>'Benefs egreso adelantado'!L7</f>
        <v>2026</v>
      </c>
      <c r="N10">
        <f>'Benefs egreso adelantado'!M7</f>
        <v>2027</v>
      </c>
      <c r="O10">
        <f>'Benefs egreso adelantado'!N7</f>
        <v>2028</v>
      </c>
    </row>
    <row r="11" spans="1:18" x14ac:dyDescent="0.3">
      <c r="C11" s="4" t="s">
        <v>4</v>
      </c>
    </row>
    <row r="12" spans="1:18" x14ac:dyDescent="0.3">
      <c r="B12">
        <f>'Benefs egreso adelantado'!B9</f>
        <v>2018</v>
      </c>
      <c r="C12" s="4">
        <f>'Planilla de beneficiarios'!D18</f>
        <v>52837.257747522992</v>
      </c>
      <c r="G12" s="4">
        <f>$C12*$G$6</f>
        <v>10567.4515495046</v>
      </c>
      <c r="H12" s="4">
        <f>$C12*$H$6</f>
        <v>10567.4515495046</v>
      </c>
      <c r="I12" s="4">
        <f>$C12*$I$6</f>
        <v>10567.4515495046</v>
      </c>
      <c r="J12" s="4">
        <f>$C12*$J$6</f>
        <v>10567.4515495046</v>
      </c>
      <c r="K12" s="4">
        <f>$C12*$K$6</f>
        <v>10567.4515495046</v>
      </c>
      <c r="L12" s="4"/>
      <c r="M12" s="4"/>
      <c r="N12" s="4"/>
      <c r="O12" s="4"/>
      <c r="P12" s="4"/>
    </row>
    <row r="13" spans="1:18" x14ac:dyDescent="0.3">
      <c r="B13">
        <f>'Benefs egreso adelantado'!B10</f>
        <v>2019</v>
      </c>
      <c r="C13" s="4">
        <f>'Planilla de beneficiarios'!E18</f>
        <v>43666.695854752325</v>
      </c>
      <c r="G13" s="4"/>
      <c r="H13" s="4">
        <f>$C13*$G$6</f>
        <v>8733.3391709504649</v>
      </c>
      <c r="I13" s="4">
        <f>$C13*$H$6</f>
        <v>8733.3391709504649</v>
      </c>
      <c r="J13" s="4">
        <f>$C13*$I$6</f>
        <v>8733.3391709504649</v>
      </c>
      <c r="K13" s="4">
        <f>$C13*$J$6</f>
        <v>8733.3391709504649</v>
      </c>
      <c r="L13" s="4">
        <f>$C13*$K$6</f>
        <v>8733.3391709504649</v>
      </c>
      <c r="M13" s="4"/>
      <c r="N13" s="4"/>
      <c r="O13" s="4"/>
      <c r="P13" s="4"/>
      <c r="Q13" s="16"/>
      <c r="R13" s="4"/>
    </row>
    <row r="14" spans="1:18" x14ac:dyDescent="0.3">
      <c r="B14">
        <f>'Benefs egreso adelantado'!B11</f>
        <v>2020</v>
      </c>
      <c r="C14" s="4">
        <f>'Planilla de beneficiarios'!F18</f>
        <v>38164.358719089927</v>
      </c>
      <c r="G14" s="4"/>
      <c r="H14" s="4"/>
      <c r="I14" s="4">
        <f>$C14*$G$6</f>
        <v>7632.8717438179856</v>
      </c>
      <c r="J14" s="4">
        <f>$C14*$H$6</f>
        <v>7632.8717438179856</v>
      </c>
      <c r="K14" s="4">
        <f>$C14*$I$6</f>
        <v>7632.8717438179856</v>
      </c>
      <c r="L14" s="4">
        <f>$C14*$J$6</f>
        <v>7632.8717438179856</v>
      </c>
      <c r="M14" s="4">
        <f>$C14*$K$6</f>
        <v>7632.8717438179856</v>
      </c>
      <c r="N14" s="4"/>
      <c r="O14" s="4"/>
      <c r="P14" s="4"/>
      <c r="Q14" s="16"/>
      <c r="R14" s="4"/>
    </row>
    <row r="15" spans="1:18" x14ac:dyDescent="0.3">
      <c r="B15">
        <f>'Benefs egreso adelantado'!B12</f>
        <v>2021</v>
      </c>
      <c r="C15" s="4">
        <f>'Planilla de beneficiarios'!G18</f>
        <v>22898.61523145395</v>
      </c>
      <c r="G15" s="4"/>
      <c r="H15" s="4"/>
      <c r="I15" s="4"/>
      <c r="J15" s="4">
        <f>$C15*$G$6</f>
        <v>4579.7230462907901</v>
      </c>
      <c r="K15" s="4">
        <f>$C15*$H$6</f>
        <v>4579.7230462907901</v>
      </c>
      <c r="L15" s="4">
        <f>$C15*$I$6</f>
        <v>4579.7230462907901</v>
      </c>
      <c r="M15" s="4">
        <f>$C15*$J$6</f>
        <v>4579.7230462907901</v>
      </c>
      <c r="N15" s="4">
        <f>$C15*$K$6</f>
        <v>4579.7230462907901</v>
      </c>
      <c r="O15" s="4"/>
      <c r="P15" s="4"/>
      <c r="Q15" s="16"/>
      <c r="R15" s="4"/>
    </row>
    <row r="16" spans="1:18" x14ac:dyDescent="0.3">
      <c r="B16">
        <f>'Benefs egreso adelantado'!B13</f>
        <v>2022</v>
      </c>
      <c r="C16" s="4">
        <f>'Planilla de beneficiarios'!H18</f>
        <v>13739.169138872368</v>
      </c>
      <c r="G16" s="4"/>
      <c r="H16" s="4"/>
      <c r="I16" s="4"/>
      <c r="J16" s="4"/>
      <c r="K16" s="4">
        <f>$C16*$G$6</f>
        <v>2747.8338277744738</v>
      </c>
      <c r="L16" s="4">
        <f>$C16*$H$6</f>
        <v>2747.8338277744738</v>
      </c>
      <c r="M16" s="4">
        <f>$C16*$I$6</f>
        <v>2747.8338277744738</v>
      </c>
      <c r="N16" s="4">
        <f>$C16*$J$6</f>
        <v>2747.8338277744738</v>
      </c>
      <c r="O16" s="4">
        <f>$C16*$K$6</f>
        <v>2747.8338277744738</v>
      </c>
      <c r="P16" s="4"/>
      <c r="Q16" s="16"/>
      <c r="R16" s="4"/>
    </row>
    <row r="17" spans="1:20" x14ac:dyDescent="0.3">
      <c r="B17" t="s">
        <v>7</v>
      </c>
      <c r="C17" s="4">
        <f>SUM(C12:C16)</f>
        <v>171306.09669169155</v>
      </c>
      <c r="D17" s="4"/>
      <c r="G17" s="4">
        <f t="shared" ref="G17:O17" si="2">SUM(G12:G16)</f>
        <v>10567.4515495046</v>
      </c>
      <c r="H17" s="4">
        <f t="shared" si="2"/>
        <v>19300.790720455065</v>
      </c>
      <c r="I17" s="4">
        <f t="shared" si="2"/>
        <v>26933.662464273049</v>
      </c>
      <c r="J17" s="4">
        <f t="shared" si="2"/>
        <v>31513.385510563839</v>
      </c>
      <c r="K17" s="4">
        <f t="shared" si="2"/>
        <v>34261.219338338313</v>
      </c>
      <c r="L17" s="4">
        <f t="shared" si="2"/>
        <v>23693.767788833713</v>
      </c>
      <c r="M17" s="4">
        <f t="shared" si="2"/>
        <v>14960.428617883248</v>
      </c>
      <c r="N17" s="4">
        <f t="shared" si="2"/>
        <v>7327.5568740652634</v>
      </c>
      <c r="O17" s="4">
        <f t="shared" si="2"/>
        <v>2747.8338277744738</v>
      </c>
      <c r="P17" s="4"/>
      <c r="Q17" s="4"/>
      <c r="R17" s="4"/>
      <c r="S17" s="4"/>
      <c r="T17" s="10"/>
    </row>
    <row r="19" spans="1:20" x14ac:dyDescent="0.3">
      <c r="A19" t="s">
        <v>42</v>
      </c>
      <c r="E19" s="4">
        <f>'Benefs egreso adelantado'!D16</f>
        <v>4551.12</v>
      </c>
    </row>
    <row r="20" spans="1:20" x14ac:dyDescent="0.3">
      <c r="A20" t="s">
        <v>43</v>
      </c>
      <c r="D20" s="4"/>
      <c r="E20" s="42">
        <f>'Resumen de Beneficios y Costos'!C36</f>
        <v>0.17</v>
      </c>
    </row>
    <row r="21" spans="1:20" x14ac:dyDescent="0.3">
      <c r="A21" t="s">
        <v>41</v>
      </c>
      <c r="E21" s="4">
        <f>E19*(1+E20)</f>
        <v>5324.8103999999994</v>
      </c>
    </row>
    <row r="22" spans="1:20" x14ac:dyDescent="0.3">
      <c r="D22" s="4"/>
    </row>
    <row r="23" spans="1:20" x14ac:dyDescent="0.3">
      <c r="D23" s="4"/>
    </row>
    <row r="24" spans="1:20" x14ac:dyDescent="0.3">
      <c r="E24">
        <f t="shared" ref="E24:O24" si="3">E10</f>
        <v>2018</v>
      </c>
      <c r="F24">
        <f t="shared" si="3"/>
        <v>2019</v>
      </c>
      <c r="G24">
        <f t="shared" si="3"/>
        <v>2020</v>
      </c>
      <c r="H24">
        <f t="shared" si="3"/>
        <v>2021</v>
      </c>
      <c r="I24">
        <f t="shared" si="3"/>
        <v>2022</v>
      </c>
      <c r="J24">
        <f t="shared" si="3"/>
        <v>2023</v>
      </c>
      <c r="K24">
        <f t="shared" si="3"/>
        <v>2024</v>
      </c>
      <c r="L24">
        <f t="shared" si="3"/>
        <v>2025</v>
      </c>
      <c r="M24">
        <f t="shared" si="3"/>
        <v>2026</v>
      </c>
      <c r="N24">
        <f t="shared" si="3"/>
        <v>2027</v>
      </c>
      <c r="O24">
        <f t="shared" si="3"/>
        <v>2028</v>
      </c>
    </row>
    <row r="26" spans="1:20" x14ac:dyDescent="0.3">
      <c r="A26" t="s">
        <v>36</v>
      </c>
      <c r="C26" s="4"/>
      <c r="F26" s="18">
        <f t="shared" ref="F26:O26" si="4">-PV(0.12,10,G17*$E19)</f>
        <v>271740357.81272101</v>
      </c>
      <c r="G26" s="18">
        <f t="shared" si="4"/>
        <v>496316803.71326429</v>
      </c>
      <c r="H26" s="18">
        <f t="shared" si="4"/>
        <v>692594902.46650076</v>
      </c>
      <c r="I26" s="18">
        <f t="shared" si="4"/>
        <v>810361761.71844292</v>
      </c>
      <c r="J26" s="18">
        <f t="shared" si="4"/>
        <v>881021877.26960802</v>
      </c>
      <c r="K26" s="18">
        <f t="shared" si="4"/>
        <v>609281519.45688701</v>
      </c>
      <c r="L26" s="18">
        <f t="shared" si="4"/>
        <v>384705073.55634367</v>
      </c>
      <c r="M26" s="18">
        <f t="shared" si="4"/>
        <v>188426974.80310711</v>
      </c>
      <c r="N26" s="18">
        <f t="shared" si="4"/>
        <v>70660115.551165164</v>
      </c>
      <c r="O26" s="18">
        <f t="shared" si="4"/>
        <v>0</v>
      </c>
      <c r="P26" s="18"/>
      <c r="Q26" s="18"/>
      <c r="R26" s="18"/>
      <c r="S26" s="18"/>
      <c r="T26" s="18"/>
    </row>
    <row r="27" spans="1:20" x14ac:dyDescent="0.3">
      <c r="A27" t="s">
        <v>37</v>
      </c>
      <c r="C27" s="4"/>
      <c r="G27" s="4">
        <f t="shared" ref="G27:O27" si="5">-PV(0.12,10,$E$21*G17)</f>
        <v>317936218.64088356</v>
      </c>
      <c r="H27" s="4">
        <f t="shared" si="5"/>
        <v>580690660.34451914</v>
      </c>
      <c r="I27" s="4">
        <f t="shared" si="5"/>
        <v>810336035.88580596</v>
      </c>
      <c r="J27" s="4">
        <f t="shared" si="5"/>
        <v>948123261.21057796</v>
      </c>
      <c r="K27" s="4">
        <f t="shared" si="5"/>
        <v>1030795596.4054412</v>
      </c>
      <c r="L27" s="4">
        <f t="shared" si="5"/>
        <v>712859377.7645576</v>
      </c>
      <c r="M27" s="4">
        <f t="shared" si="5"/>
        <v>450104936.06092209</v>
      </c>
      <c r="N27" s="4">
        <f t="shared" si="5"/>
        <v>220459560.51963526</v>
      </c>
      <c r="O27" s="4">
        <f t="shared" si="5"/>
        <v>82672335.19486323</v>
      </c>
      <c r="P27" s="4"/>
      <c r="Q27" s="4"/>
      <c r="R27" s="4"/>
      <c r="S27" s="4"/>
      <c r="T27" s="4"/>
    </row>
    <row r="28" spans="1:20" x14ac:dyDescent="0.3">
      <c r="C28" s="4"/>
    </row>
    <row r="29" spans="1:20" ht="29.4" customHeight="1" x14ac:dyDescent="0.3">
      <c r="A29" s="74" t="s">
        <v>101</v>
      </c>
      <c r="B29" s="74"/>
      <c r="C29" s="74"/>
      <c r="D29" s="74"/>
      <c r="E29" s="74"/>
      <c r="F29" s="18">
        <f>F27-F26</f>
        <v>-271740357.81272101</v>
      </c>
      <c r="G29" s="18">
        <f t="shared" ref="G29:O29" si="6">G27-G26</f>
        <v>-178380585.07238072</v>
      </c>
      <c r="H29" s="18">
        <f t="shared" si="6"/>
        <v>-111904242.12198162</v>
      </c>
      <c r="I29" s="18">
        <f t="shared" si="6"/>
        <v>-25725.8326369524</v>
      </c>
      <c r="J29" s="18">
        <f t="shared" si="6"/>
        <v>67101383.940969944</v>
      </c>
      <c r="K29" s="18">
        <f t="shared" si="6"/>
        <v>421514076.94855416</v>
      </c>
      <c r="L29" s="18">
        <f t="shared" si="6"/>
        <v>328154304.20821393</v>
      </c>
      <c r="M29" s="18">
        <f t="shared" si="6"/>
        <v>261677961.25781497</v>
      </c>
      <c r="N29" s="18">
        <f t="shared" si="6"/>
        <v>149799444.9684701</v>
      </c>
      <c r="O29" s="18">
        <f t="shared" si="6"/>
        <v>82672335.19486323</v>
      </c>
      <c r="P29" s="18"/>
      <c r="Q29" s="18"/>
      <c r="R29" s="18"/>
      <c r="S29" s="18"/>
      <c r="T29" s="18"/>
    </row>
    <row r="30" spans="1:20" x14ac:dyDescent="0.3">
      <c r="A30" t="s">
        <v>33</v>
      </c>
      <c r="C30" s="4"/>
      <c r="E30" s="37">
        <f>NPV(0.12,F29:T29)/POWER(1.12,1)</f>
        <v>108835367.09272429</v>
      </c>
    </row>
    <row r="31" spans="1:20" x14ac:dyDescent="0.3">
      <c r="A31" t="s">
        <v>104</v>
      </c>
      <c r="C31" s="4"/>
      <c r="D31" s="2"/>
      <c r="E31" s="38">
        <f>E30/C17</f>
        <v>635.32687507672847</v>
      </c>
    </row>
    <row r="32" spans="1:20" x14ac:dyDescent="0.3">
      <c r="C32" s="4"/>
    </row>
    <row r="33" spans="1:19" x14ac:dyDescent="0.3">
      <c r="A33" t="s">
        <v>34</v>
      </c>
      <c r="C33" s="4"/>
    </row>
    <row r="34" spans="1:19" x14ac:dyDescent="0.3">
      <c r="C34" s="4"/>
      <c r="E34" s="31">
        <v>2018</v>
      </c>
      <c r="F34" s="31">
        <v>2019</v>
      </c>
      <c r="G34" s="31">
        <v>2020</v>
      </c>
      <c r="H34" s="31">
        <v>2021</v>
      </c>
      <c r="I34" s="31">
        <v>2022</v>
      </c>
      <c r="J34" s="31">
        <v>2023</v>
      </c>
      <c r="K34" s="31">
        <v>2024</v>
      </c>
      <c r="L34" s="31">
        <v>2025</v>
      </c>
      <c r="M34" s="31">
        <v>2026</v>
      </c>
      <c r="N34" s="31">
        <v>2027</v>
      </c>
      <c r="O34" s="31">
        <v>2028</v>
      </c>
    </row>
    <row r="35" spans="1:19" x14ac:dyDescent="0.3">
      <c r="A35" t="s">
        <v>102</v>
      </c>
      <c r="C35" s="4"/>
      <c r="E35" s="10">
        <f>'Benefs egreso adelantado'!D37</f>
        <v>397.60563376600481</v>
      </c>
    </row>
    <row r="36" spans="1:19" x14ac:dyDescent="0.3">
      <c r="A36" t="s">
        <v>35</v>
      </c>
      <c r="C36" s="4"/>
      <c r="G36" s="4">
        <f>$E$35*G17</f>
        <v>4201678.2706323257</v>
      </c>
      <c r="H36" s="4">
        <f t="shared" ref="H36:O36" si="7">$E$35*H17</f>
        <v>7674103.1265915604</v>
      </c>
      <c r="I36" s="4">
        <f t="shared" si="7"/>
        <v>10708975.933746941</v>
      </c>
      <c r="J36" s="4">
        <f t="shared" si="7"/>
        <v>12529899.618040169</v>
      </c>
      <c r="K36" s="4">
        <f t="shared" si="7"/>
        <v>13622453.828616105</v>
      </c>
      <c r="L36" s="4">
        <f t="shared" si="7"/>
        <v>9420775.5579837784</v>
      </c>
      <c r="M36" s="4">
        <f t="shared" si="7"/>
        <v>5948350.7020245446</v>
      </c>
      <c r="N36" s="4">
        <f t="shared" si="7"/>
        <v>2913477.8948691641</v>
      </c>
      <c r="O36" s="4">
        <f t="shared" si="7"/>
        <v>1092554.2105759366</v>
      </c>
      <c r="P36" s="4"/>
      <c r="Q36" s="4"/>
      <c r="R36" s="4"/>
      <c r="S36" s="4"/>
    </row>
    <row r="37" spans="1:19" x14ac:dyDescent="0.3">
      <c r="A37" t="s">
        <v>38</v>
      </c>
      <c r="E37" s="37">
        <f>NPV(0.12,F36:T36)/POWER(1.12,2)</f>
        <v>33656480.080515087</v>
      </c>
    </row>
    <row r="39" spans="1:19" x14ac:dyDescent="0.3">
      <c r="A39" t="s">
        <v>44</v>
      </c>
      <c r="E39" s="19">
        <f>E30-E37</f>
        <v>75178887.012209207</v>
      </c>
    </row>
  </sheetData>
  <mergeCells count="1">
    <mergeCell ref="A29:E29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2"/>
  <sheetViews>
    <sheetView tabSelected="1" topLeftCell="A7" zoomScale="80" zoomScaleNormal="80" workbookViewId="0">
      <selection activeCell="C23" sqref="C23"/>
    </sheetView>
  </sheetViews>
  <sheetFormatPr defaultRowHeight="14.4" x14ac:dyDescent="0.3"/>
  <cols>
    <col min="1" max="1" width="45" style="44" customWidth="1"/>
    <col min="2" max="2" width="15.21875" style="44" customWidth="1"/>
    <col min="3" max="3" width="16.109375" style="44" customWidth="1"/>
    <col min="4" max="15" width="12.6640625" style="44" customWidth="1"/>
    <col min="16" max="16" width="8.88671875" style="44" bestFit="1" customWidth="1"/>
    <col min="17" max="16384" width="8.88671875" style="44"/>
  </cols>
  <sheetData>
    <row r="1" spans="1:15" x14ac:dyDescent="0.3">
      <c r="A1" s="44" t="s">
        <v>95</v>
      </c>
    </row>
    <row r="7" spans="1:15" x14ac:dyDescent="0.3">
      <c r="A7" s="46" t="s">
        <v>116</v>
      </c>
      <c r="B7" s="46"/>
    </row>
    <row r="8" spans="1:15" x14ac:dyDescent="0.3">
      <c r="A8" s="64" t="s">
        <v>111</v>
      </c>
      <c r="B8" s="64"/>
      <c r="C8" s="45" t="s">
        <v>99</v>
      </c>
      <c r="D8" s="45">
        <v>2018</v>
      </c>
      <c r="E8" s="45">
        <f>D8+1</f>
        <v>2019</v>
      </c>
      <c r="F8" s="45">
        <f t="shared" ref="F8:O8" si="0">E8+1</f>
        <v>2020</v>
      </c>
      <c r="G8" s="45">
        <f t="shared" si="0"/>
        <v>2021</v>
      </c>
      <c r="H8" s="45">
        <f t="shared" si="0"/>
        <v>2022</v>
      </c>
      <c r="I8" s="45">
        <f t="shared" si="0"/>
        <v>2023</v>
      </c>
      <c r="J8" s="45">
        <f t="shared" si="0"/>
        <v>2024</v>
      </c>
      <c r="K8" s="45">
        <f t="shared" si="0"/>
        <v>2025</v>
      </c>
      <c r="L8" s="45">
        <f t="shared" si="0"/>
        <v>2026</v>
      </c>
      <c r="M8" s="45">
        <f t="shared" si="0"/>
        <v>2027</v>
      </c>
      <c r="N8" s="45">
        <f t="shared" si="0"/>
        <v>2028</v>
      </c>
      <c r="O8" s="45">
        <f t="shared" si="0"/>
        <v>2029</v>
      </c>
    </row>
    <row r="9" spans="1:15" x14ac:dyDescent="0.3">
      <c r="A9" s="44" t="s">
        <v>96</v>
      </c>
      <c r="C9" s="65">
        <f t="shared" ref="C9:C12" si="1">NPV(0.12,D9:O9)</f>
        <v>104054845.8881696</v>
      </c>
      <c r="D9" s="48">
        <f>'Benefs egreso adelantado'!D25</f>
        <v>7514646.8899970884</v>
      </c>
      <c r="E9" s="48">
        <f>'Benefs egreso adelantado'!E25</f>
        <v>13725033.5411996</v>
      </c>
      <c r="F9" s="48">
        <f>'Benefs egreso adelantado'!F25</f>
        <v>19152864.049125366</v>
      </c>
      <c r="G9" s="48">
        <f>'Benefs egreso adelantado'!G25</f>
        <v>22409562.353880826</v>
      </c>
      <c r="H9" s="48">
        <f>'Benefs egreso adelantado'!H25</f>
        <v>24363581.336734101</v>
      </c>
      <c r="I9" s="48">
        <f>'Benefs egreso adelantado'!I25</f>
        <v>24363581.336734101</v>
      </c>
      <c r="J9" s="48">
        <f>'Benefs egreso adelantado'!J25</f>
        <v>24363581.336734101</v>
      </c>
      <c r="K9" s="48">
        <f>'Benefs egreso adelantado'!K25</f>
        <v>24363581.336734101</v>
      </c>
      <c r="L9" s="48">
        <f>'Benefs egreso adelantado'!L25</f>
        <v>16848934.446737014</v>
      </c>
      <c r="M9" s="48">
        <f>'Benefs egreso adelantado'!M25</f>
        <v>10638547.795534503</v>
      </c>
      <c r="N9" s="48">
        <f>'Benefs egreso adelantado'!N25</f>
        <v>5210717.2876087353</v>
      </c>
      <c r="O9" s="48">
        <f>'Benefs egreso adelantado'!O25</f>
        <v>1954018.9828532753</v>
      </c>
    </row>
    <row r="10" spans="1:15" x14ac:dyDescent="0.3">
      <c r="A10" s="44" t="s">
        <v>97</v>
      </c>
      <c r="C10" s="66">
        <f t="shared" si="1"/>
        <v>108835367.09272428</v>
      </c>
      <c r="D10" s="48">
        <f>'Benefs aumento escolaridad'!E29</f>
        <v>0</v>
      </c>
      <c r="E10" s="48">
        <f>'Benefs aumento escolaridad'!F29</f>
        <v>-271740357.81272101</v>
      </c>
      <c r="F10" s="48">
        <f>'Benefs aumento escolaridad'!G29</f>
        <v>-178380585.07238072</v>
      </c>
      <c r="G10" s="48">
        <f>'Benefs aumento escolaridad'!H29</f>
        <v>-111904242.12198162</v>
      </c>
      <c r="H10" s="48">
        <f>'Benefs aumento escolaridad'!I29</f>
        <v>-25725.8326369524</v>
      </c>
      <c r="I10" s="48">
        <f>'Benefs aumento escolaridad'!J29</f>
        <v>67101383.940969944</v>
      </c>
      <c r="J10" s="48">
        <f>'Benefs aumento escolaridad'!K29</f>
        <v>421514076.94855416</v>
      </c>
      <c r="K10" s="48">
        <f>'Benefs aumento escolaridad'!L29</f>
        <v>328154304.20821393</v>
      </c>
      <c r="L10" s="48">
        <f>'Benefs aumento escolaridad'!M29</f>
        <v>261677961.25781497</v>
      </c>
      <c r="M10" s="48">
        <f>'Benefs aumento escolaridad'!N29</f>
        <v>149799444.9684701</v>
      </c>
      <c r="N10" s="48">
        <f>'Benefs aumento escolaridad'!O29</f>
        <v>82672335.19486323</v>
      </c>
      <c r="O10" s="48">
        <f>'Benefs aumento escolaridad'!P29</f>
        <v>0</v>
      </c>
    </row>
    <row r="11" spans="1:15" x14ac:dyDescent="0.3">
      <c r="A11" s="44" t="s">
        <v>98</v>
      </c>
      <c r="C11" s="66">
        <f t="shared" si="1"/>
        <v>24565796.260754324</v>
      </c>
      <c r="D11" s="48">
        <f>'Benefs aumento escolaridad'!E36-'Benefs egreso adelantado'!D48</f>
        <v>-656512.2297863008</v>
      </c>
      <c r="E11" s="48">
        <f>'Benefs aumento escolaridad'!F36-'Benefs egreso adelantado'!E48</f>
        <v>-1199078.6135299313</v>
      </c>
      <c r="F11" s="48">
        <f>'Benefs aumento escolaridad'!G36-'Benefs egreso adelantado'!F48</f>
        <v>2528400.7809843663</v>
      </c>
      <c r="G11" s="48">
        <f>'Benefs aumento escolaridad'!H36-'Benefs egreso adelantado'!G48</f>
        <v>5716306.3112727841</v>
      </c>
      <c r="H11" s="48">
        <f>'Benefs aumento escolaridad'!I36-'Benefs egreso adelantado'!H48</f>
        <v>8580467.5230256747</v>
      </c>
      <c r="I11" s="48">
        <f>'Benefs aumento escolaridad'!J36-'Benefs egreso adelantado'!I48</f>
        <v>10401391.207318902</v>
      </c>
      <c r="J11" s="48">
        <f>'Benefs aumento escolaridad'!K36-'Benefs egreso adelantado'!J48</f>
        <v>11493945.417894838</v>
      </c>
      <c r="K11" s="48">
        <f>'Benefs aumento escolaridad'!L36-'Benefs egreso adelantado'!K48</f>
        <v>7292267.1472625118</v>
      </c>
      <c r="L11" s="48">
        <f>'Benefs aumento escolaridad'!M36-'Benefs egreso adelantado'!L48</f>
        <v>4476354.521089579</v>
      </c>
      <c r="M11" s="48">
        <f>'Benefs aumento escolaridad'!N36-'Benefs egreso adelantado'!M48</f>
        <v>1984048.097677829</v>
      </c>
      <c r="N11" s="48">
        <f>'Benefs aumento escolaridad'!O36-'Benefs egreso adelantado'!N48</f>
        <v>637323.28950262966</v>
      </c>
      <c r="O11" s="48">
        <f>'Benefs aumento escolaridad'!P36-'Benefs egreso adelantado'!O48</f>
        <v>-170711.59540249009</v>
      </c>
    </row>
    <row r="12" spans="1:15" x14ac:dyDescent="0.3">
      <c r="A12" s="44" t="s">
        <v>110</v>
      </c>
      <c r="C12" s="66">
        <f t="shared" si="1"/>
        <v>69659113.914204791</v>
      </c>
      <c r="D12" s="47">
        <f>'Benefs at prim salud'!D32</f>
        <v>78018207.583909377</v>
      </c>
    </row>
    <row r="13" spans="1:15" x14ac:dyDescent="0.3">
      <c r="A13" s="64" t="s">
        <v>113</v>
      </c>
      <c r="B13" s="64"/>
      <c r="C13" s="67">
        <f>NPV(0.12,D13:O13)</f>
        <v>257983530.63434434</v>
      </c>
      <c r="D13" s="47">
        <f>D9+D10+D12-D11</f>
        <v>86189366.703692779</v>
      </c>
      <c r="E13" s="47">
        <f t="shared" ref="E13:O13" si="2">E9+E10+E12-E11</f>
        <v>-256816245.6579915</v>
      </c>
      <c r="F13" s="47">
        <f t="shared" si="2"/>
        <v>-161756121.80423972</v>
      </c>
      <c r="G13" s="47">
        <f t="shared" si="2"/>
        <v>-95210986.079373583</v>
      </c>
      <c r="H13" s="47">
        <f t="shared" si="2"/>
        <v>15757387.981071474</v>
      </c>
      <c r="I13" s="47">
        <f t="shared" si="2"/>
        <v>81063574.070385143</v>
      </c>
      <c r="J13" s="47">
        <f t="shared" si="2"/>
        <v>434383712.86739343</v>
      </c>
      <c r="K13" s="47">
        <f t="shared" si="2"/>
        <v>345225618.39768553</v>
      </c>
      <c r="L13" s="47">
        <f t="shared" si="2"/>
        <v>274050541.18346244</v>
      </c>
      <c r="M13" s="47">
        <f t="shared" si="2"/>
        <v>158453944.66632676</v>
      </c>
      <c r="N13" s="47">
        <f t="shared" si="2"/>
        <v>87245729.192969337</v>
      </c>
      <c r="O13" s="47">
        <f t="shared" si="2"/>
        <v>2124730.5782557651</v>
      </c>
    </row>
    <row r="15" spans="1:15" x14ac:dyDescent="0.3">
      <c r="A15" s="49" t="s">
        <v>112</v>
      </c>
      <c r="C15" s="57">
        <v>2017</v>
      </c>
      <c r="D15" s="57">
        <v>2018</v>
      </c>
      <c r="E15" s="57">
        <v>2019</v>
      </c>
      <c r="F15" s="57">
        <v>2020</v>
      </c>
      <c r="G15" s="57" t="s">
        <v>7</v>
      </c>
    </row>
    <row r="16" spans="1:15" x14ac:dyDescent="0.3">
      <c r="A16" s="68" t="s">
        <v>126</v>
      </c>
      <c r="C16" s="69">
        <v>37520000</v>
      </c>
      <c r="D16" s="69">
        <f>170249460</f>
        <v>170249460</v>
      </c>
      <c r="E16" s="69">
        <v>24499841</v>
      </c>
      <c r="F16" s="69">
        <v>5330699</v>
      </c>
      <c r="G16" s="48">
        <f>SUM(C16:F16)</f>
        <v>237600000</v>
      </c>
    </row>
    <row r="17" spans="1:16" x14ac:dyDescent="0.3">
      <c r="A17" s="68" t="s">
        <v>127</v>
      </c>
      <c r="C17" s="69"/>
      <c r="D17" s="69">
        <v>4021178</v>
      </c>
      <c r="E17" s="69">
        <v>4731978.9451149404</v>
      </c>
      <c r="F17" s="69">
        <v>639684</v>
      </c>
      <c r="G17" s="48">
        <f>SUM(C17:F17)</f>
        <v>9392840.9451149404</v>
      </c>
    </row>
    <row r="18" spans="1:16" x14ac:dyDescent="0.3">
      <c r="A18" s="64" t="s">
        <v>114</v>
      </c>
      <c r="C18" s="70">
        <f>SUM(C16:C17)</f>
        <v>37520000</v>
      </c>
      <c r="D18" s="70">
        <f>SUM(D16:D17)</f>
        <v>174270638</v>
      </c>
      <c r="E18" s="70">
        <f>SUM(E16:E17)</f>
        <v>29231819.94511494</v>
      </c>
      <c r="F18" s="70">
        <f>SUM(F16:F17)</f>
        <v>5970383</v>
      </c>
      <c r="G18" s="60">
        <f>SUM(G16:G17)</f>
        <v>246992840.94511494</v>
      </c>
    </row>
    <row r="19" spans="1:16" x14ac:dyDescent="0.3">
      <c r="A19" s="64"/>
      <c r="B19" s="64"/>
      <c r="C19" s="60"/>
      <c r="D19" s="59"/>
      <c r="E19" s="59"/>
      <c r="F19" s="59"/>
      <c r="G19" s="47"/>
    </row>
    <row r="20" spans="1:16" x14ac:dyDescent="0.3">
      <c r="A20" s="64" t="s">
        <v>124</v>
      </c>
      <c r="B20" s="64"/>
      <c r="C20" s="51">
        <f>NPV(0.12,D18:F18)+C18</f>
        <v>220671812.50977182</v>
      </c>
      <c r="D20" s="47"/>
      <c r="E20" s="47"/>
      <c r="F20" s="47"/>
      <c r="G20" s="47"/>
    </row>
    <row r="21" spans="1:16" x14ac:dyDescent="0.3">
      <c r="C21" s="50"/>
      <c r="D21" s="47"/>
      <c r="E21" s="47"/>
      <c r="F21" s="47"/>
      <c r="G21" s="47"/>
    </row>
    <row r="22" spans="1:16" x14ac:dyDescent="0.3">
      <c r="A22" s="58" t="s">
        <v>125</v>
      </c>
      <c r="B22" s="58"/>
      <c r="C22" s="51">
        <f>C13-C20</f>
        <v>37311718.124572515</v>
      </c>
    </row>
    <row r="23" spans="1:16" x14ac:dyDescent="0.3">
      <c r="A23" s="49" t="s">
        <v>115</v>
      </c>
      <c r="B23" s="49"/>
      <c r="C23" s="52">
        <f>C13/C20</f>
        <v>1.1690823929899079</v>
      </c>
    </row>
    <row r="24" spans="1:16" x14ac:dyDescent="0.3">
      <c r="C24" s="50"/>
    </row>
    <row r="25" spans="1:16" x14ac:dyDescent="0.3">
      <c r="A25" s="46" t="s">
        <v>109</v>
      </c>
      <c r="B25" s="46"/>
      <c r="C25" s="53"/>
    </row>
    <row r="26" spans="1:16" x14ac:dyDescent="0.3">
      <c r="A26" s="44" t="s">
        <v>96</v>
      </c>
      <c r="C26" s="47">
        <f>'Benefs egreso adelantado'!C25</f>
        <v>104054845.88816962</v>
      </c>
      <c r="D26" s="47">
        <f>'Benefs egreso adelantado'!D25</f>
        <v>7514646.8899970884</v>
      </c>
      <c r="E26" s="47">
        <f>'Benefs egreso adelantado'!E25</f>
        <v>13725033.5411996</v>
      </c>
      <c r="F26" s="47">
        <f>'Benefs egreso adelantado'!F25</f>
        <v>19152864.049125366</v>
      </c>
      <c r="G26" s="47">
        <f>'Benefs egreso adelantado'!G25</f>
        <v>22409562.353880826</v>
      </c>
      <c r="H26" s="47">
        <f>'Benefs egreso adelantado'!H25</f>
        <v>24363581.336734101</v>
      </c>
      <c r="I26" s="47">
        <f>'Benefs egreso adelantado'!I25</f>
        <v>24363581.336734101</v>
      </c>
      <c r="J26" s="47">
        <f>'Benefs egreso adelantado'!J25</f>
        <v>24363581.336734101</v>
      </c>
      <c r="K26" s="47">
        <f>'Benefs egreso adelantado'!K25</f>
        <v>24363581.336734101</v>
      </c>
      <c r="L26" s="47">
        <f>'Benefs egreso adelantado'!L25</f>
        <v>16848934.446737014</v>
      </c>
      <c r="M26" s="47">
        <f>'Benefs egreso adelantado'!M25</f>
        <v>10638547.795534503</v>
      </c>
      <c r="N26" s="47">
        <f>'Benefs egreso adelantado'!N25</f>
        <v>5210717.2876087353</v>
      </c>
      <c r="O26" s="47">
        <f>'Benefs egreso adelantado'!O25</f>
        <v>1954018.9828532753</v>
      </c>
      <c r="P26" s="47"/>
    </row>
    <row r="27" spans="1:16" x14ac:dyDescent="0.3">
      <c r="A27" s="44" t="s">
        <v>97</v>
      </c>
      <c r="C27" s="47">
        <f>'Benefs aumento escolaridad'!E30</f>
        <v>108835367.09272429</v>
      </c>
      <c r="D27" s="47">
        <f>'Benefs aumento escolaridad'!E29</f>
        <v>0</v>
      </c>
      <c r="E27" s="47">
        <f>'Benefs aumento escolaridad'!F29</f>
        <v>-271740357.81272101</v>
      </c>
      <c r="F27" s="47">
        <f>'Benefs aumento escolaridad'!G29</f>
        <v>-178380585.07238072</v>
      </c>
      <c r="G27" s="47">
        <f>'Benefs aumento escolaridad'!H29</f>
        <v>-111904242.12198162</v>
      </c>
      <c r="H27" s="47">
        <f>'Benefs aumento escolaridad'!I29</f>
        <v>-25725.8326369524</v>
      </c>
      <c r="I27" s="47">
        <f>'Benefs aumento escolaridad'!J29</f>
        <v>67101383.940969944</v>
      </c>
      <c r="J27" s="47">
        <f>'Benefs aumento escolaridad'!K29</f>
        <v>421514076.94855416</v>
      </c>
      <c r="K27" s="47">
        <f>'Benefs aumento escolaridad'!L29</f>
        <v>328154304.20821393</v>
      </c>
      <c r="L27" s="47">
        <f>'Benefs aumento escolaridad'!M29</f>
        <v>261677961.25781497</v>
      </c>
      <c r="M27" s="47">
        <f>'Benefs aumento escolaridad'!N29</f>
        <v>149799444.9684701</v>
      </c>
      <c r="N27" s="47">
        <f>'Benefs aumento escolaridad'!O29</f>
        <v>82672335.19486323</v>
      </c>
      <c r="O27" s="47">
        <f>'Benefs aumento escolaridad'!P29</f>
        <v>0</v>
      </c>
    </row>
    <row r="28" spans="1:16" x14ac:dyDescent="0.3">
      <c r="A28" s="44" t="s">
        <v>98</v>
      </c>
      <c r="C28" s="47">
        <f>'Benefs aumento escolaridad'!E37-'Benefs egreso adelantado'!C48</f>
        <v>24565796.260754317</v>
      </c>
      <c r="D28" s="47">
        <f>'Benefs aumento escolaridad'!E36-'Benefs egreso adelantado'!D48</f>
        <v>-656512.2297863008</v>
      </c>
      <c r="E28" s="47">
        <f>'Benefs aumento escolaridad'!F36-'Benefs egreso adelantado'!E48</f>
        <v>-1199078.6135299313</v>
      </c>
      <c r="F28" s="47">
        <f>'Benefs aumento escolaridad'!G36-'Benefs egreso adelantado'!F48</f>
        <v>2528400.7809843663</v>
      </c>
      <c r="G28" s="47">
        <f>'Benefs aumento escolaridad'!H36-'Benefs egreso adelantado'!G48</f>
        <v>5716306.3112727841</v>
      </c>
      <c r="H28" s="47">
        <f>'Benefs aumento escolaridad'!I36-'Benefs egreso adelantado'!H48</f>
        <v>8580467.5230256747</v>
      </c>
      <c r="I28" s="47">
        <f>'Benefs aumento escolaridad'!J36-'Benefs egreso adelantado'!I48</f>
        <v>10401391.207318902</v>
      </c>
      <c r="J28" s="47">
        <f>'Benefs aumento escolaridad'!K36-'Benefs egreso adelantado'!J48</f>
        <v>11493945.417894838</v>
      </c>
      <c r="K28" s="47">
        <f>'Benefs aumento escolaridad'!L36-'Benefs egreso adelantado'!K48</f>
        <v>7292267.1472625118</v>
      </c>
      <c r="L28" s="47">
        <f>'Benefs aumento escolaridad'!M36-'Benefs egreso adelantado'!L48</f>
        <v>4476354.521089579</v>
      </c>
      <c r="M28" s="47">
        <f>'Benefs aumento escolaridad'!N36-'Benefs egreso adelantado'!M48</f>
        <v>1984048.097677829</v>
      </c>
      <c r="N28" s="47">
        <f>'Benefs aumento escolaridad'!O36-'Benefs egreso adelantado'!N48</f>
        <v>637323.28950262966</v>
      </c>
      <c r="O28" s="47">
        <f>'Benefs aumento escolaridad'!P36-'Benefs egreso adelantado'!O48</f>
        <v>-170711.59540249009</v>
      </c>
    </row>
    <row r="29" spans="1:16" x14ac:dyDescent="0.3">
      <c r="A29" s="44" t="s">
        <v>103</v>
      </c>
      <c r="C29" s="54">
        <f t="shared" ref="C29:O29" si="3">C26+C27-C28</f>
        <v>188324416.72013959</v>
      </c>
      <c r="D29" s="48">
        <f t="shared" si="3"/>
        <v>8171159.1197833894</v>
      </c>
      <c r="E29" s="48">
        <f t="shared" si="3"/>
        <v>-256816245.6579915</v>
      </c>
      <c r="F29" s="48">
        <f t="shared" si="3"/>
        <v>-161756121.80423972</v>
      </c>
      <c r="G29" s="48">
        <f t="shared" si="3"/>
        <v>-95210986.079373583</v>
      </c>
      <c r="H29" s="48">
        <f t="shared" si="3"/>
        <v>15757387.981071474</v>
      </c>
      <c r="I29" s="48">
        <f t="shared" si="3"/>
        <v>81063574.070385143</v>
      </c>
      <c r="J29" s="48">
        <f t="shared" si="3"/>
        <v>434383712.86739343</v>
      </c>
      <c r="K29" s="48">
        <f t="shared" si="3"/>
        <v>345225618.39768553</v>
      </c>
      <c r="L29" s="48">
        <f t="shared" si="3"/>
        <v>274050541.18346244</v>
      </c>
      <c r="M29" s="48">
        <f t="shared" si="3"/>
        <v>158453944.66632676</v>
      </c>
      <c r="N29" s="48">
        <f t="shared" si="3"/>
        <v>87245729.192969337</v>
      </c>
      <c r="O29" s="48">
        <f t="shared" si="3"/>
        <v>2124730.5782557651</v>
      </c>
    </row>
    <row r="30" spans="1:16" x14ac:dyDescent="0.3">
      <c r="C30" s="54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  <row r="32" spans="1:16" x14ac:dyDescent="0.3">
      <c r="A32" s="46" t="s">
        <v>121</v>
      </c>
      <c r="B32" s="46"/>
    </row>
    <row r="34" spans="1:3" x14ac:dyDescent="0.3">
      <c r="A34" s="44" t="s">
        <v>117</v>
      </c>
      <c r="C34" s="56">
        <v>0.12</v>
      </c>
    </row>
    <row r="35" spans="1:3" x14ac:dyDescent="0.3">
      <c r="A35" s="44" t="s">
        <v>118</v>
      </c>
      <c r="C35" s="56">
        <v>0.48</v>
      </c>
    </row>
    <row r="36" spans="1:3" x14ac:dyDescent="0.3">
      <c r="A36" s="44" t="s">
        <v>119</v>
      </c>
      <c r="C36" s="71">
        <v>0.17</v>
      </c>
    </row>
    <row r="37" spans="1:3" x14ac:dyDescent="0.3">
      <c r="A37" s="44" t="s">
        <v>120</v>
      </c>
      <c r="C37" s="56">
        <v>0.8</v>
      </c>
    </row>
    <row r="38" spans="1:3" x14ac:dyDescent="0.3">
      <c r="C38" s="55"/>
    </row>
    <row r="39" spans="1:3" x14ac:dyDescent="0.3">
      <c r="C39" s="47"/>
    </row>
    <row r="40" spans="1:3" x14ac:dyDescent="0.3">
      <c r="C40" s="47"/>
    </row>
    <row r="41" spans="1:3" x14ac:dyDescent="0.3">
      <c r="C41" s="47"/>
    </row>
    <row r="42" spans="1:3" x14ac:dyDescent="0.3">
      <c r="C42" s="48"/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6"/>
  <sheetViews>
    <sheetView topLeftCell="A28" workbookViewId="0">
      <selection activeCell="D5" sqref="D5"/>
    </sheetView>
  </sheetViews>
  <sheetFormatPr defaultRowHeight="14.4" x14ac:dyDescent="0.3"/>
  <cols>
    <col min="1" max="1" width="24.77734375" customWidth="1"/>
    <col min="2" max="2" width="11.44140625" customWidth="1"/>
    <col min="3" max="3" width="14.6640625" customWidth="1"/>
    <col min="4" max="4" width="16.21875" customWidth="1"/>
    <col min="5" max="5" width="13.44140625" customWidth="1"/>
  </cols>
  <sheetData>
    <row r="1" spans="1:4" x14ac:dyDescent="0.3">
      <c r="A1" s="17" t="s">
        <v>122</v>
      </c>
    </row>
    <row r="3" spans="1:4" x14ac:dyDescent="0.3">
      <c r="A3" s="17" t="s">
        <v>90</v>
      </c>
    </row>
    <row r="5" spans="1:4" x14ac:dyDescent="0.3">
      <c r="A5" t="s">
        <v>66</v>
      </c>
      <c r="D5">
        <f>'Datos sectoriales Educ y salud'!E33</f>
        <v>931</v>
      </c>
    </row>
    <row r="6" spans="1:4" x14ac:dyDescent="0.3">
      <c r="A6" t="s">
        <v>67</v>
      </c>
      <c r="D6" s="26">
        <f>D5/'Datos sectoriales Educ y salud'!E34</f>
        <v>2.0105820105820106E-2</v>
      </c>
    </row>
    <row r="8" spans="1:4" x14ac:dyDescent="0.3">
      <c r="A8" t="s">
        <v>68</v>
      </c>
      <c r="D8" s="15">
        <v>1</v>
      </c>
    </row>
    <row r="10" spans="1:4" x14ac:dyDescent="0.3">
      <c r="A10" t="s">
        <v>69</v>
      </c>
      <c r="D10" s="27">
        <f>D6*D8</f>
        <v>2.0105820105820106E-2</v>
      </c>
    </row>
    <row r="12" spans="1:4" x14ac:dyDescent="0.3">
      <c r="A12" t="s">
        <v>70</v>
      </c>
      <c r="D12" s="4">
        <v>16278844</v>
      </c>
    </row>
    <row r="13" spans="1:4" x14ac:dyDescent="0.3">
      <c r="A13" t="s">
        <v>71</v>
      </c>
      <c r="D13" s="4">
        <v>31338740</v>
      </c>
    </row>
    <row r="14" spans="1:4" x14ac:dyDescent="0.3">
      <c r="A14" t="s">
        <v>72</v>
      </c>
      <c r="D14" s="28">
        <f>D13/D12</f>
        <v>1.9251207272457429</v>
      </c>
    </row>
    <row r="16" spans="1:4" x14ac:dyDescent="0.3">
      <c r="A16" t="s">
        <v>73</v>
      </c>
      <c r="D16" s="4">
        <v>13036882</v>
      </c>
    </row>
    <row r="17" spans="1:4" x14ac:dyDescent="0.3">
      <c r="A17" t="s">
        <v>74</v>
      </c>
      <c r="D17" s="29">
        <f>D16/D12</f>
        <v>0.80084814376254232</v>
      </c>
    </row>
    <row r="19" spans="1:4" x14ac:dyDescent="0.3">
      <c r="A19" t="s">
        <v>75</v>
      </c>
      <c r="D19" s="9">
        <f>D16*D10</f>
        <v>262117.20423280424</v>
      </c>
    </row>
    <row r="20" spans="1:4" x14ac:dyDescent="0.3">
      <c r="A20" t="s">
        <v>91</v>
      </c>
      <c r="D20" s="9">
        <f>D19/D17</f>
        <v>327299.508994709</v>
      </c>
    </row>
    <row r="22" spans="1:4" x14ac:dyDescent="0.3">
      <c r="A22" t="s">
        <v>87</v>
      </c>
      <c r="D22" s="4">
        <f>'OMS AVAD'!B16</f>
        <v>6547</v>
      </c>
    </row>
    <row r="24" spans="1:4" x14ac:dyDescent="0.3">
      <c r="A24" t="s">
        <v>88</v>
      </c>
      <c r="D24" s="9">
        <f>D22*D20/100000</f>
        <v>21428.298853883596</v>
      </c>
    </row>
    <row r="26" spans="1:4" x14ac:dyDescent="0.3">
      <c r="A26" t="s">
        <v>89</v>
      </c>
      <c r="D26" s="4">
        <f>'Benefs egreso adelantado'!D16</f>
        <v>4551.12</v>
      </c>
    </row>
    <row r="27" spans="1:4" x14ac:dyDescent="0.3">
      <c r="D27" s="4"/>
    </row>
    <row r="28" spans="1:4" x14ac:dyDescent="0.3">
      <c r="A28" t="s">
        <v>106</v>
      </c>
      <c r="D28" s="4">
        <f>D24*D26</f>
        <v>97522759.479886711</v>
      </c>
    </row>
    <row r="30" spans="1:4" x14ac:dyDescent="0.3">
      <c r="A30" t="s">
        <v>107</v>
      </c>
      <c r="D30" s="42">
        <f>'Resumen de Beneficios y Costos'!C37</f>
        <v>0.8</v>
      </c>
    </row>
    <row r="32" spans="1:4" x14ac:dyDescent="0.3">
      <c r="A32" t="s">
        <v>108</v>
      </c>
      <c r="D32" s="19">
        <f>D28*D30</f>
        <v>78018207.583909377</v>
      </c>
    </row>
    <row r="33" spans="1:5" s="40" customFormat="1" x14ac:dyDescent="0.3">
      <c r="A33" s="40" t="s">
        <v>123</v>
      </c>
      <c r="D33" s="19">
        <f>D32/1.12</f>
        <v>69659113.914204791</v>
      </c>
    </row>
    <row r="35" spans="1:5" x14ac:dyDescent="0.3">
      <c r="A35" s="17"/>
      <c r="B35" s="32"/>
      <c r="C35" s="32"/>
      <c r="D35" s="32"/>
      <c r="E35" s="32"/>
    </row>
    <row r="36" spans="1:5" s="40" customFormat="1" x14ac:dyDescent="0.3">
      <c r="A36" s="17"/>
    </row>
    <row r="37" spans="1:5" x14ac:dyDescent="0.3">
      <c r="A37" s="32"/>
      <c r="C37" s="4"/>
      <c r="D37" s="32"/>
      <c r="E37" s="32"/>
    </row>
    <row r="38" spans="1:5" x14ac:dyDescent="0.3">
      <c r="A38" s="32"/>
      <c r="C38" s="4"/>
      <c r="D38" s="32"/>
      <c r="E38" s="32"/>
    </row>
    <row r="39" spans="1:5" x14ac:dyDescent="0.3">
      <c r="A39" s="32"/>
      <c r="C39" s="9"/>
      <c r="D39" s="32"/>
      <c r="E39" s="32"/>
    </row>
    <row r="40" spans="1:5" s="32" customFormat="1" x14ac:dyDescent="0.3">
      <c r="C40" s="9"/>
    </row>
    <row r="41" spans="1:5" x14ac:dyDescent="0.3">
      <c r="A41" s="32"/>
      <c r="B41" s="32"/>
      <c r="C41" s="11"/>
      <c r="D41" s="11"/>
      <c r="E41" s="11"/>
    </row>
    <row r="42" spans="1:5" x14ac:dyDescent="0.3">
      <c r="A42" s="32"/>
      <c r="B42" s="32"/>
      <c r="C42" s="9"/>
      <c r="D42" s="9"/>
      <c r="E42" s="9"/>
    </row>
    <row r="43" spans="1:5" x14ac:dyDescent="0.3">
      <c r="A43" s="32"/>
      <c r="C43" s="37"/>
      <c r="D43" s="32"/>
      <c r="E43" s="32"/>
    </row>
    <row r="45" spans="1:5" x14ac:dyDescent="0.3">
      <c r="C45" s="19"/>
    </row>
    <row r="46" spans="1:5" x14ac:dyDescent="0.3">
      <c r="C46" s="39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B16"/>
  <sheetViews>
    <sheetView workbookViewId="0">
      <selection activeCell="A4" sqref="A4:B14"/>
    </sheetView>
  </sheetViews>
  <sheetFormatPr defaultRowHeight="14.4" x14ac:dyDescent="0.3"/>
  <cols>
    <col min="1" max="1" width="37.5546875" customWidth="1"/>
    <col min="2" max="2" width="12.33203125" customWidth="1"/>
  </cols>
  <sheetData>
    <row r="3" spans="1:2" x14ac:dyDescent="0.3">
      <c r="A3" t="s">
        <v>76</v>
      </c>
    </row>
    <row r="4" spans="1:2" ht="47.4" customHeight="1" x14ac:dyDescent="0.3">
      <c r="A4" s="75" t="s">
        <v>105</v>
      </c>
      <c r="B4" s="76"/>
    </row>
    <row r="5" spans="1:2" ht="28.8" x14ac:dyDescent="0.3">
      <c r="A5" t="s">
        <v>76</v>
      </c>
      <c r="B5" s="30" t="s">
        <v>77</v>
      </c>
    </row>
    <row r="6" spans="1:2" x14ac:dyDescent="0.3">
      <c r="A6" t="s">
        <v>78</v>
      </c>
      <c r="B6" s="4">
        <v>512</v>
      </c>
    </row>
    <row r="7" spans="1:2" x14ac:dyDescent="0.3">
      <c r="A7" t="s">
        <v>79</v>
      </c>
      <c r="B7" s="4">
        <v>343</v>
      </c>
    </row>
    <row r="8" spans="1:2" x14ac:dyDescent="0.3">
      <c r="A8" t="s">
        <v>80</v>
      </c>
      <c r="B8" s="4">
        <v>63</v>
      </c>
    </row>
    <row r="9" spans="1:2" x14ac:dyDescent="0.3">
      <c r="A9" t="s">
        <v>81</v>
      </c>
      <c r="B9" s="4">
        <v>467</v>
      </c>
    </row>
    <row r="10" spans="1:2" x14ac:dyDescent="0.3">
      <c r="A10" t="s">
        <v>82</v>
      </c>
      <c r="B10" s="4">
        <v>896</v>
      </c>
    </row>
    <row r="11" spans="1:2" x14ac:dyDescent="0.3">
      <c r="A11" t="s">
        <v>83</v>
      </c>
      <c r="B11" s="4">
        <v>355</v>
      </c>
    </row>
    <row r="12" spans="1:2" x14ac:dyDescent="0.3">
      <c r="A12" t="s">
        <v>84</v>
      </c>
      <c r="B12" s="4">
        <v>580</v>
      </c>
    </row>
    <row r="13" spans="1:2" x14ac:dyDescent="0.3">
      <c r="A13" t="s">
        <v>92</v>
      </c>
      <c r="B13" s="4">
        <v>1626</v>
      </c>
    </row>
    <row r="14" spans="1:2" x14ac:dyDescent="0.3">
      <c r="A14" t="s">
        <v>85</v>
      </c>
      <c r="B14" s="4">
        <v>1705</v>
      </c>
    </row>
    <row r="16" spans="1:2" x14ac:dyDescent="0.3">
      <c r="A16" t="s">
        <v>86</v>
      </c>
      <c r="B16" s="4">
        <f>SUM(B6:B15)</f>
        <v>6547</v>
      </c>
    </row>
  </sheetData>
  <mergeCells count="1">
    <mergeCell ref="A4:B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Datos sectoriales Educ y salud</vt:lpstr>
      <vt:lpstr>Planilla de beneficiarios</vt:lpstr>
      <vt:lpstr>Benefs egreso adelantado</vt:lpstr>
      <vt:lpstr>Benefs aumento escolaridad</vt:lpstr>
      <vt:lpstr>Resumen de Beneficios y Costos</vt:lpstr>
      <vt:lpstr>Benefs at prim salud</vt:lpstr>
      <vt:lpstr>OMS AVAD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Fernandez, Roberto</dc:creator>
  <cp:lastModifiedBy>Fernandez, Roberto</cp:lastModifiedBy>
  <cp:lastPrinted>2017-08-17T18:13:39Z</cp:lastPrinted>
  <dcterms:created xsi:type="dcterms:W3CDTF">2017-08-09T19:24:54Z</dcterms:created>
  <dcterms:modified xsi:type="dcterms:W3CDTF">2017-09-27T03:37:06Z</dcterms:modified>
</cp:coreProperties>
</file>