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ERGA\Desktop\Projetos\BR-L 1491 CELESC\PEP POA PA\"/>
    </mc:Choice>
  </mc:AlternateContent>
  <xr:revisionPtr revIDLastSave="0" documentId="8_{93DF3DA2-0ED3-447B-9A9C-1C5AFD09A79F}" xr6:coauthVersionLast="34" xr6:coauthVersionMax="34" xr10:uidLastSave="{00000000-0000-0000-0000-000000000000}"/>
  <bookViews>
    <workbookView xWindow="0" yWindow="0" windowWidth="30720" windowHeight="13392" tabRatio="881" xr2:uid="{00000000-000D-0000-FFFF-FFFF00000000}"/>
  </bookViews>
  <sheets>
    <sheet name="Plano de Aquisicoes" sheetId="91" r:id="rId1"/>
    <sheet name="Relacao das Obras" sheetId="93" r:id="rId2"/>
  </sheets>
  <externalReferences>
    <externalReference r:id="rId3"/>
    <externalReference r:id="rId4"/>
    <externalReference r:id="rId5"/>
    <externalReference r:id="rId6"/>
  </externalReferences>
  <definedNames>
    <definedName name="_1" localSheetId="0">[1]INDIECO1!#REF!</definedName>
    <definedName name="_1">[1]INDIECO1!#REF!</definedName>
    <definedName name="_BON100" localSheetId="0">[2]GERAÇÃO!#REF!</definedName>
    <definedName name="_BON100">[2]GERAÇÃO!#REF!</definedName>
    <definedName name="_data" localSheetId="0">#REF!</definedName>
    <definedName name="_data">#REF!</definedName>
    <definedName name="_ENC100" localSheetId="0">[3]Pessoal!#REF!</definedName>
    <definedName name="_ENC100">[3]Pessoal!#REF!</definedName>
    <definedName name="_Ind01" localSheetId="0">[3]Pessoal!#REF!</definedName>
    <definedName name="_Ind01">[3]Pessoal!#REF!</definedName>
    <definedName name="_Ind02" localSheetId="0">[2]GERAÇÃO!#REF!</definedName>
    <definedName name="_Ind02">[2]GERAÇÃO!#REF!</definedName>
    <definedName name="_Ind03" localSheetId="0">#REF!</definedName>
    <definedName name="_Ind03">#REF!</definedName>
    <definedName name="_Ind04" localSheetId="0">#REF!</definedName>
    <definedName name="_Ind04">#REF!</definedName>
    <definedName name="_ind1" localSheetId="0">[2]GERAÇÃO!#REF!</definedName>
    <definedName name="_ind1">[2]GERAÇÃO!#REF!</definedName>
    <definedName name="_ind2" localSheetId="0">[2]GERAÇÃO!#REF!</definedName>
    <definedName name="_ind2">[2]GERAÇÃO!#REF!</definedName>
    <definedName name="_ind3">[2]GERAÇÃO!#REF!</definedName>
    <definedName name="_ind4">[2]GERAÇÃO!#REF!</definedName>
    <definedName name="_ps1" localSheetId="0">#REF!</definedName>
    <definedName name="_ps1">#REF!</definedName>
    <definedName name="_ps2" localSheetId="0">#REF!</definedName>
    <definedName name="_ps2">#REF!</definedName>
    <definedName name="_ps3" localSheetId="0">#REF!</definedName>
    <definedName name="_ps3">#REF!</definedName>
    <definedName name="_pta15" localSheetId="0">#REF!</definedName>
    <definedName name="_pta15">#REF!</definedName>
    <definedName name="_qta15" localSheetId="0">#REF!</definedName>
    <definedName name="_qta15">#REF!</definedName>
    <definedName name="_REM100" localSheetId="0">[2]GERAÇÃO!#REF!</definedName>
    <definedName name="_REM100">[2]GERAÇÃO!#REF!</definedName>
    <definedName name="_vte2" localSheetId="0">#REF!</definedName>
    <definedName name="_vte2">#REF!</definedName>
    <definedName name="_vte3" localSheetId="0">#REF!</definedName>
    <definedName name="_vte3">#REF!</definedName>
    <definedName name="_vte4" localSheetId="0">#REF!</definedName>
    <definedName name="_vte4">#REF!</definedName>
    <definedName name="_vte5" localSheetId="0">#REF!</definedName>
    <definedName name="_vte5">#REF!</definedName>
    <definedName name="_xlnm.Criteria">#N/A</definedName>
    <definedName name="desembolso5ceee" localSheetId="0">#REF!</definedName>
    <definedName name="desembolso5ceee">#REF!</definedName>
    <definedName name="DIS_23" localSheetId="0">#REF!</definedName>
    <definedName name="DIS_23">#REF!</definedName>
    <definedName name="DIS_230" localSheetId="0">#REF!</definedName>
    <definedName name="DIS_230">#REF!</definedName>
    <definedName name="EncaNovos100" localSheetId="0">[2]GERAÇÃO!#REF!</definedName>
    <definedName name="EncaNovos100">[2]GERAÇÃO!#REF!</definedName>
    <definedName name="ENCNOVOS" localSheetId="0">[2]GERAÇÃO!#REF!</definedName>
    <definedName name="ENCNOVOS">[2]GERAÇÃO!#REF!</definedName>
    <definedName name="EncNovos100" localSheetId="0">[2]GERAÇÃO!#REF!</definedName>
    <definedName name="EncNovos100">[2]GERAÇÃO!#REF!</definedName>
    <definedName name="Excel_BuiltIn_Print_Area_1_1" localSheetId="0">#REF!</definedName>
    <definedName name="Excel_BuiltIn_Print_Area_1_1">#REF!</definedName>
    <definedName name="indice" localSheetId="0">[2]GERAÇÃO!#REF!</definedName>
    <definedName name="indice">[2]GERAÇÃO!#REF!</definedName>
    <definedName name="Indice01" localSheetId="0">[2]GERAÇÃO!#REF!</definedName>
    <definedName name="Indice01">[2]GERAÇÃO!#REF!</definedName>
    <definedName name="km" localSheetId="0">#REF!</definedName>
    <definedName name="km">#REF!</definedName>
    <definedName name="kmlt" localSheetId="0">#REF!</definedName>
    <definedName name="kmlt">#REF!</definedName>
    <definedName name="lt" localSheetId="0">#REF!</definedName>
    <definedName name="lt">#REF!</definedName>
    <definedName name="MES" localSheetId="0">'[4]1996'!#REF!</definedName>
    <definedName name="MES">'[4]1996'!#REF!</definedName>
    <definedName name="num" localSheetId="0">#REF!</definedName>
    <definedName name="num">#REF!</definedName>
    <definedName name="PR_23" localSheetId="0">#REF!</definedName>
    <definedName name="PR_23">#REF!</definedName>
    <definedName name="PR_230" localSheetId="0">#REF!</definedName>
    <definedName name="PR_230">#REF!</definedName>
    <definedName name="_xlnm.Print_Area" localSheetId="0">'Plano de Aquisicoes'!$A$1:$P$220</definedName>
    <definedName name="pta" localSheetId="0">#REF!</definedName>
    <definedName name="pta">#REF!</definedName>
    <definedName name="ptae" localSheetId="0">#REF!</definedName>
    <definedName name="ptae">#REF!</definedName>
    <definedName name="ptai" localSheetId="0">#REF!</definedName>
    <definedName name="ptai">#REF!</definedName>
    <definedName name="ptfl" localSheetId="0">#REF!</definedName>
    <definedName name="ptfl">#REF!</definedName>
    <definedName name="ptsa" localSheetId="0">#REF!</definedName>
    <definedName name="ptsa">#REF!</definedName>
    <definedName name="ptta" localSheetId="0">#REF!</definedName>
    <definedName name="ptta">#REF!</definedName>
    <definedName name="pttt" localSheetId="0">#REF!</definedName>
    <definedName name="pttt">#REF!</definedName>
    <definedName name="qtae" localSheetId="0">#REF!</definedName>
    <definedName name="qtae">#REF!</definedName>
    <definedName name="qtag" localSheetId="0">#REF!</definedName>
    <definedName name="qtag">#REF!</definedName>
    <definedName name="qtai" localSheetId="0">#REF!</definedName>
    <definedName name="qtai">#REF!</definedName>
    <definedName name="qtcc" localSheetId="0">#REF!</definedName>
    <definedName name="qtcc">#REF!</definedName>
    <definedName name="qtcci" localSheetId="0">#REF!</definedName>
    <definedName name="qtcci">#REF!</definedName>
    <definedName name="QTD_MOD_23" localSheetId="0">#REF!</definedName>
    <definedName name="QTD_MOD_23">#REF!</definedName>
    <definedName name="QTD_MOD_230" localSheetId="0">#REF!</definedName>
    <definedName name="QTD_MOD_230">#REF!</definedName>
    <definedName name="QTD_MOD_INT_230" localSheetId="0">#REF!</definedName>
    <definedName name="QTD_MOD_INT_230">#REF!</definedName>
    <definedName name="QTD_MOD_LT_230" localSheetId="0">#REF!</definedName>
    <definedName name="QTD_MOD_LT_230">#REF!</definedName>
    <definedName name="QTD_MOD_TR_23" localSheetId="0">#REF!</definedName>
    <definedName name="QTD_MOD_TR_23">#REF!</definedName>
    <definedName name="QTD_MOD_TR_230" localSheetId="0">#REF!</definedName>
    <definedName name="QTD_MOD_TR_230">#REF!</definedName>
    <definedName name="QTD_MOD_VAZIO_23" localSheetId="0">#REF!</definedName>
    <definedName name="QTD_MOD_VAZIO_23">#REF!</definedName>
    <definedName name="QTD_TSA" localSheetId="0">#REF!</definedName>
    <definedName name="QTD_TSA">#REF!</definedName>
    <definedName name="qtfl" localSheetId="0">#REF!</definedName>
    <definedName name="qtfl">#REF!</definedName>
    <definedName name="qtha" localSheetId="0">#REF!</definedName>
    <definedName name="qtha">#REF!</definedName>
    <definedName name="qtor" localSheetId="0">#REF!</definedName>
    <definedName name="qtor">#REF!</definedName>
    <definedName name="qtpb" localSheetId="0">#REF!</definedName>
    <definedName name="qtpb">#REF!</definedName>
    <definedName name="qtpr" localSheetId="0">#REF!</definedName>
    <definedName name="qtpr">#REF!</definedName>
    <definedName name="qtpr64" localSheetId="0">#REF!</definedName>
    <definedName name="qtpr64">#REF!</definedName>
    <definedName name="qtpr89" localSheetId="0">#REF!</definedName>
    <definedName name="qtpr89">#REF!</definedName>
    <definedName name="qtsa" localSheetId="0">#REF!</definedName>
    <definedName name="qtsa">#REF!</definedName>
    <definedName name="qtta" localSheetId="0">#REF!</definedName>
    <definedName name="qtta">#REF!</definedName>
    <definedName name="qttrav" localSheetId="0">#REF!</definedName>
    <definedName name="qttrav">#REF!</definedName>
    <definedName name="qttt" localSheetId="0">#REF!</definedName>
    <definedName name="qttt">#REF!</definedName>
    <definedName name="RemNovos100" localSheetId="0">[2]GERAÇÃO!#REF!</definedName>
    <definedName name="RemNovos100">[2]GERAÇÃO!#REF!</definedName>
    <definedName name="rev" localSheetId="0">#REF!</definedName>
    <definedName name="rev">#REF!</definedName>
    <definedName name="SEC_AV_230" localSheetId="0">#REF!</definedName>
    <definedName name="SEC_AV_230">#REF!</definedName>
    <definedName name="SEC_AV_LT_230" localSheetId="0">#REF!</definedName>
    <definedName name="SEC_AV_LT_230">#REF!</definedName>
    <definedName name="SEC_MONO_23" localSheetId="0">#REF!</definedName>
    <definedName name="SEC_MONO_23">#REF!</definedName>
    <definedName name="SEC_SEMI_230" localSheetId="0">#REF!</definedName>
    <definedName name="SEC_SEMI_230">#REF!</definedName>
    <definedName name="SEC_TRI_23" localSheetId="0">#REF!</definedName>
    <definedName name="SEC_TRI_23">#REF!</definedName>
    <definedName name="TC_23" localSheetId="0">#REF!</definedName>
    <definedName name="TC_23">#REF!</definedName>
    <definedName name="TC_230" localSheetId="0">#REF!</definedName>
    <definedName name="TC_230">#REF!</definedName>
    <definedName name="Total_Equipamentos" localSheetId="0">#REF!</definedName>
    <definedName name="Total_Equipamentos">#REF!</definedName>
    <definedName name="Total_Materiais" localSheetId="0">#REF!</definedName>
    <definedName name="Total_Materiais">#REF!</definedName>
    <definedName name="Total_MontagemEletr" localSheetId="0">#REF!</definedName>
    <definedName name="Total_MontagemEletr">#REF!</definedName>
    <definedName name="TPC_230" localSheetId="0">#REF!</definedName>
    <definedName name="TPC_230">#REF!</definedName>
    <definedName name="vmed" localSheetId="0">#REF!</definedName>
    <definedName name="vmed">#REF!</definedName>
    <definedName name="vrse" localSheetId="0">#REF!</definedName>
    <definedName name="vrse">#REF!</definedName>
    <definedName name="vrsl" localSheetId="0">#REF!</definedName>
    <definedName name="vrsl">#REF!</definedName>
    <definedName name="vtc" localSheetId="0">#REF!</definedName>
    <definedName name="vtc">#REF!</definedName>
  </definedNames>
  <calcPr calcId="179021"/>
  <fileRecoveryPr autoRecover="0"/>
</workbook>
</file>

<file path=xl/calcChain.xml><?xml version="1.0" encoding="utf-8"?>
<calcChain xmlns="http://schemas.openxmlformats.org/spreadsheetml/2006/main">
  <c r="G204" i="91" l="1"/>
  <c r="G203" i="91"/>
  <c r="G202" i="91" l="1"/>
  <c r="G189" i="91"/>
  <c r="G190" i="91"/>
  <c r="G179" i="91" l="1"/>
  <c r="R174" i="91"/>
  <c r="G166" i="91"/>
  <c r="G163" i="91"/>
  <c r="G135" i="91"/>
  <c r="G134" i="91"/>
  <c r="G133" i="91"/>
  <c r="G113" i="91"/>
  <c r="R112" i="91"/>
  <c r="G112" i="91" s="1"/>
  <c r="G132" i="91"/>
  <c r="R106" i="91"/>
  <c r="G106" i="91" s="1"/>
  <c r="G104" i="91"/>
  <c r="R105" i="91"/>
  <c r="G105" i="91" s="1"/>
  <c r="R125" i="91"/>
  <c r="G125" i="91" s="1"/>
  <c r="R121" i="91"/>
  <c r="R120" i="91"/>
  <c r="G120" i="91" s="1"/>
  <c r="R119" i="91"/>
  <c r="R117" i="91"/>
  <c r="G117" i="91" s="1"/>
  <c r="R111" i="91"/>
  <c r="G111" i="91" s="1"/>
  <c r="R103" i="91"/>
  <c r="G103" i="91" s="1"/>
  <c r="R101" i="91"/>
  <c r="G101" i="91" s="1"/>
  <c r="R96" i="91"/>
  <c r="R94" i="91"/>
  <c r="R93" i="91"/>
  <c r="R92" i="91"/>
  <c r="R91" i="91"/>
  <c r="R90" i="91"/>
  <c r="R88" i="91"/>
  <c r="R87" i="91"/>
  <c r="R86" i="91"/>
  <c r="G86" i="91" s="1"/>
  <c r="R82" i="91"/>
  <c r="R80" i="91"/>
  <c r="R79" i="91"/>
  <c r="G79" i="91" s="1"/>
  <c r="R78" i="91"/>
  <c r="R127" i="91"/>
  <c r="G127" i="91" s="1"/>
  <c r="G126" i="91"/>
  <c r="G124" i="91"/>
  <c r="G116" i="91"/>
  <c r="G110" i="91"/>
  <c r="G107" i="91"/>
  <c r="G128" i="91"/>
  <c r="G102" i="91"/>
  <c r="G77" i="91"/>
  <c r="R71" i="91"/>
  <c r="R70" i="91"/>
  <c r="G69" i="91"/>
  <c r="G59" i="91"/>
  <c r="R67" i="91"/>
  <c r="G67" i="91" s="1"/>
  <c r="R63" i="91"/>
  <c r="G63" i="91" s="1"/>
  <c r="G188" i="91"/>
  <c r="R31" i="91"/>
  <c r="G31" i="91" s="1"/>
  <c r="G42" i="91"/>
  <c r="G45" i="91"/>
  <c r="R40" i="91"/>
  <c r="R38" i="91"/>
  <c r="R35" i="91"/>
  <c r="R34" i="91"/>
  <c r="R29" i="91"/>
  <c r="R28" i="91"/>
  <c r="R26" i="91"/>
  <c r="R25" i="91"/>
  <c r="G25" i="91" s="1"/>
  <c r="R22" i="91"/>
  <c r="P10" i="91"/>
  <c r="G40" i="91" l="1"/>
  <c r="R109" i="91"/>
  <c r="G213" i="91" l="1"/>
  <c r="G123" i="91"/>
  <c r="G119" i="91"/>
  <c r="G114" i="91"/>
  <c r="G97" i="91"/>
  <c r="G81" i="91"/>
  <c r="G115" i="91"/>
  <c r="G65" i="91"/>
  <c r="R62" i="91"/>
  <c r="R60" i="91"/>
  <c r="R58" i="91"/>
  <c r="G58" i="91" s="1"/>
  <c r="G57" i="91"/>
  <c r="G41" i="91"/>
  <c r="G96" i="91"/>
  <c r="G95" i="91"/>
  <c r="G131" i="91" l="1"/>
  <c r="G130" i="91"/>
  <c r="G89" i="91"/>
  <c r="G129" i="91"/>
  <c r="G122" i="91"/>
  <c r="G121" i="91"/>
  <c r="G118" i="91"/>
  <c r="G109" i="91"/>
  <c r="G108" i="91"/>
  <c r="G100" i="91"/>
  <c r="G99" i="91"/>
  <c r="G98" i="91"/>
  <c r="G94" i="91"/>
  <c r="G93" i="91"/>
  <c r="G92" i="91"/>
  <c r="G91" i="91"/>
  <c r="G90" i="91"/>
  <c r="G88" i="91"/>
  <c r="G87" i="91"/>
  <c r="G85" i="91"/>
  <c r="G84" i="91"/>
  <c r="G83" i="91"/>
  <c r="G82" i="91"/>
  <c r="G80" i="91"/>
  <c r="G43" i="91"/>
  <c r="G194" i="91" l="1"/>
  <c r="G192" i="91"/>
  <c r="G191" i="91"/>
  <c r="G195" i="91" l="1"/>
  <c r="G193" i="91"/>
  <c r="R172" i="91"/>
  <c r="R173" i="91"/>
  <c r="R171" i="91"/>
  <c r="G159" i="91" l="1"/>
  <c r="G158" i="91"/>
  <c r="G157" i="91"/>
  <c r="G156" i="91"/>
  <c r="G155" i="91"/>
  <c r="G154" i="91"/>
  <c r="G153" i="91"/>
  <c r="G152" i="91"/>
  <c r="G151" i="91"/>
  <c r="G150" i="91"/>
  <c r="G149" i="91"/>
  <c r="G148" i="91"/>
  <c r="G139" i="91"/>
  <c r="G138" i="91"/>
  <c r="G137" i="91"/>
  <c r="G167" i="91" l="1"/>
  <c r="G168" i="91"/>
  <c r="G169" i="91"/>
  <c r="G180" i="91" l="1"/>
  <c r="G173" i="91"/>
  <c r="G172" i="91"/>
  <c r="G171" i="91"/>
  <c r="G170" i="91"/>
  <c r="G68" i="91"/>
  <c r="E51" i="93" l="1"/>
  <c r="E48" i="93"/>
  <c r="E47" i="93"/>
  <c r="E34" i="93"/>
  <c r="E33" i="93"/>
  <c r="G208" i="91" l="1"/>
  <c r="G196" i="91"/>
  <c r="R37" i="91" l="1"/>
  <c r="R36" i="91"/>
  <c r="R33" i="91"/>
  <c r="R30" i="91"/>
  <c r="R27" i="91"/>
  <c r="G207" i="91"/>
  <c r="G206" i="91"/>
  <c r="G205" i="91"/>
  <c r="G201" i="91"/>
  <c r="G183" i="91"/>
  <c r="G182" i="91"/>
  <c r="G181" i="91"/>
  <c r="G178" i="91"/>
  <c r="G177" i="91"/>
  <c r="G176" i="91"/>
  <c r="G175" i="91"/>
  <c r="G174" i="91"/>
  <c r="G165" i="91"/>
  <c r="G164" i="91"/>
  <c r="G162" i="91"/>
  <c r="G161" i="91"/>
  <c r="G160" i="91"/>
  <c r="G147" i="91"/>
  <c r="G146" i="91"/>
  <c r="G145" i="91"/>
  <c r="G144" i="91"/>
  <c r="G143" i="91"/>
  <c r="G142" i="91"/>
  <c r="G141" i="91"/>
  <c r="G140" i="91"/>
  <c r="G136" i="91"/>
  <c r="G78" i="91"/>
  <c r="G76" i="91"/>
  <c r="G75" i="91"/>
  <c r="G74" i="91"/>
  <c r="G73" i="91"/>
  <c r="G72" i="91"/>
  <c r="G71" i="91"/>
  <c r="G70" i="91"/>
  <c r="G66" i="91"/>
  <c r="G64" i="91"/>
  <c r="G62" i="91"/>
  <c r="G61" i="91"/>
  <c r="G60" i="91"/>
  <c r="G56" i="91"/>
  <c r="R23" i="91" l="1"/>
  <c r="G23" i="91" s="1"/>
  <c r="G22" i="91"/>
  <c r="R21" i="91"/>
  <c r="G21" i="91" s="1"/>
  <c r="R20" i="91"/>
  <c r="G20" i="91" s="1"/>
  <c r="G18" i="91"/>
  <c r="G17" i="91"/>
  <c r="G49" i="91"/>
  <c r="G48" i="91"/>
  <c r="G47" i="91"/>
  <c r="G46" i="91"/>
  <c r="G44" i="91"/>
  <c r="G39" i="91"/>
  <c r="G38" i="91"/>
  <c r="G37" i="91"/>
  <c r="G36" i="91"/>
  <c r="G35" i="91"/>
  <c r="G34" i="91"/>
  <c r="G33" i="91"/>
  <c r="G32" i="91"/>
  <c r="G30" i="91"/>
  <c r="G29" i="91"/>
  <c r="G28" i="91"/>
  <c r="G27" i="91"/>
  <c r="G26" i="91"/>
  <c r="G24" i="91"/>
  <c r="G19" i="91"/>
  <c r="G16" i="91"/>
  <c r="G15" i="9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sylviolr</author>
    <author>Monica Accioly da Costa</author>
  </authors>
  <commentList>
    <comment ref="D11" authorId="0" shapeId="0" xr:uid="{704292B4-4FBC-479B-9C2B-17CB203EDF74}">
      <text>
        <r>
          <rPr>
            <b/>
            <sz val="8"/>
            <color indexed="81"/>
            <rFont val="Tahoma"/>
            <family val="2"/>
          </rPr>
          <t>sylviolr em 28/2/18
:</t>
        </r>
        <r>
          <rPr>
            <sz val="8"/>
            <color indexed="81"/>
            <rFont val="Tahoma"/>
            <family val="2"/>
          </rPr>
          <t xml:space="preserve">
Inclui Bay da LT na SE CHAPECÓ II CCI</t>
        </r>
      </text>
    </comment>
    <comment ref="D33" authorId="0" shapeId="0" xr:uid="{9E985EC7-80D9-48E5-986B-3F95C7695219}">
      <text>
        <r>
          <rPr>
            <b/>
            <sz val="8"/>
            <color indexed="81"/>
            <rFont val="Tahoma"/>
            <family val="2"/>
          </rPr>
          <t>sylviolr:</t>
        </r>
        <r>
          <rPr>
            <sz val="8"/>
            <color indexed="81"/>
            <rFont val="Tahoma"/>
            <family val="2"/>
          </rPr>
          <t xml:space="preserve">
equipe / máo-de-obra própria
TT previsto pra entrega na SE em 09/05/17
</t>
        </r>
      </text>
    </comment>
    <comment ref="D34" authorId="1" shapeId="0" xr:uid="{EB252CDF-58ED-48A6-9B04-AAF46ECA4EBC}">
      <text>
        <r>
          <rPr>
            <b/>
            <sz val="9"/>
            <color indexed="81"/>
            <rFont val="Tahoma"/>
            <family val="2"/>
          </rPr>
          <t>Monica Accioly da Costa:</t>
        </r>
        <r>
          <rPr>
            <sz val="9"/>
            <color indexed="81"/>
            <rFont val="Tahoma"/>
            <family val="2"/>
          </rPr>
          <t xml:space="preserve">
TT novo chega em 9/mai/18; equipe/mao-de-obra própria</t>
        </r>
      </text>
    </comment>
    <comment ref="D35" authorId="0" shapeId="0" xr:uid="{45CAA0C3-4C10-4DB8-9177-5FDF21299B31}">
      <text>
        <r>
          <rPr>
            <b/>
            <sz val="8"/>
            <color indexed="81"/>
            <rFont val="Tahoma"/>
            <family val="2"/>
          </rPr>
          <t>sylviolr:</t>
        </r>
        <r>
          <rPr>
            <sz val="8"/>
            <color indexed="81"/>
            <rFont val="Tahoma"/>
            <family val="2"/>
          </rPr>
          <t xml:space="preserve">
equipe/mão-deobra própria
susbtituição de 26 por 40 MVA</t>
        </r>
      </text>
    </comment>
    <comment ref="D37" authorId="1" shapeId="0" xr:uid="{0900A42E-F94E-49B7-AA93-00AF256362C5}">
      <text>
        <r>
          <rPr>
            <b/>
            <sz val="9"/>
            <color indexed="81"/>
            <rFont val="Tahoma"/>
            <family val="2"/>
          </rPr>
          <t>Monica Accioly da Costa:</t>
        </r>
        <r>
          <rPr>
            <sz val="9"/>
            <color indexed="81"/>
            <rFont val="Tahoma"/>
            <family val="2"/>
          </rPr>
          <t xml:space="preserve">
iinstalação TT 26MVA em estoque</t>
        </r>
      </text>
    </comment>
    <comment ref="D38" authorId="1" shapeId="0" xr:uid="{64CBE937-95F5-451D-B2F4-43EBFE71FD3B}">
      <text>
        <r>
          <rPr>
            <b/>
            <sz val="9"/>
            <color indexed="81"/>
            <rFont val="Tahoma"/>
            <family val="2"/>
          </rPr>
          <t>Monica Accioly da Costa:</t>
        </r>
        <r>
          <rPr>
            <sz val="9"/>
            <color indexed="81"/>
            <rFont val="Tahoma"/>
            <family val="2"/>
          </rPr>
          <t xml:space="preserve">
TT novo</t>
        </r>
      </text>
    </comment>
    <comment ref="D39" authorId="1" shapeId="0" xr:uid="{E4522B01-2154-48E8-A0D2-39D1DEBDD125}">
      <text>
        <r>
          <rPr>
            <b/>
            <sz val="9"/>
            <color indexed="81"/>
            <rFont val="Tahoma"/>
            <family val="2"/>
          </rPr>
          <t>Monica Accioly da Costa:</t>
        </r>
        <r>
          <rPr>
            <sz val="9"/>
            <color indexed="81"/>
            <rFont val="Tahoma"/>
            <family val="2"/>
          </rPr>
          <t xml:space="preserve">
TT 26MVA em estoque; vai substiuir um 10MVA e outro 6MVA</t>
        </r>
      </text>
    </comment>
    <comment ref="D53" authorId="1" shapeId="0" xr:uid="{A3286776-2977-4D0D-AE86-D9FBC73A1837}">
      <text>
        <r>
          <rPr>
            <b/>
            <sz val="9"/>
            <color indexed="81"/>
            <rFont val="Tahoma"/>
            <family val="2"/>
          </rPr>
          <t>Monica Accioly da Costa:</t>
        </r>
        <r>
          <rPr>
            <sz val="9"/>
            <color indexed="81"/>
            <rFont val="Tahoma"/>
            <family val="2"/>
          </rPr>
          <t xml:space="preserve">
somente confiabilidade</t>
        </r>
      </text>
    </comment>
  </commentList>
</comments>
</file>

<file path=xl/sharedStrings.xml><?xml version="1.0" encoding="utf-8"?>
<sst xmlns="http://schemas.openxmlformats.org/spreadsheetml/2006/main" count="2412" uniqueCount="847">
  <si>
    <t>BENS</t>
  </si>
  <si>
    <t>Datas</t>
  </si>
  <si>
    <t>Previsto</t>
  </si>
  <si>
    <t>Status</t>
  </si>
  <si>
    <t>Atividade</t>
  </si>
  <si>
    <t>Revisão/Supervisão</t>
  </si>
  <si>
    <t>Sistema Nacional</t>
  </si>
  <si>
    <t>Ex-Post</t>
  </si>
  <si>
    <t>Ex-Ante</t>
  </si>
  <si>
    <t>Processo em curso</t>
  </si>
  <si>
    <t>ReLicitação</t>
  </si>
  <si>
    <t>Processo Cancelado</t>
  </si>
  <si>
    <t>Declaração de Licitação Deserta</t>
  </si>
  <si>
    <t>Rechazo de Ofertas</t>
  </si>
  <si>
    <t>Contrato em Execução</t>
  </si>
  <si>
    <t>Contrato Terminado</t>
  </si>
  <si>
    <t xml:space="preserve">Metodos </t>
  </si>
  <si>
    <t>Seleção Baseada na Qualificação do Consultor (SQC)</t>
  </si>
  <si>
    <t>Contratação Direta </t>
  </si>
  <si>
    <t>Bens, obras e Serviços</t>
  </si>
  <si>
    <t>Licitação Pública Internacional</t>
  </si>
  <si>
    <t>Licitação Pública Nacional </t>
  </si>
  <si>
    <t>Comparação de Preços 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</si>
  <si>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</si>
  <si>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</si>
  <si>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</si>
  <si>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por Lotes </t>
  </si>
  <si>
    <t>Licitação Pública Internacional sem Pré-qualificação</t>
  </si>
  <si>
    <t>Consultoria Individual</t>
  </si>
  <si>
    <t>Comparação de Qualificações (3 CV's)</t>
  </si>
  <si>
    <t>BRASIL</t>
  </si>
  <si>
    <t>Unidade Executora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</si>
  <si>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</si>
  <si>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</si>
  <si>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</si>
  <si>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</si>
  <si>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</si>
  <si>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</si>
  <si>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</si>
  <si>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Comentários - para Sistema Nacional incluir método de Seleção</t>
  </si>
  <si>
    <t>Numero PRISM</t>
  </si>
  <si>
    <t>Montante Estimado em US$:</t>
  </si>
  <si>
    <t>Montante Estimado % BID:</t>
  </si>
  <si>
    <t>Montante Estimado % Contrapartida:</t>
  </si>
  <si>
    <t>Publicação do Anúncio</t>
  </si>
  <si>
    <t>Assinatura do Contrato</t>
  </si>
  <si>
    <t>Unidade Executora:</t>
  </si>
  <si>
    <t>Método de Aquisição
(Selecionar uma das opções):</t>
  </si>
  <si>
    <t>SERVIÇOS QUE NÃO SÃO DE CONSULTORIA</t>
  </si>
  <si>
    <t>Publicação Documento de Licitação</t>
  </si>
  <si>
    <t>CONSULTORIAS FIRMAS</t>
  </si>
  <si>
    <t>Número do Processo:</t>
  </si>
  <si>
    <t>Publicação  Manifestação de Interesse</t>
  </si>
  <si>
    <t>Quantidade Estimada de Consultores:</t>
  </si>
  <si>
    <t>Não Objeção aos  TDR da Atividade</t>
  </si>
  <si>
    <t>Assinatura Contrato</t>
  </si>
  <si>
    <t>Consultoria firmas</t>
  </si>
  <si>
    <t>Comp. 1</t>
  </si>
  <si>
    <t>Comp. 4</t>
  </si>
  <si>
    <t>Comp. 2</t>
  </si>
  <si>
    <t>Comp. 3</t>
  </si>
  <si>
    <t>Pregão Eletrônico</t>
  </si>
  <si>
    <t>Seleção Baseada na Qualidade e Custo (SBQC)</t>
  </si>
  <si>
    <t>Seleção Baseado em Orçamento Fixo (SOF)</t>
  </si>
  <si>
    <t>Contratação Direta (CD)</t>
  </si>
  <si>
    <t>Seleção Baseada na Qualidade (SBQ)</t>
  </si>
  <si>
    <t>Seleção Baseada no Menor Custo (SBMC)</t>
  </si>
  <si>
    <t>Contrato de Empréstimo: A definir</t>
  </si>
  <si>
    <t>Programa de Investimentos em Infraestrutura Energética</t>
  </si>
  <si>
    <t>Mutuário e Executor: CELESC-D</t>
  </si>
  <si>
    <t>Projeto BR - L 1491</t>
  </si>
  <si>
    <t xml:space="preserve">PLANO DE AQUISIÇÕES (PA) </t>
  </si>
  <si>
    <t xml:space="preserve">Elaborado em: </t>
  </si>
  <si>
    <t>Elaborado por:</t>
  </si>
  <si>
    <t>CELESC-D</t>
  </si>
  <si>
    <t>OBRAS DA CELESC - D</t>
  </si>
  <si>
    <t>CELESC - D</t>
  </si>
  <si>
    <t>A Definir</t>
  </si>
  <si>
    <t>A definir</t>
  </si>
  <si>
    <t>Construção do Data Center</t>
  </si>
  <si>
    <t>-</t>
  </si>
  <si>
    <t>Abr/2018</t>
  </si>
  <si>
    <t>Nov/2018</t>
  </si>
  <si>
    <t>CONSULTORIAS INDIVIDUAIS</t>
  </si>
  <si>
    <t>Appliances de Backup e Segurança (ETI-G1)</t>
  </si>
  <si>
    <t>Servidores Blade (ETI-G2)</t>
  </si>
  <si>
    <t>Desktops e Notebooks (ETI-G3)</t>
  </si>
  <si>
    <t>Elaboração da Estratégia de Gênero e Diversidade</t>
  </si>
  <si>
    <t>Ações para Implementação da Estratégia de Gênero e Diversidade</t>
  </si>
  <si>
    <t>OUTROS ITENS DE CUSTOS</t>
  </si>
  <si>
    <t>Concorrência Pública</t>
  </si>
  <si>
    <t>único</t>
  </si>
  <si>
    <t>11/10/2017</t>
  </si>
  <si>
    <t>20/12/2017</t>
  </si>
  <si>
    <t>12/06/2018</t>
  </si>
  <si>
    <t>Implantação de Novas Subestações GRUPO 4 [NSE 06; 07]</t>
  </si>
  <si>
    <t>Implantação de Novas Subestações GRUPO 5 [NSE 09; 10; 12; 14]</t>
  </si>
  <si>
    <t>Agosto 2019</t>
  </si>
  <si>
    <t>Janeiro 2020</t>
  </si>
  <si>
    <t>Implantação de Novas Subestações GRUPO 6 (NSE 08; 11; 13; 15; 17)</t>
  </si>
  <si>
    <t>Junho 2020</t>
  </si>
  <si>
    <t>Janeiro 2021</t>
  </si>
  <si>
    <t>Junho 2021</t>
  </si>
  <si>
    <t>07/05/2018</t>
  </si>
  <si>
    <t>19/06/2018</t>
  </si>
  <si>
    <t>Ampliação de Subestações GRUPO 5 (AMP 12; 17; 25; 27; 30; 31)</t>
  </si>
  <si>
    <t>Novembro 2020</t>
  </si>
  <si>
    <t>Novembro 2021</t>
  </si>
  <si>
    <t>24/06/2018</t>
  </si>
  <si>
    <t>Implantação de Linha de Distribuição GRUPO 1 [ILD 01]</t>
  </si>
  <si>
    <t>17/04/2018</t>
  </si>
  <si>
    <t>Implantação de Linhas de Distribuição GRUPO 3 [ILD 07]</t>
  </si>
  <si>
    <t>Implantação de Linhas de Distribuição GRUPO 4 [ILD 06; 08; 09; 10]</t>
  </si>
  <si>
    <t>Julho 2020</t>
  </si>
  <si>
    <t>Dezembro 2020</t>
  </si>
  <si>
    <t>Março 2021</t>
  </si>
  <si>
    <t>Agosto 2021</t>
  </si>
  <si>
    <t>Implantação de Linhas de Distribuição GRUPO 8 [ILD 25; 26]</t>
  </si>
  <si>
    <t>Janeiro 2022</t>
  </si>
  <si>
    <t>26/03/2018</t>
  </si>
  <si>
    <t>18/00087</t>
  </si>
  <si>
    <t>02/02/2018</t>
  </si>
  <si>
    <t>08/06/2018</t>
  </si>
  <si>
    <t>16/05/2017</t>
  </si>
  <si>
    <t>03/08/2017</t>
  </si>
  <si>
    <t>15/03/2018</t>
  </si>
  <si>
    <t>14/07/2017</t>
  </si>
  <si>
    <t>24/08/2017</t>
  </si>
  <si>
    <t>26/09/2017</t>
  </si>
  <si>
    <t>27/07/2018</t>
  </si>
  <si>
    <t>11/07/2018</t>
  </si>
  <si>
    <t>20/06/2018</t>
  </si>
  <si>
    <t>13/06/2018</t>
  </si>
  <si>
    <t>Capacitação do Jovem Aprendiz</t>
  </si>
  <si>
    <t>Atividade- Código da Licitação</t>
  </si>
  <si>
    <t>1.1.1/1/001-00</t>
  </si>
  <si>
    <t>1.1.1/1/003-00</t>
  </si>
  <si>
    <t>1.3.1/1/001-00</t>
  </si>
  <si>
    <t>1.2.2/2/001-00</t>
  </si>
  <si>
    <t>1.2.2/2/004-00</t>
  </si>
  <si>
    <t>Equipamentos (Programa de Reatores) para AMP 04</t>
  </si>
  <si>
    <t>Equipamentos (Transformadores de Força) para AMP 03; 08; 09</t>
  </si>
  <si>
    <t>2.1.1/2/001-00</t>
  </si>
  <si>
    <t>2.1.1/2/006-00</t>
  </si>
  <si>
    <t>2.1.1/2/012-00</t>
  </si>
  <si>
    <t>Cabos nus de cobre para Redes de Distribuição (DIS E-G0)</t>
  </si>
  <si>
    <t>2.1.1/2/035-00</t>
  </si>
  <si>
    <t>Aquisição de postes para Redes de Distribuição de MT e BT</t>
  </si>
  <si>
    <t>Aquisição de cabos isolados para Redes de Distribuição de MT e BT</t>
  </si>
  <si>
    <t>Aquisição de Transformadores para Redes de Distribuição de MT e BT</t>
  </si>
  <si>
    <t>Aquisição de Cabos Protegidos para Redes de Distribuição de MT e BT</t>
  </si>
  <si>
    <t>Aquisição de Cruzetas para Redes de Distribuição de MT e BT</t>
  </si>
  <si>
    <t>Aquisição de Para-raios para Redes de Distribuição de MT e BT</t>
  </si>
  <si>
    <t>Aquisição de Isoladores para Redes de Distribuição de MT e BT</t>
  </si>
  <si>
    <t>Aquisição de Chaves para Redes de Distribuição de MT e BT</t>
  </si>
  <si>
    <t>Aquisição de Cabos Nús para Redes de Distribuição de MT e BT</t>
  </si>
  <si>
    <t>24/04/2017</t>
  </si>
  <si>
    <t>01/06/2017</t>
  </si>
  <si>
    <t>18/04/2017</t>
  </si>
  <si>
    <t>30/05/2017</t>
  </si>
  <si>
    <t>20/04/2017</t>
  </si>
  <si>
    <t>09/01/2018</t>
  </si>
  <si>
    <t>18/08/2018</t>
  </si>
  <si>
    <t>08/01/2018</t>
  </si>
  <si>
    <t>26/04/2018</t>
  </si>
  <si>
    <t>30/03/2017</t>
  </si>
  <si>
    <t>04/07/2017</t>
  </si>
  <si>
    <t>18/04/2018</t>
  </si>
  <si>
    <t>25/06/2018</t>
  </si>
  <si>
    <t>31/03/2017</t>
  </si>
  <si>
    <t>07/08/2017</t>
  </si>
  <si>
    <t>06/06/2018</t>
  </si>
  <si>
    <t>29/03/2017</t>
  </si>
  <si>
    <t>05/06/2017</t>
  </si>
  <si>
    <t>28/03/2017</t>
  </si>
  <si>
    <t>11/05/2017</t>
  </si>
  <si>
    <t>03/07/2017</t>
  </si>
  <si>
    <t>11/07/2017</t>
  </si>
  <si>
    <t>12/07/2017</t>
  </si>
  <si>
    <t>16/10/2017</t>
  </si>
  <si>
    <t>01/11/2017</t>
  </si>
  <si>
    <t>25/07/2017</t>
  </si>
  <si>
    <t>05/05/2017</t>
  </si>
  <si>
    <t>26/06/2017</t>
  </si>
  <si>
    <t>04/05/2017</t>
  </si>
  <si>
    <t>10/08/2017</t>
  </si>
  <si>
    <t>17/05/2017</t>
  </si>
  <si>
    <t>18/07/2017</t>
  </si>
  <si>
    <t>12/03/2018</t>
  </si>
  <si>
    <t>26/07/2018</t>
  </si>
  <si>
    <t>08/03/2018</t>
  </si>
  <si>
    <t>14/05/2018</t>
  </si>
  <si>
    <t>12/04/2018</t>
  </si>
  <si>
    <t>23/05/2018</t>
  </si>
  <si>
    <t>25/05/2018</t>
  </si>
  <si>
    <t>25/07/2018</t>
  </si>
  <si>
    <t>26/06/2018</t>
  </si>
  <si>
    <t>29/05/2018</t>
  </si>
  <si>
    <t>22/05/2018</t>
  </si>
  <si>
    <t>18/07/2018</t>
  </si>
  <si>
    <t>24/05/2018</t>
  </si>
  <si>
    <t>10/07/2018</t>
  </si>
  <si>
    <t>05/02/2018</t>
  </si>
  <si>
    <t>23/04/2018</t>
  </si>
  <si>
    <t>08/05/2018</t>
  </si>
  <si>
    <t>21/06/2018</t>
  </si>
  <si>
    <t>13/07/2018</t>
  </si>
  <si>
    <t>03/02/2017</t>
  </si>
  <si>
    <t>17/07/2017</t>
  </si>
  <si>
    <t>22/09/2017</t>
  </si>
  <si>
    <t>11/06/2018</t>
  </si>
  <si>
    <t>14/11/2017</t>
  </si>
  <si>
    <t>16/01/2018</t>
  </si>
  <si>
    <t>3.2.1/2/002-00</t>
  </si>
  <si>
    <t>3.2.1/2/003-00</t>
  </si>
  <si>
    <t>3.2.1/2/004-00</t>
  </si>
  <si>
    <t>3.2.1/2/005-00</t>
  </si>
  <si>
    <t>24/07/2017</t>
  </si>
  <si>
    <t>11/09/2017</t>
  </si>
  <si>
    <t>28/09/2017</t>
  </si>
  <si>
    <t>Upgrade de Servidor  (ETI G0)</t>
  </si>
  <si>
    <t>Aquisição de Desktops  (ETI G0)</t>
  </si>
  <si>
    <t>Storage de Contingência (ETI G0)</t>
  </si>
  <si>
    <t>Appliances de Backup (ETI-G0)</t>
  </si>
  <si>
    <t>Aquisição de Licenças Thin Client</t>
  </si>
  <si>
    <t>Aquisição de Notebooks</t>
  </si>
  <si>
    <t>24/10/2017</t>
  </si>
  <si>
    <t>27/11/2017</t>
  </si>
  <si>
    <t>09/11/2017</t>
  </si>
  <si>
    <t>29/12/2017</t>
  </si>
  <si>
    <t>Aquisição e Instalação de Equipamento para redes de MT e BT - Obras de Alimentadores na ARRSL - TIO4</t>
  </si>
  <si>
    <t>Aquisição e Instalação de Equipamento para redes de MT e BT - Obras de Alimentadores na ARJOI - Praia do Ervino</t>
  </si>
  <si>
    <t>Aquisição e Instalação de Equipamento para redes de MT e BT - Obras de Alimentadores na ARITA - PBO 07</t>
  </si>
  <si>
    <t>2.1.3/1/002-00</t>
  </si>
  <si>
    <t>2.1.3/1/006-00</t>
  </si>
  <si>
    <t>Aquisição e Instalação de Equipamento para redes de MT e BT - Obras de Alimentadores na ARBLU - BRB11 Botuverá</t>
  </si>
  <si>
    <t>Aquisição e Instalação de Equipamento para redes de MT e BT - Obras de Alimentadores na Ilha Sul ISL 07</t>
  </si>
  <si>
    <t xml:space="preserve">Aquisição e Instalação de Equipamento para redes de MT e BT - Obras de Alimentadores de Rede Monofásica para Trifásica </t>
  </si>
  <si>
    <t>Aquisição e Instalação de Equipamento para redes de MT e BT - Obras de Alimentadores 2019</t>
  </si>
  <si>
    <t>31/07/2018</t>
  </si>
  <si>
    <t>Aquisição de Religadores Trifásicos</t>
  </si>
  <si>
    <t>17/01409</t>
  </si>
  <si>
    <t>Montante Estimado em R$:</t>
  </si>
  <si>
    <t>1.1.1/1/002-00</t>
  </si>
  <si>
    <t>17/02430</t>
  </si>
  <si>
    <t>17/02431</t>
  </si>
  <si>
    <t>1.1.1/1/004-00</t>
  </si>
  <si>
    <t>17/02432</t>
  </si>
  <si>
    <t>1.1.1/1/005-00</t>
  </si>
  <si>
    <t>18/00776</t>
  </si>
  <si>
    <t>18/00565</t>
  </si>
  <si>
    <t>18/00792</t>
  </si>
  <si>
    <t>27/03/2018</t>
  </si>
  <si>
    <t>01/07/2018</t>
  </si>
  <si>
    <t>Junho 2019</t>
  </si>
  <si>
    <t>Novembro 2018</t>
  </si>
  <si>
    <t>Setembro 2018</t>
  </si>
  <si>
    <t>Outubro 2018</t>
  </si>
  <si>
    <t>Março 2019</t>
  </si>
  <si>
    <t>Novembro 2019</t>
  </si>
  <si>
    <t>17/02438</t>
  </si>
  <si>
    <t>18/01/2018</t>
  </si>
  <si>
    <t>18/00400</t>
  </si>
  <si>
    <t>Abril 2019</t>
  </si>
  <si>
    <t>Fevereiro 2019</t>
  </si>
  <si>
    <t>17/02204</t>
  </si>
  <si>
    <t>17/01428</t>
  </si>
  <si>
    <t>18/00176</t>
  </si>
  <si>
    <t>17/02096</t>
  </si>
  <si>
    <t>18/01004</t>
  </si>
  <si>
    <t>18/01002</t>
  </si>
  <si>
    <t>18/00987</t>
  </si>
  <si>
    <t>03/04/2018</t>
  </si>
  <si>
    <t>Janeiro 2019</t>
  </si>
  <si>
    <t>Dezembro 2018</t>
  </si>
  <si>
    <t>Maio 2019</t>
  </si>
  <si>
    <t>Julho 2019</t>
  </si>
  <si>
    <t>Setembro 2019</t>
  </si>
  <si>
    <t>17/00196</t>
  </si>
  <si>
    <t>17/00922</t>
  </si>
  <si>
    <t>17/00918</t>
  </si>
  <si>
    <t>17/01335</t>
  </si>
  <si>
    <t>18/00772</t>
  </si>
  <si>
    <t>18/01151</t>
  </si>
  <si>
    <t>18/01007</t>
  </si>
  <si>
    <t>Abril 2020</t>
  </si>
  <si>
    <t>Abril 2021</t>
  </si>
  <si>
    <t>Abril 2022</t>
  </si>
  <si>
    <t>15/07/2017</t>
  </si>
  <si>
    <t>17/00636</t>
  </si>
  <si>
    <t>17/00579</t>
  </si>
  <si>
    <t>17/00580</t>
  </si>
  <si>
    <t>17/02660</t>
  </si>
  <si>
    <t>17/02661</t>
  </si>
  <si>
    <t>17/02659</t>
  </si>
  <si>
    <t>17/00477</t>
  </si>
  <si>
    <t>17/00475</t>
  </si>
  <si>
    <t>18/00773</t>
  </si>
  <si>
    <t>17/00473</t>
  </si>
  <si>
    <t>17/00474</t>
  </si>
  <si>
    <t>17/01008</t>
  </si>
  <si>
    <t>17/01009</t>
  </si>
  <si>
    <t>17/01010</t>
  </si>
  <si>
    <t>17/01022</t>
  </si>
  <si>
    <t>17/01019</t>
  </si>
  <si>
    <t>17/00878</t>
  </si>
  <si>
    <t>17/00705</t>
  </si>
  <si>
    <t>17/00706</t>
  </si>
  <si>
    <t>17/00707</t>
  </si>
  <si>
    <t>18/00331</t>
  </si>
  <si>
    <t>18/00330</t>
  </si>
  <si>
    <t>18/00332</t>
  </si>
  <si>
    <t>18/00814</t>
  </si>
  <si>
    <t>18/00815</t>
  </si>
  <si>
    <t>18/01058</t>
  </si>
  <si>
    <t>18/00816</t>
  </si>
  <si>
    <t>18/00817</t>
  </si>
  <si>
    <t>18/00818</t>
  </si>
  <si>
    <t>18/00353</t>
  </si>
  <si>
    <t>18/00591</t>
  </si>
  <si>
    <t>18/00095</t>
  </si>
  <si>
    <t>18/00592</t>
  </si>
  <si>
    <t>18/00758</t>
  </si>
  <si>
    <t>18/00562</t>
  </si>
  <si>
    <t>17/00094</t>
  </si>
  <si>
    <t>17/01222</t>
  </si>
  <si>
    <t>17/01921</t>
  </si>
  <si>
    <t>17/02458</t>
  </si>
  <si>
    <t>18/00364</t>
  </si>
  <si>
    <t>17/00783</t>
  </si>
  <si>
    <t>17/01477</t>
  </si>
  <si>
    <t>17/01673</t>
  </si>
  <si>
    <t>17/02118</t>
  </si>
  <si>
    <t>18/00298</t>
  </si>
  <si>
    <t>Contratação de Empresa para Prestação de Serviços de Liberação e Constituição de Faixa de Servidão de Passagem</t>
  </si>
  <si>
    <t>17/02061</t>
  </si>
  <si>
    <t>Contratação de Empresa de Consultoria para Elaboração de Estudos Ambientais</t>
  </si>
  <si>
    <t>18/00680</t>
  </si>
  <si>
    <t>Auditoria e Avaliação do Programa</t>
  </si>
  <si>
    <t>16/03937</t>
  </si>
  <si>
    <t>Contratação de Empresa de Consultoria para Supervisão Técnica de Obras</t>
  </si>
  <si>
    <t>1.1   IMPLANTAÇÃO DE NOVAS SUBESTAÇÕES</t>
  </si>
  <si>
    <t>Ref</t>
  </si>
  <si>
    <t>OBRA</t>
  </si>
  <si>
    <t>Pot. Ad. (MVA)</t>
  </si>
  <si>
    <t>NSE 01</t>
  </si>
  <si>
    <t>SED CANOINHAS RIO DA AREIA - 9,4 MVA</t>
  </si>
  <si>
    <t>NSE 02</t>
  </si>
  <si>
    <t>SE SÃO JOSÉ REAL PARQUE - IMPLANTAÇÃO DA SUBESTAÇÃO - 40 MVA</t>
  </si>
  <si>
    <t>NSE 03</t>
  </si>
  <si>
    <t>SE  138/13,8 kV FLORIANÓPOLIS CAPOEIRAS - IMPLANTAÇÃO DA SUBESTAÇÃO - 26,67 MVA</t>
  </si>
  <si>
    <t>NSE 04</t>
  </si>
  <si>
    <t>SE 138/23 kV BRUSQUE SÃO PEDRO - IMPLANTAÇÃO DA SUBESTAÇÃO - 26,67 MVA</t>
  </si>
  <si>
    <t>NSE 05</t>
  </si>
  <si>
    <t>SE 138/23 kV CHAPECÓ III - IMPLANTAÇÃO DA SUBESTAÇÃO - 26,67 MVA</t>
  </si>
  <si>
    <t>NSE 06</t>
  </si>
  <si>
    <t>SE  138/69 kV JOINVILLE BOA VISTA - IMPLANTAÇÃO DA SUBESTAÇÃO - 2 X 66,67 MVA  (138/69 kV) + 1x 26,67 MVA (138/13 kV)</t>
  </si>
  <si>
    <t>NSE 07</t>
  </si>
  <si>
    <t>SE 138/13,8 kV ITAPEMA MEIA PRAIA - IMPLANTAÇÃO DA SUBESTAÇÃO - 40 MVA</t>
  </si>
  <si>
    <t>NSE 08</t>
  </si>
  <si>
    <t>SE  138/69 kV SÃO FRANCISCO DO SUL II - IMPLANTAÇÃO SUBESTAÇÃO - 66,67 MVA</t>
  </si>
  <si>
    <t>NSE 09</t>
  </si>
  <si>
    <t>SE 138/13,8 kV CAPIVARI DE BAIXO - IMPLANTAÇÃO DA SUBESTAÇÃO - 26,67 MVA</t>
  </si>
  <si>
    <t>NSE 10</t>
  </si>
  <si>
    <t>SE 138/23 kV ABELARDO LUZ - IMPLANTAÇÃO DA SUBESTAÇÃO - 26,67 MVA</t>
  </si>
  <si>
    <t>NSE 11</t>
  </si>
  <si>
    <t>SE  138/13,8 kV FLORIANÓPOLIS SACO DOS LIMÕES - IMPLANTAÇÃO DA SUBESTAÇÃO - 26,67 MVA</t>
  </si>
  <si>
    <t>NSE 12</t>
  </si>
  <si>
    <t>SE 138/23 kV ITAJAÍ SALSEIROS II - IMPLANTAÇÃO - 2 X 40 MVA  (80 MVA SUBSTITUI 26,67 MVA)</t>
  </si>
  <si>
    <t>NSE 13</t>
  </si>
  <si>
    <t>SE  138/13,8 kV  FPOLIS SACO GRANDE - IMPLANTAÇÃO DA SUBESTAÇÃO - 40MVA</t>
  </si>
  <si>
    <t>NSE 14</t>
  </si>
  <si>
    <t>SE  138/23 kV SÃO JOÃO BATISTA - IMPLANTAÇÃO DA SUBESTAÇÃO - 26,67 MVA</t>
  </si>
  <si>
    <t>NSE 15</t>
  </si>
  <si>
    <t>SE 138/13,8 kV BARRA VELHA - IMPLANTAÇÃO DA SUBESTAÇÃO - 26,67 MVA</t>
  </si>
  <si>
    <t>NSE 16</t>
  </si>
  <si>
    <t>SE 138/23 kV TIMBÓ POMERANOS - IMPLANTAÇÃO DA SUBESTAÇÃO - 26,67 MVA</t>
  </si>
  <si>
    <t>NSE 17</t>
  </si>
  <si>
    <t>SE  138/13,8 kV SANTO AMARO DA IMPERATRIZ - IMPLANTAÇÃO DA SUBESTAÇÃO - 40MVA</t>
  </si>
  <si>
    <t>NSE 18</t>
  </si>
  <si>
    <t>SE 69/13,8 kV CRICIÚMA III - IMPLANTAÇÃO DA SUBESTAÇÃO - 26,67 MVA</t>
  </si>
  <si>
    <t>NSE 19</t>
  </si>
  <si>
    <t>SE JARAGUÁ DO SUL II - IMPLANTAÇÃO DA SUBESTAÇÃO - 26,67 MVA</t>
  </si>
  <si>
    <t>NSE 20</t>
  </si>
  <si>
    <t>SE 138/13,8 kV SCHROEDER 138 kV - IMPLANTAÇÃO DE SUBESTAÇÃO - 40MVA</t>
  </si>
  <si>
    <t>NSE 21</t>
  </si>
  <si>
    <t>SE  138/13,8 kV JOINVILLE VILA NOVA - IMPLANTAÇÃO DA SUBESTAÇÃO - 26,67MVA</t>
  </si>
  <si>
    <t>1.2   AMPLIAÇÃO DA CAPACIDADE DE TRANSFORMAÇÃO DE SUBESTAÇÕES EXISTENTES</t>
  </si>
  <si>
    <t>AMP 01</t>
  </si>
  <si>
    <t>SE  138/13,8 kV  TRINDADE - AMPLIAÇÃO DA TRANSFORMAÇÃO - 40 MVA SUBSTITUI 26,67 MVA</t>
  </si>
  <si>
    <t>AMP 02</t>
  </si>
  <si>
    <t>SE  138/23 kV  CHAPECO II - AMPLIAÇÃO DA TRANSFORMAÇÃO - 40 MVA SUBSTITUI 26,67 MVA</t>
  </si>
  <si>
    <t>AMP 03</t>
  </si>
  <si>
    <t>SE  138/34,5 kV JARAGUÁ DO SUL RIO DA LUZ - AMPLIAÇÃO DA TRANSFORMAÇÃO - 40 MVA</t>
  </si>
  <si>
    <t>AMP 04</t>
  </si>
  <si>
    <t>PROGRAMAS DE REATORES</t>
  </si>
  <si>
    <t>AMP 05</t>
  </si>
  <si>
    <t>SE  138/23 kV  GASPAR - AMPLIAÇÃO DA TRANSFORMAÇÃO - 26 MVA</t>
  </si>
  <si>
    <t>AMP 06</t>
  </si>
  <si>
    <t>SE  138/34,5 kV  IMBITUBA- AMPLIAÇÃO DA TRANSFORMAÇÃO - 26,67 MVA</t>
  </si>
  <si>
    <t>AMP 07</t>
  </si>
  <si>
    <t>SE  69/13,8 kV  SIDEROPOLIS - AMPLIAÇÃO DA TRANSFORMAÇÃO - 10 MVA</t>
  </si>
  <si>
    <t>AMP 08</t>
  </si>
  <si>
    <t>SED 34,5/13,8 kV VILA NOVA - AMPLIAÇÃO DA TRANSFORMAÇÃO - 9,37 MVA</t>
  </si>
  <si>
    <t>AMP 09</t>
  </si>
  <si>
    <t>SED 34,5/23 kV PORTO UNIÃO - AMPLIAÇÃO DA TRANSFORMAÇÃO - 9,37 MVA</t>
  </si>
  <si>
    <t>AMP 10</t>
  </si>
  <si>
    <t>SE  138/13,8 kV MAFRA - AMPLIAÇÃO DA TRANSFORMAÇÃO - 26,67 MVA (26,67 MVA SUBSTITUI 16,67 MVA)</t>
  </si>
  <si>
    <t>AMP 11</t>
  </si>
  <si>
    <t>SE  138/13,8 kV JARAGUÁ DO SUL RIO DA LUZ - AMPLIAÇÃO DA TRANSFORMAÇÃO - 26,67 MVA</t>
  </si>
  <si>
    <t>AMP 12</t>
  </si>
  <si>
    <t>SE 138/23 kV BLUMENAU GARCIA - AMPLIAÇÃO DA CAPACIDADE TRANSFORMADORA - 26,67 MVA</t>
  </si>
  <si>
    <t>AMP 13</t>
  </si>
  <si>
    <t>SE 69/23 kV ITUPORANGA - AMPLIAÇÃO DA TRANSFORMAÇÃO - 26,67 MVA</t>
  </si>
  <si>
    <t>AMP 14</t>
  </si>
  <si>
    <t>SE 69/13,8 kV SOMBRIO - AMPLIAÇÃO DA TRANSFORMAÇÃO - 26,67 MVA</t>
  </si>
  <si>
    <t>AMP 15</t>
  </si>
  <si>
    <t>SE LAGUNA 138/13,8 kV - AMPLIAÇÃO DA TRANSFORMAÇÃO - 40 MVA substitui 26,67 MVA</t>
  </si>
  <si>
    <t>AMP 16</t>
  </si>
  <si>
    <t>SE  138/13,8 kV  ILHA SUL - AMPLIAÇÃO DA TRANSFORMAÇÃO - 40 MVA substitui 26,67 MVA</t>
  </si>
  <si>
    <t>AMP 17</t>
  </si>
  <si>
    <t>SE 138/23 kV SÃO LOURENÇO DO OESTE - AMPLIAÇÃO DA TRANSFORMAÇÃO - 26,67 MVA</t>
  </si>
  <si>
    <t>AMP 18</t>
  </si>
  <si>
    <t>SE 69/13,8 kV IÇARA - AMPLIAÇÃO DA TRANSFORMAÇÃO  E COMPLEMENTAÇÃO DA SE (26,67 MVA SUBSTITUI 16,67 MVA)</t>
  </si>
  <si>
    <t>AMP 19</t>
  </si>
  <si>
    <t>SE 69/23 kV CAPINZAL - AMPLIAÇÃO DA CAPACIDADE TRANSFORMADORA - SUBSTITUI 9,4 MVA POR 26,67 MVA</t>
  </si>
  <si>
    <t>AMP 20</t>
  </si>
  <si>
    <t>SE SÃO JOSÉ DO CEDRO - AMPLIAÇÃO DA CAPACIDADE TRANSFORMADORA - 26,67 MVA (SUBSTITUI TT 20 MVA)</t>
  </si>
  <si>
    <t>AMP 21</t>
  </si>
  <si>
    <t>SE  69/34,5 kV  JOINVILLE I - CONSTRUÇÃO DO SETOR 138/69  kV</t>
  </si>
  <si>
    <t>AMP 22</t>
  </si>
  <si>
    <t>SE 138 kV CAMBORIÚ - AMPLIACAO DA TRANSFORMAÇÃO 138/23 kV - 26,6 MVA</t>
  </si>
  <si>
    <t>AMP 23</t>
  </si>
  <si>
    <t>SE TIJUCAS - EL 138 kV</t>
  </si>
  <si>
    <t>AMP 24</t>
  </si>
  <si>
    <t>SE 138/23 kV TROMBUDO CENTRAL - AMPLIAÇÃO DA TRANSFORMAÇÃO - 26,67 MVA (26,67 MVA SUBSTITUI 9,375 MVA)</t>
  </si>
  <si>
    <t>AMP 25</t>
  </si>
  <si>
    <t>SE 138/13,8 kV BIGUAÇU QUINTINO BOCAIÚVA - AMPLIAÇÃO DA TRANSFORMAÇÃO - 26,67 MVA</t>
  </si>
  <si>
    <t>AMP 26</t>
  </si>
  <si>
    <t>SE 69/13,8 kV CRICIÚMA FLORESTA - AMPLIAÇÃO DA TRANSFORMAÇÃO - 26,67 MVA</t>
  </si>
  <si>
    <t>AMP 27</t>
  </si>
  <si>
    <t>SE 138/23 kV CAMBORIU MORRO DO BOI - AMPLIAÇÃO DA TRANSFORMAÇÃO - 40 MVA SUBSTITUI 26,67 MVA</t>
  </si>
  <si>
    <t>AMP 28</t>
  </si>
  <si>
    <t>SE 138/23 kV POMERODE - AMPLIAÇÃO DA CAPACIDADE TRANSFORMADORA - 26,67 MVA</t>
  </si>
  <si>
    <t>AMP 29</t>
  </si>
  <si>
    <t>SE 69/23 kV ITAPIRANGA - AMPLIAÇÃO DA TRANSFORMAÇÃO - 26,67 MVA (SUBSTITUI 2 X 7,5 MVA)</t>
  </si>
  <si>
    <t>AMP 30</t>
  </si>
  <si>
    <t>SE PIÇARRAS - EL 138 Kv</t>
  </si>
  <si>
    <t>AMP 31</t>
  </si>
  <si>
    <t xml:space="preserve">SE SOMBRIO EL 69 kV </t>
  </si>
  <si>
    <t>AMP 32</t>
  </si>
  <si>
    <t xml:space="preserve">SE IÇARA EL 69 kV </t>
  </si>
  <si>
    <t>AMP 33</t>
  </si>
  <si>
    <t>SE 138/13,8 kV ORLEANS - AMPLIAÇÃO DA TRANSFORMAÇÃO - 26,67 MVA</t>
  </si>
  <si>
    <t>AMP 34</t>
  </si>
  <si>
    <t>SE 138/23 kV CHAPECÓ III - AMPL. DA TRANSFORMAÇÃO - 26,67 MVA</t>
  </si>
  <si>
    <t>AMP 35</t>
  </si>
  <si>
    <t>SE 138/23 kV VIDEIRA - AMPLIAÇÃO DA TRANSFORMAÇÃO - SUBSTITUIÇÃO DE 26,67 MVA POR 40 MVA</t>
  </si>
  <si>
    <t>AMP 36</t>
  </si>
  <si>
    <t>SE 69/23 kV TAIÓ - AMPLIAÇÃO DA CAPACIDADE TRANSFORMADORA E ADEQUAÇÃO DA SUBESTAÇÃO - 26,67 MVA (26,67 MVA SUBSTITUI 10 MVA)</t>
  </si>
  <si>
    <t>AMP 37</t>
  </si>
  <si>
    <t>SE GUARAMIRIM - AMPLIAÇÃO DA TRANSFORMAÇÃO - 40 MVA</t>
  </si>
  <si>
    <t>AMP 38</t>
  </si>
  <si>
    <t>SE  138/13,8 kV RIO NEGRINHO - AMPLIAÇÃO DA TRANSFORMAÇÃO - 26,67 MVA</t>
  </si>
  <si>
    <t>AMP 39</t>
  </si>
  <si>
    <t>SE  138/13,8 kV SÃO BENTO DO SUL BRASÍLIA - AMPLIAÇÃO DA TRANSFORMAÇÃO - 26,67 MVA</t>
  </si>
  <si>
    <t>AMP 40</t>
  </si>
  <si>
    <t>SE  138/13,8 kV JOINVILLE PERINI - AMPLIAÇÃO DA TRANSFORMAÇÃO - 26,67 MVA</t>
  </si>
  <si>
    <t>AMP 41</t>
  </si>
  <si>
    <t>SE 138/23 kV PALMITOS - AMPLIAÇÃO DA TRANSFORMAÇÃO - 26,67 MVA</t>
  </si>
  <si>
    <t>1.3   IMPLANTAÇÃO DE LINHAS DE DISTRIBUIÇÃO</t>
  </si>
  <si>
    <t xml:space="preserve">Ref. </t>
  </si>
  <si>
    <t>Ext. LD (km)</t>
  </si>
  <si>
    <t xml:space="preserve"> ILD 01</t>
  </si>
  <si>
    <t>LD 69 kV TUBARÃO - SANGÃO - IMPLANTAÇÃO DO TRECHO 2 - 19,2 km - CIRCUITO DUPLO (LANÇAMENTO DO CIRCUITO 1)</t>
  </si>
  <si>
    <t xml:space="preserve"> ILD 02</t>
  </si>
  <si>
    <t>LD 138 kV FLORIANÓPOLIS CAPOEIRAS - SECC (PALHOÇA RB - TRINDADE) - 1 km - CIRCUITO DUPLO - 636MCM</t>
  </si>
  <si>
    <t xml:space="preserve"> ILD 03</t>
  </si>
  <si>
    <t>LD 138 kV SECC.(FPOLIS - BIGUAÇU) - SÃO JOSÉ REAL PARQUE - 2LTs 0,3 km - CD - CABO 477MCM</t>
  </si>
  <si>
    <t xml:space="preserve"> ILD 04</t>
  </si>
  <si>
    <t>LD 138 kV BRUSQUE SÃO PEDRO - SECC (BRUSQUE - BRUSQUE RIO BRANCO) - 3,5 km - CIRCUITO DUPLO - 477MCM</t>
  </si>
  <si>
    <t xml:space="preserve"> ILD 05</t>
  </si>
  <si>
    <t>LD 138 kV CHAPECÓ II - CHAPECÓ III - 7 km - CIRCUITO SIMPLES - 636MCM</t>
  </si>
  <si>
    <t xml:space="preserve"> ILD 06</t>
  </si>
  <si>
    <t>LD 138 kV TIJUCAS - PORTO BELO C2 - IMPLANTAÇÃO DO TRECHO INICIAL - 12,8 km - CIRCUITO SIMPLES - 636MCM</t>
  </si>
  <si>
    <t xml:space="preserve"> ILD 07</t>
  </si>
  <si>
    <t>LD 138 kV VIDEIRA - FRAIBURGO - CIRCUITO DUPLO - LANÇAMENTO DO 1º CIRCUITO - 23 km</t>
  </si>
  <si>
    <t xml:space="preserve"> ILD 08</t>
  </si>
  <si>
    <t>LD 138 kV JOINVILLE BOA VISTA - JOINVILLE PARANAGUAMIRIM - 9,5 km - CIRCUITO SIMPLES - 636MCM</t>
  </si>
  <si>
    <t xml:space="preserve"> ILD 09</t>
  </si>
  <si>
    <t>LD 69 kV JOINVILLE BOA VISTA - JOINVILLE TRÊS - 2,3 km - CIRCUITO SIMPLES - 477MCM</t>
  </si>
  <si>
    <t xml:space="preserve"> ILD 10</t>
  </si>
  <si>
    <t>LD 138 kV ITAPEMA - SECC (TIJUCAS - PORTOBELO C2) - 8 km - CIRCUITO DUPLO - 636MCM LANÇ. 1o CIRCUITO D1</t>
  </si>
  <si>
    <t xml:space="preserve"> ILD 11</t>
  </si>
  <si>
    <t>LD 138 kV TUBARÃO SUL RB - SECCIONAMENTO (ORLEANS - JORGE LACERDA) - 11,7 km - CIRCUITO DUPLO - 477MCM</t>
  </si>
  <si>
    <t xml:space="preserve"> ILD 12</t>
  </si>
  <si>
    <t>LD 138 kV JOINVILLE SC - SÃO FRANCISCO DO SUL II (TRECHO 2) - 35 km - CIRCUITO DUPLO LANÇAMENTO DO C1 - 477MCM</t>
  </si>
  <si>
    <t xml:space="preserve"> ILD 13</t>
  </si>
  <si>
    <t>LD 138 kV CAPIVARI DE BAIXO - SECC (ORLEANS - JORGE LACERDA) - 6 km - CIRCUITO DUPLO - 477MCM</t>
  </si>
  <si>
    <t xml:space="preserve"> ILD 14</t>
  </si>
  <si>
    <t>LD 138 kV ABELARDO LUZ - XANXERÊ - 35,5 km - CIRCUITO SIMPLES - 477MCM</t>
  </si>
  <si>
    <t xml:space="preserve"> ILD 15</t>
  </si>
  <si>
    <t>LD 138 kV FLORIANÓPOLIS SACO DOS LIMÕES - SECC (PALHOÇA RB - TRINDADE) - 0,5 km - CIRCUITO DUPLO - 477MCM</t>
  </si>
  <si>
    <t xml:space="preserve"> ILD 16</t>
  </si>
  <si>
    <t>LD 138 kV FPOLIS SACO GRANDE - SECC (ILHA NORTE - TRINDADE) - 3 km - CIRCUITO DUPLO - 636MCM</t>
  </si>
  <si>
    <t xml:space="preserve"> ILD 17</t>
  </si>
  <si>
    <t>LD 138 kV PIÇARRAS - BARRA VELHA - 15,0 km - CIRCUITO SIMPLES - 477MCM</t>
  </si>
  <si>
    <t xml:space="preserve"> ILD 18</t>
  </si>
  <si>
    <t>LD 138 kV SÃO JOÃO BATISTA - TIJUCAS - 14 km - CIRCUITO SIMPLES - 477MCM</t>
  </si>
  <si>
    <t xml:space="preserve"> ILD 19</t>
  </si>
  <si>
    <t>LD 138 kV TIMBÓ POMERANOS - TIMBÓ - 6,2 km - CIRCUITO SIMPLES - 636MCM</t>
  </si>
  <si>
    <t xml:space="preserve"> ILD 20</t>
  </si>
  <si>
    <t>LD 69 kV ERMO - SOMBRIO - 2º CIRCUITO - 11 km - CIRCUITO SIMPLES - 477MCM</t>
  </si>
  <si>
    <t xml:space="preserve"> ILD 21</t>
  </si>
  <si>
    <t>LD 69 kV FORQUILHINHA REDE BÁSICA - IÇARA - 25 km - CIRCUITO SIMPLES - 477MCM</t>
  </si>
  <si>
    <t xml:space="preserve"> ILD 22</t>
  </si>
  <si>
    <t>LD 138 kV PALHOÇA RB - SANTO AMARO DA IMPERATRIZ - 10 km - CIRCUITO SIMPLES - 477MCM</t>
  </si>
  <si>
    <t xml:space="preserve"> ILD 23</t>
  </si>
  <si>
    <t>LD 138 kV SÃO MIGUEL DO OESTE II - ITAPIRANGA - 54 km - CIRCUITO SIMPLES - 477MCM</t>
  </si>
  <si>
    <t xml:space="preserve"> ILD 24</t>
  </si>
  <si>
    <t>LD 69 kV CRICIÚMA III - SECC (FORQUILHINHA RB - IÇARA) - 2,5 km - CIRCUITO DUPLO - 477MCM</t>
  </si>
  <si>
    <t xml:space="preserve"> ILD 25</t>
  </si>
  <si>
    <t>LD 138 kV JARAGUÁ DO SUL II - 9,4 km - CIRCUITO SIMPLES - 636MCM</t>
  </si>
  <si>
    <t xml:space="preserve"> ILD 26</t>
  </si>
  <si>
    <t>LD 138 kV SCHROEDER - 8 km - CIRCUITO SIMPLES - 477MCM</t>
  </si>
  <si>
    <t xml:space="preserve"> ILD 27</t>
  </si>
  <si>
    <t>LD 138 kV JOINVILLE VILA NOVA - SECC(JOINVILLE RB - TIGRE) - 3,5 km - CIRCUITO DUPLO - 336MCM</t>
  </si>
  <si>
    <t xml:space="preserve"> ILD 28</t>
  </si>
  <si>
    <t>SECCIONAMENTO DA LD 138 kV SACO GRANDE - ILHA NORTE NA SE RATONES 230/138 kV - 2  km - CIRCUITO DUPLO - 636MCM</t>
  </si>
  <si>
    <t>Implantação de Nova Subestação GRUPO 1 [NSE 01]</t>
  </si>
  <si>
    <t>Implantação de Nova Subestação do GRUPO 2 [NSE-03]</t>
  </si>
  <si>
    <t>Implantação de Nova Subestação do GRUPO 2 [NSE-04]</t>
  </si>
  <si>
    <t>Implantação de Nova Subestação do GRUPO 2 [NSE-02]</t>
  </si>
  <si>
    <t>Implantação de Nova Subestação do GRUPO 3 [NSE 05]</t>
  </si>
  <si>
    <t>20/10/2016</t>
  </si>
  <si>
    <t>Implantação de Linhas de Distribuição GRUPO 2 [ILD 02; 03; 04; 05]</t>
  </si>
  <si>
    <t>Implantação de Linhas de Distribuição GRUPO 7 [ILD 19; 22; 23; 24; 27; 28]</t>
  </si>
  <si>
    <t>2.1.1/2/</t>
  </si>
  <si>
    <t>3.2.1/2/</t>
  </si>
  <si>
    <t>Setembro/2018</t>
  </si>
  <si>
    <t>18/01088</t>
  </si>
  <si>
    <t>18/01133</t>
  </si>
  <si>
    <t>18/01307</t>
  </si>
  <si>
    <t>1.8.1/2/</t>
  </si>
  <si>
    <t>1.6.2/4/</t>
  </si>
  <si>
    <t>1.4.1/3/</t>
  </si>
  <si>
    <t>1.5.2/3/</t>
  </si>
  <si>
    <t>3.1.1/3/</t>
  </si>
  <si>
    <t>3.1.2/3/</t>
  </si>
  <si>
    <t>3.1.3/3/</t>
  </si>
  <si>
    <t>4.1.0/3/</t>
  </si>
  <si>
    <t>Ampliação de Subestações GRUPO 2 (AMP 05; 06; 07; 08; 09})</t>
  </si>
  <si>
    <t>Aquisição de Religadores Monofásicos</t>
  </si>
  <si>
    <t>Outubro 2019</t>
  </si>
  <si>
    <t>Dezembro 2019</t>
  </si>
  <si>
    <t>Fevereiro 2020</t>
  </si>
  <si>
    <t>Março 2020</t>
  </si>
  <si>
    <t>Maio 2020</t>
  </si>
  <si>
    <t>Outubro 2020</t>
  </si>
  <si>
    <t>Ampliação de Subestações GRUPO 4 (AMP 10; 11; 13; 15; 16; 18 a 24]</t>
  </si>
  <si>
    <t>Ampliação de Subestações GRUPO 7 (AMP 14; 33; 35; 36; 38; 39; 40)</t>
  </si>
  <si>
    <t>Implantação de Linhas de Distribuição GRUPO 5 [ILD 11; 12; 13; 14; 18]</t>
  </si>
  <si>
    <t>Implantação de Linhas de Distribuição GRUPO 6 [ILD 15; 16; 17; 20; 21]</t>
  </si>
  <si>
    <t>Aquis. e Instal. Equipam. p/substit. e renovação em Subestações (SRE G1)</t>
  </si>
  <si>
    <t>Aquis. e Instal. Equipam. p/substit. e renovação em Subestações (SRE G2)</t>
  </si>
  <si>
    <t>Aquis. e Instal. Equipam. p/substit. e renovação em Subestações (SRE G3)</t>
  </si>
  <si>
    <t>Aquis. e Instal. Equipam. p/substit. e renovação em Subestações (SRE G4)</t>
  </si>
  <si>
    <t>Aquisição e Instalação de Equipamento para redes de MT e BT - Obras de Alimentadores 2018</t>
  </si>
  <si>
    <t>1.3.1/1/002-00</t>
  </si>
  <si>
    <t>Aquisição de Medidores de Energia Elétrica (MED-G0 I)</t>
  </si>
  <si>
    <t>Aquisição de Medidores de Energia Elétrica (MED-G0 II)</t>
  </si>
  <si>
    <t>Aquisição de Medidores de Energia Elétrica (MED-G0 III)</t>
  </si>
  <si>
    <t>Aquisição de Medidores de Energia Elétrica (MED-G0 IV)</t>
  </si>
  <si>
    <t>Aquisição de Medidores de Energia Elétrica (MED-G0 V)</t>
  </si>
  <si>
    <t>Aquisição de Medidores de Energia Elétrica (MED-G0 VI)</t>
  </si>
  <si>
    <t>Aquisição de Medidores de Energia Elétrica (MED-G0 VIII)</t>
  </si>
  <si>
    <t>Aquisiçãode Medidores de Energia Elétrica (MED-G0 VII)</t>
  </si>
  <si>
    <t>Aquisição de Medidores de Energia Elétrica (MED-G2)</t>
  </si>
  <si>
    <t>Aquisição de Medidores de Energia Elétrica (MED-G3)</t>
  </si>
  <si>
    <t>Aquisição de Medidores de Energia Elétrica (MED-G4)</t>
  </si>
  <si>
    <t>Aquisição de Medidores de Energia Elétrica (MED-G5)</t>
  </si>
  <si>
    <t>Maio 2021</t>
  </si>
  <si>
    <t>Maio 2022</t>
  </si>
  <si>
    <t>Instalação de Medidores de Consumo de Energia Elétrica</t>
  </si>
  <si>
    <t>2.2.2/4/002-00</t>
  </si>
  <si>
    <t>04/07/2018</t>
  </si>
  <si>
    <t>02/07/2018</t>
  </si>
  <si>
    <t>1.1.2/2/001-00A</t>
  </si>
  <si>
    <t>18/00409</t>
  </si>
  <si>
    <t>14/08/2018</t>
  </si>
  <si>
    <t>Novembro 2022</t>
  </si>
  <si>
    <t>Janeiro 2023</t>
  </si>
  <si>
    <t>Julho 2021</t>
  </si>
  <si>
    <t>Chaves fusíveis Religadoras para Redes de Distribuição</t>
  </si>
  <si>
    <t>Aquisição de Reguladores e Banco de Capacitores</t>
  </si>
  <si>
    <t>Instalação de Medidores de Consumo – Aquisições Antecipadas</t>
  </si>
  <si>
    <t>08/06/2015</t>
  </si>
  <si>
    <t>16/11/2015</t>
  </si>
  <si>
    <t>Março/2015</t>
  </si>
  <si>
    <t>Janeiro/2015</t>
  </si>
  <si>
    <t>16/03011</t>
  </si>
  <si>
    <t>23/08/2016</t>
  </si>
  <si>
    <t>16/11/2016</t>
  </si>
  <si>
    <t>Tomada de Preços</t>
  </si>
  <si>
    <t>18/01285</t>
  </si>
  <si>
    <t>18/01286</t>
  </si>
  <si>
    <t>17/01346</t>
  </si>
  <si>
    <t>25/10/2017</t>
  </si>
  <si>
    <t>15/08/2018</t>
  </si>
  <si>
    <t>22/06/2018</t>
  </si>
  <si>
    <t>1.1.1/1/006</t>
  </si>
  <si>
    <t>1.1.1/1/007</t>
  </si>
  <si>
    <t>1.1.1/1/008</t>
  </si>
  <si>
    <t>1.1.1/1/009</t>
  </si>
  <si>
    <t>1.2.1/1/001</t>
  </si>
  <si>
    <t>Ampliação de Subestação GRUPO 1 (AMP 04) - Programa de Reatores</t>
  </si>
  <si>
    <t>1.2.1/1/002</t>
  </si>
  <si>
    <t>1.2.1/1/006</t>
  </si>
  <si>
    <t>1.2.1/1/007</t>
  </si>
  <si>
    <t>1.2.1/1/008</t>
  </si>
  <si>
    <t>1.2.1/1/009</t>
  </si>
  <si>
    <t>1.3.1/1/003</t>
  </si>
  <si>
    <t>1.3.1/1/004</t>
  </si>
  <si>
    <t>1.3.1/1/005</t>
  </si>
  <si>
    <t>1.3.1/1/006</t>
  </si>
  <si>
    <t>1.3.1/1/007</t>
  </si>
  <si>
    <t>1.3.1/1/008</t>
  </si>
  <si>
    <t>2.1.3/1/001-01 e 02</t>
  </si>
  <si>
    <t>2.1.3/1/010</t>
  </si>
  <si>
    <t>2.1.3/1/011</t>
  </si>
  <si>
    <t>3.2.2/1/001</t>
  </si>
  <si>
    <t>Aquisição e Instalação de Equipamento para redes de MT e BT - Obras de Alimentadores na ARFLO - SJS 05/PCN 05</t>
  </si>
  <si>
    <t>18/00608</t>
  </si>
  <si>
    <t>10/05/18</t>
  </si>
  <si>
    <t>06/04/18</t>
  </si>
  <si>
    <t>29/06/18</t>
  </si>
  <si>
    <t>1.1.2/2/004</t>
  </si>
  <si>
    <t>1.2.2/2/005</t>
  </si>
  <si>
    <t>Equipamentos para Ampliação de Transformação de Subestações</t>
  </si>
  <si>
    <t>18/00590</t>
  </si>
  <si>
    <t>16/05/2018</t>
  </si>
  <si>
    <t>1.3.2/2/004</t>
  </si>
  <si>
    <t>A defiinir</t>
  </si>
  <si>
    <t>Cabos protegidos p/Redes de Distribuição (DIS C-G1) - [Lotes 01; 02]</t>
  </si>
  <si>
    <t>15/06/2018</t>
  </si>
  <si>
    <t>2.1.1/2/013-01 a 06</t>
  </si>
  <si>
    <t>2.1.1/2/014-01 a 08</t>
  </si>
  <si>
    <t>2.1.1/2/023-01 a 04</t>
  </si>
  <si>
    <t>24/08/2018</t>
  </si>
  <si>
    <t>18/01057</t>
  </si>
  <si>
    <t>19/07/2018</t>
  </si>
  <si>
    <t>31/08/2018</t>
  </si>
  <si>
    <t>2.1.1/2/032</t>
  </si>
  <si>
    <t>Cruzetas de Aço para Redes de Distribuição (DIS-G1) - [Lotes 05 a 10]</t>
  </si>
  <si>
    <t>2.1.1/2/010-01 e 02</t>
  </si>
  <si>
    <t>Cabos isolados para Redes de Distribuição (DIS D-G1) - [Lotes 01 a 03]</t>
  </si>
  <si>
    <t>23/08/2018</t>
  </si>
  <si>
    <t>Postes de Concreto p/Redes de Distribuição - Relicit. 18/00817</t>
  </si>
  <si>
    <t>2.2.2/4/001-00</t>
  </si>
  <si>
    <t>Chaves fusíveis e seccionad. p/Redes de Distrib. (DIS-G1) [L 03; 04; 05; 06]</t>
  </si>
  <si>
    <t>Postes de concreto p/Redes de Distrib. (DIS-G1-I) - [Lotes 17 e 18]</t>
  </si>
  <si>
    <t>Placas e Postes de concreto p/Redes de Distr. (DIS G1-III) - [Lotes 02 a 15]</t>
  </si>
  <si>
    <t>2.1.1/2/037</t>
  </si>
  <si>
    <t>18/00566</t>
  </si>
  <si>
    <t>Rádio para Religadores (DIS-G1) - [Lotes 01 e 02]</t>
  </si>
  <si>
    <t>18/00195</t>
  </si>
  <si>
    <t>19/03/2018</t>
  </si>
  <si>
    <t>02/04/2018</t>
  </si>
  <si>
    <t>Rádio para Religadores (DIS-G1) - Relicitação 18/00195 - [Lotes 01 e 02]</t>
  </si>
  <si>
    <t>11/04/2018</t>
  </si>
  <si>
    <t>25/04/2018</t>
  </si>
  <si>
    <t>3.2.1/2/001-01 e 02</t>
  </si>
  <si>
    <t>Instalação de Equipamentos para Redes de Média e Baixa Tensão [Lotes 1 a 51]</t>
  </si>
  <si>
    <t>R$ / US$</t>
  </si>
  <si>
    <t>Taxa de Câmbio Considerada:</t>
  </si>
  <si>
    <t>Equipam. (Disjuntores e outros) para NSE 01; 02; 03; 04; 05 - [Lotes 03 e 05]</t>
  </si>
  <si>
    <t>Implantação de Novas Subestações GRUPO 7 (NSE 16; 18; 19; 20; 21)</t>
  </si>
  <si>
    <t>Ampliação de Subestações GRUPO 6 [AMP 26; 28; 29; 32; 37; 41]</t>
  </si>
  <si>
    <t>2.1.2/4/001-01 a 51</t>
  </si>
  <si>
    <t>2.1.3/1/003-01 e 02</t>
  </si>
  <si>
    <t>2.1.3/1/004</t>
  </si>
  <si>
    <t>2.1.3/1/005-00</t>
  </si>
  <si>
    <t>2.1.3/1/007-01 a 03</t>
  </si>
  <si>
    <t>Aquisição e Instalação de Equipamento para redes de MT e BT - Obras de Alimentadores Na ARLAG - Morrinhos [Lotes 01 a 03]</t>
  </si>
  <si>
    <t>2.1.3/1/008-00</t>
  </si>
  <si>
    <t>2.1.3/1/009</t>
  </si>
  <si>
    <t>Equipamentos (Transformadores de Força) para NSE 01; 02; 04</t>
  </si>
  <si>
    <t>Equipamentos (Transformadores de Força) para NSE 03; 05</t>
  </si>
  <si>
    <t>Equipamentos (Disjuntores e outros) para NSE 01; 02; 03; 04 - [Relicitação 18/00409 - Lotes 03 e 05]</t>
  </si>
  <si>
    <t>Equipamentos (Transformadores de Força) para AMP 01; 02; 06</t>
  </si>
  <si>
    <t>1.2.2/2/002-01; 02; 03; 04</t>
  </si>
  <si>
    <t>1.2.2/2/003-01 a 07</t>
  </si>
  <si>
    <t>1.2.2#1.1.2/2/001-00B</t>
  </si>
  <si>
    <t>Equipamentos (Transformadores de Força) para AMP 10; 11; 13 a 16; 18 a 20</t>
  </si>
  <si>
    <t>06/04/2018</t>
  </si>
  <si>
    <t>29/06/2018</t>
  </si>
  <si>
    <t>1.1.2/2/002</t>
  </si>
  <si>
    <t>1.1.2/2/002-01A; 02A; 03A; 04; 05A; 06A; 07A; 08; 09</t>
  </si>
  <si>
    <t>1.1.2/2/003-00A</t>
  </si>
  <si>
    <t>1.2.2#1.1.2/2/002-01B; 02B; 03B; 05B; 06B; 07B</t>
  </si>
  <si>
    <t>1.2.2#1.1.2/2/003-00B</t>
  </si>
  <si>
    <t>1.3.2/2/001</t>
  </si>
  <si>
    <t>Equipamentos (Cabos) para ILD 01 a 07 - [Lotes 01; 02; 05 a 12]</t>
  </si>
  <si>
    <t>1.3.2/2/002-01 a 03</t>
  </si>
  <si>
    <t>1.3.2/2/003-01 a 04</t>
  </si>
  <si>
    <t>Equipamentos (Cabos) para ILD 01 a 07 - [Relicitação 18/00590 - Lotes 01; 02; 05 a 12]</t>
  </si>
  <si>
    <t>1.8.1/2/001</t>
  </si>
  <si>
    <t>2.1.1/2/002-01 e 02</t>
  </si>
  <si>
    <t>Cabos nus de alumínio p/Redes de Distrib. (DIS E-G0) - [Lotes (01+03+05+07); (04+06+08)]</t>
  </si>
  <si>
    <t>2.1.1/2/003-01 a 04</t>
  </si>
  <si>
    <t>Cabos protegidos para Redes de Distribuição (DIS C-G0) - [Lotes (03+06); (01); (02+05); (04+07)]</t>
  </si>
  <si>
    <t>2.1.1/2/004-01 a 05</t>
  </si>
  <si>
    <t>Cabos isolados para Redes de Distribuição (DIS D-G0) - [Lotes (04); (12); (01+03+07+08+11); (02); (09+10)]</t>
  </si>
  <si>
    <t>2.1.1/2/005</t>
  </si>
  <si>
    <t>2.1.1/2/005-01 a 03</t>
  </si>
  <si>
    <t>Cabos protegidos p/Redes de Distribuição (DIS C-G1) - [Lotes (06); (04); (03+05+07)]</t>
  </si>
  <si>
    <t>2.1.1/2/007-00</t>
  </si>
  <si>
    <t>2.1.1/2/008-00</t>
  </si>
  <si>
    <t>2.1.1/2/009-01 a 04</t>
  </si>
  <si>
    <t>Para-raios para Redes de Distribuição (DIS-G0) - [Lotes (03); (04); (02); (01)]</t>
  </si>
  <si>
    <t>Chaves seseccionadoras/Fusíveis para Redes de Distribuição (DIS-G0) -[Lotes (01+02+03+05+06+07+08); (04)]</t>
  </si>
  <si>
    <t>2.1.1/2/011-01 a 04</t>
  </si>
  <si>
    <t>Isoladores para Redes de Distribuição (DIS-G0) - [Lotes (04); (01); (02+06); (03+05)]</t>
  </si>
  <si>
    <t>Postes de concreto para Redes de Distribuição (DIS G0-I) - [Lotes (08); (03+05+09+10); (02); (04+06); (11+12+13); (01+07)]</t>
  </si>
  <si>
    <t>Postes de concreto para Redes de Distribuição (DIS G0-II) - [Lotes (20); (17); (07); (16); (01+06+19); (02+05+08+09+10+12+13+15); (21); (03+04+11+14+18+22+23)]</t>
  </si>
  <si>
    <t>2.1.1/2/015-01 e 02</t>
  </si>
  <si>
    <t>Postes de concreto para Redes de Distribuição (DIS G0-III) - [Lotes (02+05+07+08+15); (01+03+04+06+09+10+12+13+14+16+17)]</t>
  </si>
  <si>
    <t>2.1.1/2/016-01 a 07</t>
  </si>
  <si>
    <t>Postes de concreto para Redes de Distribuição (DIS G0-V) - [Lotes (05); (06+11); (04); (02+03+07+08); (01); (10); (09)]</t>
  </si>
  <si>
    <t>2.1.1/2/017-01 a 03</t>
  </si>
  <si>
    <t>Postes de concreto para Redes de Distribuição (DIS G0-IV) - [Lotes (04+=5+06+08+10+11); (02+07+09); (01+03)]</t>
  </si>
  <si>
    <t>Cruzetas madeira, polimér., aço carb. e bases pré-mold. - [Lotes (05+06); (01); (02)]</t>
  </si>
  <si>
    <t>2.1.1/2/019-00</t>
  </si>
  <si>
    <t>2.1.1/2/020-00</t>
  </si>
  <si>
    <t>2.1.1/2/021-00</t>
  </si>
  <si>
    <t>2.1.1/2/022-00</t>
  </si>
  <si>
    <t>Religadores trifásicos 25 KV para Redes de Distribuição (DIS-G1) - [Lotes (01); (02; (03); (04)]</t>
  </si>
  <si>
    <t>2.1.1/2/024-00</t>
  </si>
  <si>
    <t>2.1.1/2/025-01 a 04</t>
  </si>
  <si>
    <t>Religadores trifásicos 15 KV para Redes de Distribuição (DIS-G1) -[ Lotes (03); (04); (02); (01)]</t>
  </si>
  <si>
    <t>2.1.1/2/026</t>
  </si>
  <si>
    <t>2.1.1/2/030</t>
  </si>
  <si>
    <t>Chaves fusíveis e seccionad. p/Redes de Distrib. (DIS-G1) - [Lotes (01+02+09+10); (07+08)]</t>
  </si>
  <si>
    <t>Isoladores p/Redes de Distribuição (DIS-G1) - [Lotes (01); (05); (02+03); (04)]</t>
  </si>
  <si>
    <t>Religadores monofásicos 25 KV p/Redes de Distrib. (DIS-G1) - [Lotes 01 e 02]</t>
  </si>
  <si>
    <t>Cabos para Redes de Distribuição de MT e BT [Lotes 01; 02; 05 a 12]</t>
  </si>
  <si>
    <t>Cabos para Redes de Distribuição de MT e BT [Lotes (03+04)]</t>
  </si>
  <si>
    <t>Postes de concreto para Redes de Distribuição (DIS G1-IV) - [Lotes 01; 04 a 10]</t>
  </si>
  <si>
    <t>Postes de concreto para Redes de Distribuição (DIS G1-IV) - [Lotes (03); (02)]</t>
  </si>
  <si>
    <t>2.1.1/2/034</t>
  </si>
  <si>
    <t>Bcos de Capacitores p/Redes de Distribuição G1 -  [Lotes (01); (02); (03+04)]</t>
  </si>
  <si>
    <t>Reguladores de Tensão para Redes de Distribuição (DIS-G1) - [Lotes 01+02]</t>
  </si>
  <si>
    <t>Transform. trifásicos (15KV) p/Redes de Distribuição (DIS-G0) - [Lotes (01+02)]</t>
  </si>
  <si>
    <t>Transform. trifásicos (25KV) p/Redes de Distribuição (DIS-G0) - [Lotes (01+02)]</t>
  </si>
  <si>
    <t>Transform. monofásicos p/Redes de Distribuição (DIS-G0) - [Lotes (01+02)]</t>
  </si>
  <si>
    <t>Postes de madeira para Redes de Distribuição (DIS-G0) - [Lotes (01 a 08)]</t>
  </si>
  <si>
    <t>Postes de concreto p/Redes Distr. (DIS-G1-I) - [Lotes (01+02+08+10+12+14+16); (06); (19); (07+11+15); (09); (03+04); (05+13+20)]</t>
  </si>
  <si>
    <t>Postes de concreto p/Redes de Distrib. (DIS G1-V) - [Lotes (04); (01+02+03+05+06+07+08+09+10+11)]</t>
  </si>
  <si>
    <t>Postes de concreto p/Redes de Distrib. (DIS-G1-II) - [Lotes (06+10+11+12+13+15); (04+05+14+16+17+18+19); (02); (20+21); (01+09); (03+07+08)]</t>
  </si>
  <si>
    <t>Placas e Postes de concreto p/Redes de Distrib. (DIS G1-III) - [Lote 01]</t>
  </si>
  <si>
    <t>2.1.1/2/038-01 e 02</t>
  </si>
  <si>
    <t>Cabos isolados para Redes de Distribuição (DIS D-G1) - [Lotes (04); (05)]</t>
  </si>
  <si>
    <t>Cruzetas de Aço para Redes de Distribuição (DIS-G1) - [Lotes (01+02); (03+04)]</t>
  </si>
  <si>
    <t>2.1.1/2/040-00</t>
  </si>
  <si>
    <t>Religadores trifásicos 25 KV p/Redes de Distribuição (DIS-G1) - [Lotes (01+02)]</t>
  </si>
  <si>
    <t>2.1.1/2/041</t>
  </si>
  <si>
    <t>Rádio para Religadores (DIS-G1) - Relicitação 18/00566</t>
  </si>
  <si>
    <t>2.1.1/2/042</t>
  </si>
  <si>
    <t>Postes de Concreto p/Redes de Distribuição - Relicitação 18/00816</t>
  </si>
  <si>
    <t>04/04/2018</t>
  </si>
  <si>
    <t>09/04/2018</t>
  </si>
  <si>
    <t>18/00523</t>
  </si>
  <si>
    <t>17/05/2018</t>
  </si>
  <si>
    <t>2.1.1/2/027-01 e 02</t>
  </si>
  <si>
    <t>Transformadores Monofásicos e Trifásicos 25 kV p/Redes de Distribuição (DIS-G1 - II) - [Lotes (01+02); (03+04)]</t>
  </si>
  <si>
    <t>Transformadores Monofásicos e Trifásicos 15 kV p/Redes de Distribuição (DIS-G1 - II) - [Lotes (01+02); (03+04)]</t>
  </si>
  <si>
    <t>2.1.1/2/028-01 e 02</t>
  </si>
  <si>
    <t>18/00561</t>
  </si>
  <si>
    <t>07/06/2018</t>
  </si>
  <si>
    <t>2.1.1/2/029</t>
  </si>
  <si>
    <t>2.1.1/2/031-01 a 03</t>
  </si>
  <si>
    <t>2.1.1/2/032-01 e 02</t>
  </si>
  <si>
    <t>2.1.1/2/033-01 a 04</t>
  </si>
  <si>
    <t>2.1.1/2/035</t>
  </si>
  <si>
    <t>2.1.1/2/036</t>
  </si>
  <si>
    <t>2.1.1/2/040</t>
  </si>
  <si>
    <t>2.1.1/2/041-01 e 02</t>
  </si>
  <si>
    <t>2.1.1/2/044</t>
  </si>
  <si>
    <t>2.1.1/2/045</t>
  </si>
  <si>
    <t>Chaves fusíveis e seccionad. p/Redes de Distrib. (DIS-G1) - Relicitação 18/00591</t>
  </si>
  <si>
    <t>18/01333</t>
  </si>
  <si>
    <t>Cabos Nus de cobre para Redes de Distribuição (DIS E-G1)</t>
  </si>
  <si>
    <t>18/00732</t>
  </si>
  <si>
    <t>11/05/2018</t>
  </si>
  <si>
    <t>2.1.1/2/036-01 e 02</t>
  </si>
  <si>
    <t>2.1.1/2/037-01 a 07</t>
  </si>
  <si>
    <t>2.1.1/2/039-01 a 06</t>
  </si>
  <si>
    <t>2.1.1/2/042-01 e 02</t>
  </si>
  <si>
    <t>2.1.1/2/043-00</t>
  </si>
  <si>
    <t>2.1.1/2/046</t>
  </si>
  <si>
    <t>Cabos Nus de cobre para Redes de Distribuição (DIS E-G1) - Relicitação 18/00732</t>
  </si>
  <si>
    <t>Cruzetas de Aço para Redes de Distribuição (DIS-G1)</t>
  </si>
  <si>
    <t>Bancos de Capacitores p/Redes de Distribuição (DIS-GII)</t>
  </si>
  <si>
    <t>2.2.1/2/</t>
  </si>
  <si>
    <t>2.2.1/2/001-01 a 05</t>
  </si>
  <si>
    <t>2.2.1/2/002-01 a 06</t>
  </si>
  <si>
    <t>2.2.1/2/003</t>
  </si>
  <si>
    <t>Aquisição de Medidores de Energia Elétrica (MED-G0 III) - [Lote 01]</t>
  </si>
  <si>
    <t>2.2.1/2/003-01 e 02</t>
  </si>
  <si>
    <t>08/12/2017</t>
  </si>
  <si>
    <t>2.2.1/2/004-01 e 02</t>
  </si>
  <si>
    <t>Aquisição de Medidores de Energia Elétrica (MED-G0 V) - [Lotes 03; 04; 07; 08; 19; 20; 21; 22; 23; 24]</t>
  </si>
  <si>
    <t>2.2.1/2/005</t>
  </si>
  <si>
    <t>2.2.1/2/005-01 a 07</t>
  </si>
  <si>
    <t>2.2.1/2/006</t>
  </si>
  <si>
    <t>2.2.1/2/007</t>
  </si>
  <si>
    <t>3.2.1/2/006-00</t>
  </si>
  <si>
    <t>Solução de conectividade para rede local, segurança e colaboração</t>
  </si>
  <si>
    <t>18/01015</t>
  </si>
  <si>
    <t>2.2.2/4/003-01 a 05</t>
  </si>
  <si>
    <t>Instalação de Medidores de Consumo – Aquisições Antecipadas- [Lotes (01); (02); (03); (04); (05)]</t>
  </si>
  <si>
    <t>2.2.2/4/004-01 a 04</t>
  </si>
  <si>
    <t>Instalação Medidores de Consumo - Aquis. Antecipadas (MED-G0) - [Lotes (01); (02); (03; (04)]</t>
  </si>
  <si>
    <t>2.2.2/4/</t>
  </si>
  <si>
    <t>1.4.1/3/001-00A</t>
  </si>
  <si>
    <t>1.4.2#1.4.1/3/001-00B</t>
  </si>
  <si>
    <t>1.5.1#1.4.1/3/001-00C</t>
  </si>
  <si>
    <t>Contratação de Empresa de Consultoria para Elaboração de Estudos Ambientais  (Elaboração de estudos ambientais)</t>
  </si>
  <si>
    <t>Contratação de Empresa de Consultoria para Elaboração de Estudos Ambientais  (Projetos de engenharia)</t>
  </si>
  <si>
    <t>Contratação de Empresa de Consultoria para Elaboração de Estudos Ambientais  (Supervisão ambiental)</t>
  </si>
  <si>
    <t>Aquisição e Instalação de Equipamento para redes de MT e BT - Obras de Alimentadores na ARMAF [Lotes 01; 02]</t>
  </si>
  <si>
    <t>Equipamentos (Disjuntores e outros) para NSE 01; 02; 03; 04; 05 - [Lotes (01+12); (02); (04); (06); (07); (08+09); (10); (11); (13)]</t>
  </si>
  <si>
    <t>Equipamentos (Religadores e outros) para AMP 06; 07 - [Lotes (07); (08+10+12); (09); (11)]</t>
  </si>
  <si>
    <t>Equipamentos (Disjuntores e outros) para AMP 06; 07 - [Lotes (01); (02+06); (03+04); (05); (07+08); (09); (10)]</t>
  </si>
  <si>
    <t>Equipamentos (Disjuntores e outros) para AMP 02; 03 - [Lotes (01+12); (02); (04); (07); (08+09); (10)]</t>
  </si>
  <si>
    <t>Equipamentos (Isoladores) para ILD 01 a 07 - [Lotes (04); (01+02); (03)]</t>
  </si>
  <si>
    <t>Equipamentos (Postes) para ILD 01 a 05 - [Lotes (01+02+06+07+11+12+13); (03+08+10+14); (04+09); (05)]</t>
  </si>
  <si>
    <t>Cruzetas madeira, polimér., aço carb. e bases pré-mold. [Lotes 03; 04; 07; 08]</t>
  </si>
  <si>
    <t>Transformad. Trifásicos (25KV) p/Redes de Distrib. (DIS-G1-I) - [Lotes 01+02]</t>
  </si>
  <si>
    <t>Transform. monofásicos para Redes de Distribuição (DIS-G1) - [Lotes 01+02]</t>
  </si>
  <si>
    <t>Transform. Trifásicos (15KV) p/Redes de Distribuição (DIS-G1-I) - [Lotes 01+02]</t>
  </si>
  <si>
    <t>Para-raios para Redes de Distribuição (DIS-G1) - [Lotes 01+02]</t>
  </si>
  <si>
    <t>18/00563</t>
  </si>
  <si>
    <t>15/00216</t>
  </si>
  <si>
    <t>15/00877</t>
  </si>
  <si>
    <t>2.1.1/2/018</t>
  </si>
  <si>
    <t>2.1.1/2/018-01 a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</si>
</sst>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64" formatCode="_-&quot;R$&quot;* #,##0.00_-;\-&quot;R$&quot;* #,##0.00_-;_-&quot;R$&quot;* &quot;-&quot;??_-;_-@_-"/>
    <numFmt numFmtId="165" formatCode="_-* #,##0.00_-;\-* #,##0.00_-;_-* &quot;-&quot;??_-;_-@_-"/>
    <numFmt numFmtId="166" formatCode="_-&quot;R$&quot;\ * #,##0.00_-;\-&quot;R$&quot;\ * #,##0.00_-;_-&quot;R$&quot;\ * &quot;-&quot;??_-;_-@_-"/>
    <numFmt numFmtId="167" formatCode="_(&quot;R$ &quot;* #,##0.00_);_(&quot;R$ &quot;* \(#,##0.00\);_(&quot;R$ &quot;* &quot;-&quot;??_);_(@_)"/>
    <numFmt numFmtId="168" formatCode="0.0"/>
    <numFmt numFmtId="169" formatCode="#,##0.00000"/>
    <numFmt numFmtId="170" formatCode="0.0000"/>
    <numFmt numFmtId="171" formatCode="#,##0.00_ ;\-#,##0.00\ "/>
  </numFmts>
  <fonts count="8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14"/>
      <color indexed="8"/>
      <name val="Algerian"/>
      <family val="2"/>
    </font>
    <font>
      <u/>
      <sz val="10"/>
      <color indexed="12"/>
      <name val="Arial"/>
      <family val="2"/>
    </font>
    <font>
      <sz val="11"/>
      <color theme="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b/>
      <sz val="16"/>
      <color rgb="FF000000"/>
      <name val="Calibri"/>
      <family val="2"/>
      <scheme val="minor"/>
    </font>
    <font>
      <sz val="10"/>
      <name val="Arial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b/>
      <sz val="10"/>
      <name val="Arial Narrow"/>
      <family val="2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8" tint="-0.249977111117893"/>
      <name val="Calibri"/>
      <family val="2"/>
      <scheme val="minor"/>
    </font>
    <font>
      <sz val="10"/>
      <color theme="8" tint="-0.249977111117893"/>
      <name val="Arial"/>
      <family val="2"/>
    </font>
    <font>
      <sz val="11"/>
      <color rgb="FFFF0000"/>
      <name val="Calibri"/>
      <family val="2"/>
      <scheme val="minor"/>
    </font>
    <font>
      <sz val="12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9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25">
    <xf numFmtId="0" fontId="0" fillId="0" borderId="0"/>
    <xf numFmtId="167" fontId="29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167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9" fillId="0" borderId="0"/>
    <xf numFmtId="9" fontId="28" fillId="0" borderId="0" applyFont="0" applyFill="0" applyBorder="0" applyAlignment="0" applyProtection="0"/>
    <xf numFmtId="0" fontId="30" fillId="0" borderId="0"/>
    <xf numFmtId="43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8" fillId="0" borderId="0"/>
    <xf numFmtId="167" fontId="28" fillId="0" borderId="0" applyFont="0" applyFill="0" applyBorder="0" applyAlignment="0" applyProtection="0"/>
    <xf numFmtId="167" fontId="2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27" fillId="0" borderId="0"/>
    <xf numFmtId="0" fontId="26" fillId="0" borderId="0"/>
    <xf numFmtId="9" fontId="33" fillId="0" borderId="0" applyFont="0" applyFill="0" applyBorder="0" applyAlignment="0" applyProtection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3" borderId="0" applyNumberFormat="0" applyBorder="0" applyAlignment="0" applyProtection="0"/>
    <xf numFmtId="0" fontId="36" fillId="20" borderId="12" applyNumberFormat="0" applyAlignment="0" applyProtection="0"/>
    <xf numFmtId="0" fontId="37" fillId="21" borderId="13" applyNumberFormat="0" applyAlignment="0" applyProtection="0"/>
    <xf numFmtId="0" fontId="38" fillId="0" borderId="0" applyNumberFormat="0" applyFill="0" applyBorder="0" applyAlignment="0" applyProtection="0"/>
    <xf numFmtId="0" fontId="39" fillId="4" borderId="0" applyNumberFormat="0" applyBorder="0" applyAlignment="0" applyProtection="0"/>
    <xf numFmtId="0" fontId="40" fillId="0" borderId="14" applyNumberFormat="0" applyFill="0" applyAlignment="0" applyProtection="0"/>
    <xf numFmtId="0" fontId="41" fillId="0" borderId="15" applyNumberFormat="0" applyFill="0" applyAlignment="0" applyProtection="0"/>
    <xf numFmtId="0" fontId="42" fillId="0" borderId="16" applyNumberFormat="0" applyFill="0" applyAlignment="0" applyProtection="0"/>
    <xf numFmtId="0" fontId="42" fillId="0" borderId="0" applyNumberFormat="0" applyFill="0" applyBorder="0" applyAlignment="0" applyProtection="0"/>
    <xf numFmtId="0" fontId="43" fillId="7" borderId="12" applyNumberFormat="0" applyAlignment="0" applyProtection="0"/>
    <xf numFmtId="0" fontId="44" fillId="0" borderId="17" applyNumberFormat="0" applyFill="0" applyAlignment="0" applyProtection="0"/>
    <xf numFmtId="0" fontId="45" fillId="22" borderId="0" applyNumberFormat="0" applyBorder="0" applyAlignment="0" applyProtection="0"/>
    <xf numFmtId="0" fontId="46" fillId="23" borderId="18" applyNumberFormat="0" applyFont="0" applyAlignment="0" applyProtection="0"/>
    <xf numFmtId="0" fontId="47" fillId="20" borderId="19" applyNumberFormat="0" applyAlignment="0" applyProtection="0"/>
    <xf numFmtId="9" fontId="31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9" fontId="30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3" fillId="0" borderId="0"/>
    <xf numFmtId="0" fontId="43" fillId="7" borderId="50" applyNumberFormat="0" applyAlignment="0" applyProtection="0"/>
    <xf numFmtId="0" fontId="46" fillId="23" borderId="39" applyNumberFormat="0" applyFont="0" applyAlignment="0" applyProtection="0"/>
    <xf numFmtId="0" fontId="47" fillId="20" borderId="37" applyNumberFormat="0" applyAlignment="0" applyProtection="0"/>
    <xf numFmtId="0" fontId="46" fillId="23" borderId="54" applyNumberFormat="0" applyFont="0" applyAlignment="0" applyProtection="0"/>
    <xf numFmtId="9" fontId="28" fillId="0" borderId="0" applyFont="0" applyFill="0" applyBorder="0" applyAlignment="0" applyProtection="0"/>
    <xf numFmtId="0" fontId="28" fillId="0" borderId="0"/>
    <xf numFmtId="0" fontId="22" fillId="0" borderId="0"/>
    <xf numFmtId="0" fontId="43" fillId="7" borderId="44" applyNumberFormat="0" applyAlignment="0" applyProtection="0"/>
    <xf numFmtId="167" fontId="28" fillId="0" borderId="0" applyFont="0" applyFill="0" applyBorder="0" applyAlignment="0" applyProtection="0"/>
    <xf numFmtId="0" fontId="47" fillId="20" borderId="55" applyNumberFormat="0" applyAlignment="0" applyProtection="0"/>
    <xf numFmtId="43" fontId="28" fillId="0" borderId="0" applyFont="0" applyFill="0" applyBorder="0" applyAlignment="0" applyProtection="0"/>
    <xf numFmtId="0" fontId="25" fillId="0" borderId="0"/>
    <xf numFmtId="0" fontId="25" fillId="0" borderId="0"/>
    <xf numFmtId="0" fontId="46" fillId="23" borderId="33" applyNumberFormat="0" applyFont="0" applyAlignment="0" applyProtection="0"/>
    <xf numFmtId="0" fontId="36" fillId="20" borderId="50" applyNumberFormat="0" applyAlignment="0" applyProtection="0"/>
    <xf numFmtId="0" fontId="43" fillId="7" borderId="20" applyNumberFormat="0" applyAlignment="0" applyProtection="0"/>
    <xf numFmtId="0" fontId="36" fillId="20" borderId="29" applyNumberFormat="0" applyAlignment="0" applyProtection="0"/>
    <xf numFmtId="0" fontId="36" fillId="20" borderId="53" applyNumberFormat="0" applyAlignment="0" applyProtection="0"/>
    <xf numFmtId="0" fontId="36" fillId="20" borderId="38" applyNumberFormat="0" applyAlignment="0" applyProtection="0"/>
    <xf numFmtId="0" fontId="36" fillId="20" borderId="20" applyNumberFormat="0" applyAlignment="0" applyProtection="0"/>
    <xf numFmtId="0" fontId="36" fillId="20" borderId="35" applyNumberFormat="0" applyAlignment="0" applyProtection="0"/>
    <xf numFmtId="0" fontId="43" fillId="7" borderId="41" applyNumberFormat="0" applyAlignment="0" applyProtection="0"/>
    <xf numFmtId="0" fontId="36" fillId="20" borderId="26" applyNumberFormat="0" applyAlignment="0" applyProtection="0"/>
    <xf numFmtId="0" fontId="36" fillId="20" borderId="32" applyNumberFormat="0" applyAlignment="0" applyProtection="0"/>
    <xf numFmtId="0" fontId="43" fillId="7" borderId="38" applyNumberFormat="0" applyAlignment="0" applyProtection="0"/>
    <xf numFmtId="0" fontId="36" fillId="20" borderId="23" applyNumberFormat="0" applyAlignment="0" applyProtection="0"/>
    <xf numFmtId="0" fontId="47" fillId="20" borderId="43" applyNumberFormat="0" applyAlignment="0" applyProtection="0"/>
    <xf numFmtId="0" fontId="43" fillId="7" borderId="35" applyNumberFormat="0" applyAlignment="0" applyProtection="0"/>
    <xf numFmtId="0" fontId="47" fillId="20" borderId="40" applyNumberFormat="0" applyAlignment="0" applyProtection="0"/>
    <xf numFmtId="0" fontId="43" fillId="7" borderId="26" applyNumberFormat="0" applyAlignment="0" applyProtection="0"/>
    <xf numFmtId="0" fontId="43" fillId="7" borderId="32" applyNumberFormat="0" applyAlignment="0" applyProtection="0"/>
    <xf numFmtId="0" fontId="43" fillId="7" borderId="23" applyNumberFormat="0" applyAlignment="0" applyProtection="0"/>
    <xf numFmtId="0" fontId="47" fillId="20" borderId="28" applyNumberFormat="0" applyAlignment="0" applyProtection="0"/>
    <xf numFmtId="0" fontId="46" fillId="23" borderId="24" applyNumberFormat="0" applyFont="0" applyAlignment="0" applyProtection="0"/>
    <xf numFmtId="0" fontId="47" fillId="20" borderId="25" applyNumberFormat="0" applyAlignment="0" applyProtection="0"/>
    <xf numFmtId="0" fontId="46" fillId="23" borderId="42" applyNumberFormat="0" applyFont="0" applyAlignment="0" applyProtection="0"/>
    <xf numFmtId="0" fontId="43" fillId="7" borderId="53" applyNumberFormat="0" applyAlignment="0" applyProtection="0"/>
    <xf numFmtId="0" fontId="47" fillId="20" borderId="31" applyNumberFormat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2" fillId="0" borderId="0"/>
    <xf numFmtId="0" fontId="43" fillId="7" borderId="29" applyNumberFormat="0" applyAlignment="0" applyProtection="0"/>
    <xf numFmtId="0" fontId="46" fillId="23" borderId="21" applyNumberFormat="0" applyFont="0" applyAlignment="0" applyProtection="0"/>
    <xf numFmtId="0" fontId="47" fillId="20" borderId="22" applyNumberFormat="0" applyAlignment="0" applyProtection="0"/>
    <xf numFmtId="0" fontId="43" fillId="7" borderId="47" applyNumberFormat="0" applyAlignment="0" applyProtection="0"/>
    <xf numFmtId="0" fontId="46" fillId="23" borderId="51" applyNumberFormat="0" applyFont="0" applyAlignment="0" applyProtection="0"/>
    <xf numFmtId="0" fontId="46" fillId="23" borderId="45" applyNumberFormat="0" applyFont="0" applyAlignment="0" applyProtection="0"/>
    <xf numFmtId="0" fontId="47" fillId="20" borderId="34" applyNumberFormat="0" applyAlignment="0" applyProtection="0"/>
    <xf numFmtId="0" fontId="36" fillId="20" borderId="41" applyNumberFormat="0" applyAlignment="0" applyProtection="0"/>
    <xf numFmtId="0" fontId="46" fillId="23" borderId="30" applyNumberFormat="0" applyFont="0" applyAlignment="0" applyProtection="0"/>
    <xf numFmtId="0" fontId="46" fillId="23" borderId="27" applyNumberFormat="0" applyFont="0" applyAlignment="0" applyProtection="0"/>
    <xf numFmtId="0" fontId="47" fillId="20" borderId="49" applyNumberFormat="0" applyAlignment="0" applyProtection="0"/>
    <xf numFmtId="0" fontId="47" fillId="20" borderId="52" applyNumberFormat="0" applyAlignment="0" applyProtection="0"/>
    <xf numFmtId="0" fontId="47" fillId="20" borderId="46" applyNumberFormat="0" applyAlignment="0" applyProtection="0"/>
    <xf numFmtId="0" fontId="46" fillId="23" borderId="36" applyNumberFormat="0" applyFont="0" applyAlignment="0" applyProtection="0"/>
    <xf numFmtId="0" fontId="36" fillId="20" borderId="47" applyNumberFormat="0" applyAlignment="0" applyProtection="0"/>
    <xf numFmtId="0" fontId="36" fillId="20" borderId="44" applyNumberFormat="0" applyAlignment="0" applyProtection="0"/>
    <xf numFmtId="0" fontId="46" fillId="23" borderId="48" applyNumberFormat="0" applyFont="0" applyAlignment="0" applyProtection="0"/>
    <xf numFmtId="0" fontId="51" fillId="0" borderId="0"/>
    <xf numFmtId="0" fontId="21" fillId="0" borderId="0"/>
    <xf numFmtId="0" fontId="20" fillId="0" borderId="0"/>
    <xf numFmtId="0" fontId="36" fillId="20" borderId="56" applyNumberFormat="0" applyAlignment="0" applyProtection="0"/>
    <xf numFmtId="0" fontId="43" fillId="7" borderId="56" applyNumberFormat="0" applyAlignment="0" applyProtection="0"/>
    <xf numFmtId="0" fontId="46" fillId="23" borderId="57" applyNumberFormat="0" applyFont="0" applyAlignment="0" applyProtection="0"/>
    <xf numFmtId="0" fontId="47" fillId="20" borderId="58" applyNumberFormat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0" fillId="0" borderId="0"/>
    <xf numFmtId="0" fontId="43" fillId="7" borderId="53" applyNumberFormat="0" applyAlignment="0" applyProtection="0"/>
    <xf numFmtId="0" fontId="46" fillId="23" borderId="54" applyNumberFormat="0" applyFont="0" applyAlignment="0" applyProtection="0"/>
    <xf numFmtId="0" fontId="47" fillId="20" borderId="55" applyNumberFormat="0" applyAlignment="0" applyProtection="0"/>
    <xf numFmtId="0" fontId="20" fillId="0" borderId="0"/>
    <xf numFmtId="0" fontId="43" fillId="7" borderId="53" applyNumberFormat="0" applyAlignment="0" applyProtection="0"/>
    <xf numFmtId="0" fontId="46" fillId="23" borderId="54" applyNumberFormat="0" applyFont="0" applyAlignment="0" applyProtection="0"/>
    <xf numFmtId="0" fontId="36" fillId="20" borderId="53" applyNumberFormat="0" applyAlignment="0" applyProtection="0"/>
    <xf numFmtId="0" fontId="43" fillId="7" borderId="59" applyNumberFormat="0" applyAlignment="0" applyProtection="0"/>
    <xf numFmtId="0" fontId="36" fillId="20" borderId="53" applyNumberFormat="0" applyAlignment="0" applyProtection="0"/>
    <xf numFmtId="0" fontId="36" fillId="20" borderId="53" applyNumberFormat="0" applyAlignment="0" applyProtection="0"/>
    <xf numFmtId="0" fontId="36" fillId="20" borderId="59" applyNumberFormat="0" applyAlignment="0" applyProtection="0"/>
    <xf numFmtId="0" fontId="36" fillId="20" borderId="53" applyNumberFormat="0" applyAlignment="0" applyProtection="0"/>
    <xf numFmtId="0" fontId="43" fillId="7" borderId="53" applyNumberFormat="0" applyAlignment="0" applyProtection="0"/>
    <xf numFmtId="0" fontId="36" fillId="20" borderId="53" applyNumberFormat="0" applyAlignment="0" applyProtection="0"/>
    <xf numFmtId="0" fontId="36" fillId="20" borderId="53" applyNumberFormat="0" applyAlignment="0" applyProtection="0"/>
    <xf numFmtId="0" fontId="43" fillId="7" borderId="53" applyNumberFormat="0" applyAlignment="0" applyProtection="0"/>
    <xf numFmtId="0" fontId="36" fillId="20" borderId="59" applyNumberFormat="0" applyAlignment="0" applyProtection="0"/>
    <xf numFmtId="0" fontId="47" fillId="20" borderId="55" applyNumberFormat="0" applyAlignment="0" applyProtection="0"/>
    <xf numFmtId="0" fontId="43" fillId="7" borderId="53" applyNumberFormat="0" applyAlignment="0" applyProtection="0"/>
    <xf numFmtId="0" fontId="47" fillId="20" borderId="55" applyNumberFormat="0" applyAlignment="0" applyProtection="0"/>
    <xf numFmtId="0" fontId="43" fillId="7" borderId="53" applyNumberFormat="0" applyAlignment="0" applyProtection="0"/>
    <xf numFmtId="0" fontId="43" fillId="7" borderId="53" applyNumberFormat="0" applyAlignment="0" applyProtection="0"/>
    <xf numFmtId="0" fontId="43" fillId="7" borderId="59" applyNumberFormat="0" applyAlignment="0" applyProtection="0"/>
    <xf numFmtId="0" fontId="47" fillId="20" borderId="55" applyNumberFormat="0" applyAlignment="0" applyProtection="0"/>
    <xf numFmtId="0" fontId="46" fillId="23" borderId="60" applyNumberFormat="0" applyFont="0" applyAlignment="0" applyProtection="0"/>
    <xf numFmtId="0" fontId="47" fillId="20" borderId="61" applyNumberFormat="0" applyAlignment="0" applyProtection="0"/>
    <xf numFmtId="0" fontId="46" fillId="23" borderId="54" applyNumberFormat="0" applyFont="0" applyAlignment="0" applyProtection="0"/>
    <xf numFmtId="0" fontId="47" fillId="20" borderId="55" applyNumberFormat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0" fillId="0" borderId="0"/>
    <xf numFmtId="0" fontId="43" fillId="7" borderId="53" applyNumberFormat="0" applyAlignment="0" applyProtection="0"/>
    <xf numFmtId="0" fontId="46" fillId="23" borderId="60" applyNumberFormat="0" applyFont="0" applyAlignment="0" applyProtection="0"/>
    <xf numFmtId="0" fontId="47" fillId="20" borderId="61" applyNumberFormat="0" applyAlignment="0" applyProtection="0"/>
    <xf numFmtId="0" fontId="43" fillId="7" borderId="53" applyNumberFormat="0" applyAlignment="0" applyProtection="0"/>
    <xf numFmtId="0" fontId="46" fillId="23" borderId="54" applyNumberFormat="0" applyFont="0" applyAlignment="0" applyProtection="0"/>
    <xf numFmtId="0" fontId="46" fillId="23" borderId="54" applyNumberFormat="0" applyFont="0" applyAlignment="0" applyProtection="0"/>
    <xf numFmtId="0" fontId="47" fillId="20" borderId="55" applyNumberFormat="0" applyAlignment="0" applyProtection="0"/>
    <xf numFmtId="0" fontId="36" fillId="20" borderId="53" applyNumberFormat="0" applyAlignment="0" applyProtection="0"/>
    <xf numFmtId="0" fontId="46" fillId="23" borderId="54" applyNumberFormat="0" applyFont="0" applyAlignment="0" applyProtection="0"/>
    <xf numFmtId="0" fontId="46" fillId="23" borderId="54" applyNumberFormat="0" applyFont="0" applyAlignment="0" applyProtection="0"/>
    <xf numFmtId="0" fontId="47" fillId="20" borderId="55" applyNumberFormat="0" applyAlignment="0" applyProtection="0"/>
    <xf numFmtId="0" fontId="47" fillId="20" borderId="55" applyNumberFormat="0" applyAlignment="0" applyProtection="0"/>
    <xf numFmtId="0" fontId="47" fillId="20" borderId="55" applyNumberFormat="0" applyAlignment="0" applyProtection="0"/>
    <xf numFmtId="0" fontId="46" fillId="23" borderId="54" applyNumberFormat="0" applyFont="0" applyAlignment="0" applyProtection="0"/>
    <xf numFmtId="0" fontId="36" fillId="20" borderId="53" applyNumberFormat="0" applyAlignment="0" applyProtection="0"/>
    <xf numFmtId="0" fontId="36" fillId="20" borderId="53" applyNumberFormat="0" applyAlignment="0" applyProtection="0"/>
    <xf numFmtId="0" fontId="46" fillId="23" borderId="54" applyNumberFormat="0" applyFont="0" applyAlignment="0" applyProtection="0"/>
    <xf numFmtId="0" fontId="28" fillId="0" borderId="0"/>
    <xf numFmtId="0" fontId="20" fillId="0" borderId="0"/>
    <xf numFmtId="0" fontId="19" fillId="0" borderId="0"/>
    <xf numFmtId="0" fontId="28" fillId="0" borderId="0" applyNumberFormat="0" applyFont="0" applyFill="0" applyBorder="0" applyAlignment="0" applyProtection="0"/>
    <xf numFmtId="0" fontId="28" fillId="0" borderId="0" applyNumberFormat="0" applyFont="0" applyFill="0" applyBorder="0" applyAlignment="0" applyProtection="0"/>
    <xf numFmtId="0" fontId="18" fillId="0" borderId="0"/>
    <xf numFmtId="0" fontId="17" fillId="0" borderId="0"/>
    <xf numFmtId="0" fontId="58" fillId="0" borderId="0" applyNumberFormat="0" applyFill="0" applyBorder="0" applyAlignment="0" applyProtection="0"/>
    <xf numFmtId="9" fontId="16" fillId="0" borderId="0" applyFont="0" applyFill="0" applyBorder="0" applyAlignment="0" applyProtection="0"/>
    <xf numFmtId="0" fontId="15" fillId="0" borderId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59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5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28" fillId="0" borderId="0" applyFont="0"/>
    <xf numFmtId="0" fontId="28" fillId="0" borderId="0" applyFont="0"/>
    <xf numFmtId="0" fontId="28" fillId="0" borderId="0" applyFont="0"/>
    <xf numFmtId="0" fontId="28" fillId="0" borderId="0" applyFont="0"/>
    <xf numFmtId="0" fontId="28" fillId="0" borderId="0" applyFont="0"/>
    <xf numFmtId="0" fontId="28" fillId="0" borderId="0"/>
    <xf numFmtId="0" fontId="28" fillId="0" borderId="0"/>
    <xf numFmtId="0" fontId="28" fillId="0" borderId="0"/>
    <xf numFmtId="0" fontId="28" fillId="0" borderId="0"/>
    <xf numFmtId="41" fontId="28" fillId="0" borderId="0" applyFont="0" applyFill="0" applyBorder="0" applyAlignment="0" applyProtection="0"/>
    <xf numFmtId="0" fontId="59" fillId="0" borderId="0" applyNumberFormat="0" applyFont="0" applyFill="0" applyBorder="0" applyProtection="0">
      <alignment vertical="center"/>
    </xf>
    <xf numFmtId="0" fontId="59" fillId="0" borderId="0" applyNumberFormat="0" applyFont="0" applyFill="0" applyBorder="0" applyProtection="0">
      <alignment vertical="center"/>
    </xf>
    <xf numFmtId="0" fontId="59" fillId="0" borderId="0" applyNumberFormat="0" applyFont="0" applyFill="0" applyBorder="0" applyProtection="0">
      <alignment vertical="center"/>
    </xf>
    <xf numFmtId="0" fontId="59" fillId="0" borderId="0" applyNumberFormat="0" applyFont="0" applyFill="0" applyBorder="0" applyProtection="0">
      <alignment vertical="center"/>
    </xf>
    <xf numFmtId="0" fontId="59" fillId="0" borderId="0" applyNumberFormat="0" applyFont="0" applyFill="0" applyBorder="0" applyProtection="0">
      <alignment vertical="center"/>
    </xf>
    <xf numFmtId="0" fontId="59" fillId="0" borderId="0" applyNumberFormat="0" applyFont="0" applyFill="0" applyBorder="0" applyProtection="0">
      <alignment vertical="center"/>
    </xf>
    <xf numFmtId="0" fontId="59" fillId="0" borderId="0" applyNumberFormat="0" applyFont="0" applyFill="0" applyBorder="0" applyProtection="0">
      <alignment vertical="center"/>
    </xf>
    <xf numFmtId="0" fontId="59" fillId="0" borderId="0" applyNumberFormat="0" applyFont="0" applyFill="0" applyBorder="0" applyProtection="0">
      <alignment vertical="center"/>
    </xf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65" fontId="59" fillId="0" borderId="0" applyFont="0" applyFill="0" applyBorder="0" applyAlignment="0" applyProtection="0"/>
    <xf numFmtId="0" fontId="59" fillId="0" borderId="0" applyNumberFormat="0" applyFont="0" applyFill="0" applyBorder="0" applyProtection="0">
      <alignment vertical="center"/>
    </xf>
    <xf numFmtId="0" fontId="59" fillId="0" borderId="0" applyNumberFormat="0" applyFont="0" applyFill="0" applyBorder="0" applyProtection="0">
      <alignment vertical="center"/>
    </xf>
    <xf numFmtId="0" fontId="59" fillId="0" borderId="0" applyNumberFormat="0" applyFont="0" applyFill="0" applyBorder="0" applyProtection="0">
      <alignment vertical="center"/>
    </xf>
    <xf numFmtId="43" fontId="3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13" fillId="0" borderId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2" fillId="0" borderId="0"/>
    <xf numFmtId="0" fontId="11" fillId="0" borderId="0"/>
    <xf numFmtId="165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0" fontId="7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3" borderId="0" applyNumberFormat="0" applyBorder="0" applyAlignment="0" applyProtection="0"/>
    <xf numFmtId="0" fontId="37" fillId="21" borderId="13" applyNumberFormat="0" applyAlignment="0" applyProtection="0"/>
    <xf numFmtId="0" fontId="38" fillId="0" borderId="0" applyNumberFormat="0" applyFill="0" applyBorder="0" applyAlignment="0" applyProtection="0"/>
    <xf numFmtId="0" fontId="39" fillId="4" borderId="0" applyNumberFormat="0" applyBorder="0" applyAlignment="0" applyProtection="0"/>
    <xf numFmtId="0" fontId="40" fillId="0" borderId="14" applyNumberFormat="0" applyFill="0" applyAlignment="0" applyProtection="0"/>
    <xf numFmtId="0" fontId="41" fillId="0" borderId="15" applyNumberFormat="0" applyFill="0" applyAlignment="0" applyProtection="0"/>
    <xf numFmtId="0" fontId="42" fillId="0" borderId="64" applyNumberFormat="0" applyFill="0" applyAlignment="0" applyProtection="0"/>
    <xf numFmtId="0" fontId="42" fillId="0" borderId="0" applyNumberFormat="0" applyFill="0" applyBorder="0" applyAlignment="0" applyProtection="0"/>
    <xf numFmtId="0" fontId="44" fillId="0" borderId="17" applyNumberFormat="0" applyFill="0" applyAlignment="0" applyProtection="0"/>
    <xf numFmtId="0" fontId="45" fillId="22" borderId="0" applyNumberFormat="0" applyBorder="0" applyAlignment="0" applyProtection="0"/>
    <xf numFmtId="0" fontId="48" fillId="0" borderId="0" applyNumberFormat="0" applyFill="0" applyBorder="0" applyAlignment="0" applyProtection="0"/>
    <xf numFmtId="0" fontId="32" fillId="0" borderId="65" applyNumberFormat="0" applyFill="0" applyAlignment="0" applyProtection="0"/>
    <xf numFmtId="0" fontId="49" fillId="0" borderId="0" applyNumberForma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0" fontId="4" fillId="0" borderId="0"/>
    <xf numFmtId="164" fontId="68" fillId="0" borderId="0" applyFont="0" applyFill="0" applyBorder="0" applyAlignment="0" applyProtection="0"/>
    <xf numFmtId="0" fontId="70" fillId="0" borderId="0"/>
    <xf numFmtId="0" fontId="2" fillId="0" borderId="0"/>
    <xf numFmtId="165" fontId="28" fillId="0" borderId="0" applyFont="0" applyFill="0" applyBorder="0" applyAlignment="0" applyProtection="0"/>
  </cellStyleXfs>
  <cellXfs count="290">
    <xf numFmtId="0" fontId="0" fillId="0" borderId="0" xfId="0"/>
    <xf numFmtId="0" fontId="28" fillId="0" borderId="0" xfId="12"/>
    <xf numFmtId="0" fontId="57" fillId="0" borderId="2" xfId="12" applyFont="1" applyFill="1" applyBorder="1" applyAlignment="1">
      <alignment vertical="center" wrapText="1"/>
    </xf>
    <xf numFmtId="0" fontId="57" fillId="0" borderId="5" xfId="12" applyFont="1" applyFill="1" applyBorder="1" applyAlignment="1">
      <alignment vertical="center" wrapText="1"/>
    </xf>
    <xf numFmtId="0" fontId="57" fillId="0" borderId="0" xfId="12" applyFont="1" applyFill="1" applyBorder="1" applyAlignment="1">
      <alignment vertical="center" wrapText="1"/>
    </xf>
    <xf numFmtId="4" fontId="57" fillId="0" borderId="0" xfId="12" applyNumberFormat="1" applyFont="1" applyFill="1" applyBorder="1" applyAlignment="1">
      <alignment vertical="center" wrapText="1"/>
    </xf>
    <xf numFmtId="10" fontId="57" fillId="0" borderId="0" xfId="12" applyNumberFormat="1" applyFont="1" applyFill="1" applyBorder="1" applyAlignment="1">
      <alignment vertical="center" wrapText="1"/>
    </xf>
    <xf numFmtId="0" fontId="57" fillId="0" borderId="7" xfId="12" applyFont="1" applyFill="1" applyBorder="1" applyAlignment="1">
      <alignment vertical="center" wrapText="1"/>
    </xf>
    <xf numFmtId="0" fontId="57" fillId="0" borderId="0" xfId="12" applyFont="1" applyFill="1" applyBorder="1" applyAlignment="1">
      <alignment horizontal="center" vertical="center" wrapText="1"/>
    </xf>
    <xf numFmtId="4" fontId="57" fillId="0" borderId="5" xfId="12" applyNumberFormat="1" applyFont="1" applyFill="1" applyBorder="1" applyAlignment="1">
      <alignment horizontal="right" vertical="center" wrapText="1"/>
    </xf>
    <xf numFmtId="4" fontId="57" fillId="0" borderId="2" xfId="12" applyNumberFormat="1" applyFont="1" applyFill="1" applyBorder="1" applyAlignment="1">
      <alignment horizontal="right" vertical="center" wrapText="1"/>
    </xf>
    <xf numFmtId="10" fontId="57" fillId="0" borderId="2" xfId="12" applyNumberFormat="1" applyFont="1" applyFill="1" applyBorder="1" applyAlignment="1">
      <alignment horizontal="center" vertical="center" wrapText="1"/>
    </xf>
    <xf numFmtId="10" fontId="57" fillId="0" borderId="2" xfId="8" applyNumberFormat="1" applyFont="1" applyFill="1" applyBorder="1" applyAlignment="1">
      <alignment horizontal="center" vertical="center" wrapText="1"/>
    </xf>
    <xf numFmtId="2" fontId="57" fillId="0" borderId="0" xfId="12" applyNumberFormat="1" applyFont="1" applyFill="1" applyBorder="1" applyAlignment="1">
      <alignment vertical="center" wrapText="1"/>
    </xf>
    <xf numFmtId="10" fontId="57" fillId="0" borderId="5" xfId="12" applyNumberFormat="1" applyFont="1" applyFill="1" applyBorder="1" applyAlignment="1">
      <alignment horizontal="center" vertical="center" wrapText="1"/>
    </xf>
    <xf numFmtId="10" fontId="57" fillId="0" borderId="0" xfId="12" applyNumberFormat="1" applyFont="1" applyFill="1" applyBorder="1" applyAlignment="1">
      <alignment horizontal="center" vertical="center" wrapText="1"/>
    </xf>
    <xf numFmtId="49" fontId="57" fillId="0" borderId="2" xfId="12" applyNumberFormat="1" applyFont="1" applyFill="1" applyBorder="1" applyAlignment="1">
      <alignment horizontal="center" vertical="center" wrapText="1"/>
    </xf>
    <xf numFmtId="49" fontId="57" fillId="0" borderId="7" xfId="12" applyNumberFormat="1" applyFont="1" applyFill="1" applyBorder="1" applyAlignment="1">
      <alignment horizontal="center" vertical="center" wrapText="1"/>
    </xf>
    <xf numFmtId="0" fontId="57" fillId="0" borderId="4" xfId="12" applyFont="1" applyFill="1" applyBorder="1" applyAlignment="1">
      <alignment horizontal="center" vertical="center" wrapText="1"/>
    </xf>
    <xf numFmtId="0" fontId="57" fillId="0" borderId="2" xfId="12" applyFont="1" applyFill="1" applyBorder="1" applyAlignment="1">
      <alignment horizontal="left" vertical="center" wrapText="1"/>
    </xf>
    <xf numFmtId="0" fontId="57" fillId="0" borderId="5" xfId="12" applyFont="1" applyFill="1" applyBorder="1" applyAlignment="1">
      <alignment horizontal="left" vertical="center" wrapText="1"/>
    </xf>
    <xf numFmtId="0" fontId="57" fillId="0" borderId="2" xfId="12" applyNumberFormat="1" applyFont="1" applyFill="1" applyBorder="1" applyAlignment="1">
      <alignment horizontal="center" vertical="center" wrapText="1"/>
    </xf>
    <xf numFmtId="0" fontId="57" fillId="0" borderId="2" xfId="12" applyFont="1" applyFill="1" applyBorder="1" applyAlignment="1">
      <alignment horizontal="center" vertical="center" wrapText="1"/>
    </xf>
    <xf numFmtId="0" fontId="4" fillId="0" borderId="0" xfId="319" applyAlignment="1">
      <alignment horizontal="center"/>
    </xf>
    <xf numFmtId="0" fontId="4" fillId="0" borderId="0" xfId="319" applyAlignment="1">
      <alignment wrapText="1"/>
    </xf>
    <xf numFmtId="0" fontId="4" fillId="0" borderId="0" xfId="319"/>
    <xf numFmtId="0" fontId="4" fillId="0" borderId="0" xfId="319" applyAlignment="1">
      <alignment horizontal="center" vertical="center"/>
    </xf>
    <xf numFmtId="4" fontId="4" fillId="0" borderId="0" xfId="319" applyNumberFormat="1"/>
    <xf numFmtId="10" fontId="4" fillId="0" borderId="0" xfId="319" applyNumberFormat="1"/>
    <xf numFmtId="0" fontId="54" fillId="0" borderId="0" xfId="319" applyFont="1" applyAlignment="1">
      <alignment horizontal="justify" vertical="center"/>
    </xf>
    <xf numFmtId="0" fontId="56" fillId="0" borderId="0" xfId="320" applyFont="1" applyAlignment="1">
      <alignment horizontal="left" vertical="center"/>
    </xf>
    <xf numFmtId="0" fontId="56" fillId="0" borderId="0" xfId="319" applyFont="1" applyAlignment="1">
      <alignment horizontal="left" vertical="center"/>
    </xf>
    <xf numFmtId="0" fontId="50" fillId="0" borderId="0" xfId="319" applyFont="1" applyAlignment="1">
      <alignment horizontal="justify" vertical="center"/>
    </xf>
    <xf numFmtId="0" fontId="57" fillId="0" borderId="68" xfId="12" applyFont="1" applyFill="1" applyBorder="1" applyAlignment="1">
      <alignment vertical="center" wrapText="1"/>
    </xf>
    <xf numFmtId="10" fontId="57" fillId="0" borderId="68" xfId="12" applyNumberFormat="1" applyFont="1" applyFill="1" applyBorder="1" applyAlignment="1">
      <alignment horizontal="center" vertical="center" wrapText="1"/>
    </xf>
    <xf numFmtId="0" fontId="57" fillId="0" borderId="68" xfId="12" applyFont="1" applyFill="1" applyBorder="1" applyAlignment="1">
      <alignment horizontal="left" vertical="center" wrapText="1"/>
    </xf>
    <xf numFmtId="4" fontId="57" fillId="0" borderId="68" xfId="12" applyNumberFormat="1" applyFont="1" applyFill="1" applyBorder="1" applyAlignment="1">
      <alignment horizontal="right" vertical="center" wrapText="1"/>
    </xf>
    <xf numFmtId="49" fontId="57" fillId="0" borderId="68" xfId="12" applyNumberFormat="1" applyFont="1" applyFill="1" applyBorder="1" applyAlignment="1">
      <alignment horizontal="center" vertical="center" wrapText="1"/>
    </xf>
    <xf numFmtId="0" fontId="57" fillId="0" borderId="68" xfId="69" applyFont="1" applyFill="1" applyBorder="1" applyAlignment="1">
      <alignment horizontal="center" vertical="center" wrapText="1"/>
    </xf>
    <xf numFmtId="0" fontId="55" fillId="0" borderId="68" xfId="319" applyFont="1" applyBorder="1" applyAlignment="1">
      <alignment horizontal="center"/>
    </xf>
    <xf numFmtId="0" fontId="57" fillId="0" borderId="68" xfId="69" applyFont="1" applyFill="1" applyBorder="1" applyAlignment="1">
      <alignment vertical="center" wrapText="1"/>
    </xf>
    <xf numFmtId="0" fontId="57" fillId="0" borderId="5" xfId="12" applyFont="1" applyFill="1" applyBorder="1" applyAlignment="1">
      <alignment horizontal="center" vertical="center" wrapText="1"/>
    </xf>
    <xf numFmtId="10" fontId="57" fillId="0" borderId="68" xfId="8" applyNumberFormat="1" applyFont="1" applyFill="1" applyBorder="1" applyAlignment="1">
      <alignment horizontal="center" vertical="center" wrapText="1"/>
    </xf>
    <xf numFmtId="49" fontId="57" fillId="0" borderId="5" xfId="12" applyNumberFormat="1" applyFont="1" applyFill="1" applyBorder="1" applyAlignment="1">
      <alignment horizontal="center" vertical="center" wrapText="1"/>
    </xf>
    <xf numFmtId="0" fontId="57" fillId="0" borderId="75" xfId="12" applyFont="1" applyFill="1" applyBorder="1" applyAlignment="1">
      <alignment horizontal="center" vertical="center" wrapText="1"/>
    </xf>
    <xf numFmtId="0" fontId="57" fillId="0" borderId="76" xfId="12" applyFont="1" applyFill="1" applyBorder="1" applyAlignment="1">
      <alignment horizontal="center" vertical="center" wrapText="1"/>
    </xf>
    <xf numFmtId="0" fontId="57" fillId="0" borderId="76" xfId="12" applyFont="1" applyFill="1" applyBorder="1" applyAlignment="1">
      <alignment vertical="center" wrapText="1"/>
    </xf>
    <xf numFmtId="49" fontId="57" fillId="0" borderId="76" xfId="12" applyNumberFormat="1" applyFont="1" applyFill="1" applyBorder="1" applyAlignment="1">
      <alignment horizontal="center" vertical="center" wrapText="1"/>
    </xf>
    <xf numFmtId="49" fontId="4" fillId="0" borderId="0" xfId="319" applyNumberFormat="1"/>
    <xf numFmtId="49" fontId="0" fillId="0" borderId="0" xfId="0" applyNumberFormat="1"/>
    <xf numFmtId="49" fontId="57" fillId="0" borderId="0" xfId="12" applyNumberFormat="1" applyFont="1" applyFill="1" applyBorder="1" applyAlignment="1">
      <alignment vertical="center" wrapText="1"/>
    </xf>
    <xf numFmtId="168" fontId="57" fillId="0" borderId="5" xfId="12" applyNumberFormat="1" applyFont="1" applyFill="1" applyBorder="1" applyAlignment="1">
      <alignment horizontal="center" vertical="center" wrapText="1"/>
    </xf>
    <xf numFmtId="1" fontId="57" fillId="0" borderId="5" xfId="12" applyNumberFormat="1" applyFont="1" applyFill="1" applyBorder="1" applyAlignment="1">
      <alignment horizontal="center" vertical="center" wrapText="1"/>
    </xf>
    <xf numFmtId="4" fontId="57" fillId="0" borderId="0" xfId="12" applyNumberFormat="1" applyFont="1" applyFill="1" applyBorder="1" applyAlignment="1">
      <alignment horizontal="right" vertical="center" wrapText="1"/>
    </xf>
    <xf numFmtId="10" fontId="57" fillId="0" borderId="0" xfId="8" applyNumberFormat="1" applyFont="1" applyFill="1" applyBorder="1" applyAlignment="1">
      <alignment horizontal="center" vertical="center" wrapText="1"/>
    </xf>
    <xf numFmtId="49" fontId="57" fillId="0" borderId="0" xfId="12" applyNumberFormat="1" applyFont="1" applyFill="1" applyBorder="1" applyAlignment="1">
      <alignment horizontal="center" vertical="center" wrapText="1"/>
    </xf>
    <xf numFmtId="4" fontId="57" fillId="0" borderId="0" xfId="12" applyNumberFormat="1" applyFont="1" applyFill="1" applyBorder="1" applyAlignment="1">
      <alignment horizontal="center" vertical="center" wrapText="1"/>
    </xf>
    <xf numFmtId="4" fontId="64" fillId="24" borderId="5" xfId="12" applyNumberFormat="1" applyFont="1" applyFill="1" applyBorder="1" applyAlignment="1">
      <alignment horizontal="center" vertical="center" wrapText="1"/>
    </xf>
    <xf numFmtId="10" fontId="64" fillId="24" borderId="5" xfId="12" applyNumberFormat="1" applyFont="1" applyFill="1" applyBorder="1" applyAlignment="1">
      <alignment horizontal="center" vertical="center" wrapText="1"/>
    </xf>
    <xf numFmtId="49" fontId="64" fillId="24" borderId="5" xfId="12" applyNumberFormat="1" applyFont="1" applyFill="1" applyBorder="1" applyAlignment="1">
      <alignment horizontal="center" vertical="center" wrapText="1"/>
    </xf>
    <xf numFmtId="4" fontId="64" fillId="24" borderId="86" xfId="12" applyNumberFormat="1" applyFont="1" applyFill="1" applyBorder="1" applyAlignment="1">
      <alignment horizontal="center" vertical="center" wrapText="1"/>
    </xf>
    <xf numFmtId="10" fontId="64" fillId="24" borderId="86" xfId="12" applyNumberFormat="1" applyFont="1" applyFill="1" applyBorder="1" applyAlignment="1">
      <alignment horizontal="center" vertical="center" wrapText="1"/>
    </xf>
    <xf numFmtId="49" fontId="64" fillId="24" borderId="86" xfId="12" applyNumberFormat="1" applyFont="1" applyFill="1" applyBorder="1" applyAlignment="1">
      <alignment horizontal="center" vertical="center" wrapText="1"/>
    </xf>
    <xf numFmtId="0" fontId="64" fillId="24" borderId="5" xfId="12" applyFont="1" applyFill="1" applyBorder="1" applyAlignment="1">
      <alignment horizontal="center" vertical="center" wrapText="1"/>
    </xf>
    <xf numFmtId="0" fontId="57" fillId="0" borderId="71" xfId="12" applyFont="1" applyFill="1" applyBorder="1" applyAlignment="1">
      <alignment horizontal="left" vertical="center" wrapText="1"/>
    </xf>
    <xf numFmtId="0" fontId="57" fillId="0" borderId="71" xfId="12" applyFont="1" applyFill="1" applyBorder="1" applyAlignment="1">
      <alignment vertical="center" wrapText="1"/>
    </xf>
    <xf numFmtId="4" fontId="57" fillId="0" borderId="71" xfId="12" applyNumberFormat="1" applyFont="1" applyFill="1" applyBorder="1" applyAlignment="1">
      <alignment horizontal="right" vertical="center" wrapText="1"/>
    </xf>
    <xf numFmtId="10" fontId="57" fillId="0" borderId="71" xfId="12" applyNumberFormat="1" applyFont="1" applyFill="1" applyBorder="1" applyAlignment="1">
      <alignment horizontal="center" vertical="center" wrapText="1"/>
    </xf>
    <xf numFmtId="49" fontId="57" fillId="0" borderId="71" xfId="12" applyNumberFormat="1" applyFont="1" applyFill="1" applyBorder="1" applyAlignment="1">
      <alignment horizontal="center" vertical="center" wrapText="1"/>
    </xf>
    <xf numFmtId="0" fontId="57" fillId="0" borderId="86" xfId="12" applyFont="1" applyFill="1" applyBorder="1" applyAlignment="1">
      <alignment vertical="center" wrapText="1"/>
    </xf>
    <xf numFmtId="10" fontId="64" fillId="24" borderId="5" xfId="12" applyNumberFormat="1" applyFont="1" applyFill="1" applyBorder="1" applyAlignment="1">
      <alignment horizontal="center" vertical="center" wrapText="1"/>
    </xf>
    <xf numFmtId="169" fontId="4" fillId="0" borderId="0" xfId="319" applyNumberFormat="1"/>
    <xf numFmtId="0" fontId="57" fillId="0" borderId="62" xfId="12" applyFont="1" applyFill="1" applyBorder="1" applyAlignment="1">
      <alignment horizontal="center" vertical="center" wrapText="1"/>
    </xf>
    <xf numFmtId="0" fontId="57" fillId="0" borderId="62" xfId="12" applyFont="1" applyFill="1" applyBorder="1" applyAlignment="1">
      <alignment horizontal="left" vertical="center" wrapText="1"/>
    </xf>
    <xf numFmtId="0" fontId="57" fillId="0" borderId="62" xfId="12" applyFont="1" applyFill="1" applyBorder="1" applyAlignment="1">
      <alignment vertical="center" wrapText="1"/>
    </xf>
    <xf numFmtId="4" fontId="57" fillId="0" borderId="62" xfId="12" applyNumberFormat="1" applyFont="1" applyFill="1" applyBorder="1" applyAlignment="1">
      <alignment horizontal="right" vertical="center" wrapText="1"/>
    </xf>
    <xf numFmtId="10" fontId="57" fillId="0" borderId="62" xfId="8" applyNumberFormat="1" applyFont="1" applyFill="1" applyBorder="1" applyAlignment="1">
      <alignment horizontal="center" vertical="center" wrapText="1"/>
    </xf>
    <xf numFmtId="10" fontId="57" fillId="0" borderId="62" xfId="12" applyNumberFormat="1" applyFont="1" applyFill="1" applyBorder="1" applyAlignment="1">
      <alignment horizontal="center" vertical="center" wrapText="1"/>
    </xf>
    <xf numFmtId="0" fontId="57" fillId="0" borderId="2" xfId="12" applyFont="1" applyFill="1" applyBorder="1" applyAlignment="1">
      <alignment horizontal="center" vertical="center" wrapText="1"/>
    </xf>
    <xf numFmtId="0" fontId="57" fillId="0" borderId="5" xfId="12" applyFont="1" applyFill="1" applyBorder="1" applyAlignment="1">
      <alignment horizontal="center" vertical="center" wrapText="1"/>
    </xf>
    <xf numFmtId="0" fontId="57" fillId="0" borderId="7" xfId="12" applyFont="1" applyFill="1" applyBorder="1" applyAlignment="1">
      <alignment horizontal="center" vertical="center" wrapText="1"/>
    </xf>
    <xf numFmtId="0" fontId="28" fillId="0" borderId="0" xfId="12" applyFont="1"/>
    <xf numFmtId="0" fontId="28" fillId="0" borderId="0" xfId="0" applyFont="1"/>
    <xf numFmtId="10" fontId="57" fillId="0" borderId="5" xfId="8" applyNumberFormat="1" applyFont="1" applyFill="1" applyBorder="1" applyAlignment="1">
      <alignment horizontal="center" vertical="center" wrapText="1"/>
    </xf>
    <xf numFmtId="4" fontId="57" fillId="0" borderId="7" xfId="12" applyNumberFormat="1" applyFont="1" applyFill="1" applyBorder="1" applyAlignment="1">
      <alignment horizontal="right" vertical="center" wrapText="1"/>
    </xf>
    <xf numFmtId="10" fontId="57" fillId="0" borderId="7" xfId="8" applyNumberFormat="1" applyFont="1" applyFill="1" applyBorder="1" applyAlignment="1">
      <alignment horizontal="center" vertical="center" wrapText="1"/>
    </xf>
    <xf numFmtId="10" fontId="57" fillId="0" borderId="7" xfId="12" applyNumberFormat="1" applyFont="1" applyFill="1" applyBorder="1" applyAlignment="1">
      <alignment horizontal="center" vertical="center" wrapText="1"/>
    </xf>
    <xf numFmtId="49" fontId="57" fillId="0" borderId="62" xfId="12" applyNumberFormat="1" applyFont="1" applyFill="1" applyBorder="1" applyAlignment="1">
      <alignment horizontal="center" vertical="center" wrapText="1"/>
    </xf>
    <xf numFmtId="0" fontId="57" fillId="0" borderId="86" xfId="12" applyFont="1" applyFill="1" applyBorder="1" applyAlignment="1">
      <alignment horizontal="center" vertical="center" wrapText="1"/>
    </xf>
    <xf numFmtId="4" fontId="57" fillId="0" borderId="86" xfId="12" applyNumberFormat="1" applyFont="1" applyFill="1" applyBorder="1" applyAlignment="1">
      <alignment horizontal="right" vertical="center" wrapText="1"/>
    </xf>
    <xf numFmtId="10" fontId="57" fillId="0" borderId="86" xfId="8" applyNumberFormat="1" applyFont="1" applyFill="1" applyBorder="1" applyAlignment="1">
      <alignment horizontal="center" vertical="center" wrapText="1"/>
    </xf>
    <xf numFmtId="10" fontId="57" fillId="0" borderId="86" xfId="12" applyNumberFormat="1" applyFont="1" applyFill="1" applyBorder="1" applyAlignment="1">
      <alignment horizontal="center" vertical="center" wrapText="1"/>
    </xf>
    <xf numFmtId="49" fontId="57" fillId="0" borderId="86" xfId="12" applyNumberFormat="1" applyFont="1" applyFill="1" applyBorder="1" applyAlignment="1">
      <alignment horizontal="center" vertical="center" wrapText="1"/>
    </xf>
    <xf numFmtId="0" fontId="57" fillId="0" borderId="68" xfId="12" applyNumberFormat="1" applyFont="1" applyFill="1" applyBorder="1" applyAlignment="1">
      <alignment horizontal="center" vertical="center" wrapText="1"/>
    </xf>
    <xf numFmtId="0" fontId="57" fillId="0" borderId="76" xfId="12" applyFont="1" applyFill="1" applyBorder="1" applyAlignment="1">
      <alignment horizontal="left" vertical="center" wrapText="1"/>
    </xf>
    <xf numFmtId="4" fontId="57" fillId="0" borderId="76" xfId="12" applyNumberFormat="1" applyFont="1" applyFill="1" applyBorder="1" applyAlignment="1">
      <alignment horizontal="right" vertical="center" wrapText="1"/>
    </xf>
    <xf numFmtId="10" fontId="57" fillId="0" borderId="76" xfId="12" applyNumberFormat="1" applyFont="1" applyFill="1" applyBorder="1" applyAlignment="1">
      <alignment horizontal="center" vertical="center" wrapText="1"/>
    </xf>
    <xf numFmtId="0" fontId="57" fillId="0" borderId="86" xfId="12" applyFont="1" applyFill="1" applyBorder="1" applyAlignment="1">
      <alignment horizontal="left" vertical="center" wrapText="1"/>
    </xf>
    <xf numFmtId="0" fontId="57" fillId="0" borderId="7" xfId="12" applyFont="1" applyFill="1" applyBorder="1" applyAlignment="1">
      <alignment horizontal="left" vertical="center" wrapText="1"/>
    </xf>
    <xf numFmtId="0" fontId="57" fillId="0" borderId="86" xfId="12" applyNumberFormat="1" applyFont="1" applyFill="1" applyBorder="1" applyAlignment="1">
      <alignment horizontal="center" vertical="center" wrapText="1"/>
    </xf>
    <xf numFmtId="0" fontId="57" fillId="28" borderId="85" xfId="12" applyFont="1" applyFill="1" applyBorder="1" applyAlignment="1">
      <alignment horizontal="center" vertical="center" wrapText="1"/>
    </xf>
    <xf numFmtId="4" fontId="57" fillId="0" borderId="76" xfId="12" applyNumberFormat="1" applyFont="1" applyFill="1" applyBorder="1" applyAlignment="1">
      <alignment horizontal="center" vertical="center" wrapText="1"/>
    </xf>
    <xf numFmtId="10" fontId="57" fillId="0" borderId="76" xfId="8" applyNumberFormat="1" applyFont="1" applyFill="1" applyBorder="1" applyAlignment="1">
      <alignment horizontal="center" vertical="center" wrapText="1"/>
    </xf>
    <xf numFmtId="0" fontId="57" fillId="0" borderId="8" xfId="12" applyFont="1" applyFill="1" applyBorder="1" applyAlignment="1">
      <alignment horizontal="left" vertical="center" wrapText="1"/>
    </xf>
    <xf numFmtId="14" fontId="53" fillId="0" borderId="0" xfId="319" quotePrefix="1" applyNumberFormat="1" applyFont="1" applyAlignment="1">
      <alignment horizontal="left"/>
    </xf>
    <xf numFmtId="17" fontId="57" fillId="0" borderId="68" xfId="12" applyNumberFormat="1" applyFont="1" applyFill="1" applyBorder="1" applyAlignment="1">
      <alignment horizontal="center" vertical="center" wrapText="1"/>
    </xf>
    <xf numFmtId="17" fontId="57" fillId="0" borderId="86" xfId="12" applyNumberFormat="1" applyFont="1" applyFill="1" applyBorder="1" applyAlignment="1">
      <alignment horizontal="center" vertical="center" wrapText="1"/>
    </xf>
    <xf numFmtId="0" fontId="57" fillId="0" borderId="68" xfId="12" applyFont="1" applyFill="1" applyBorder="1" applyAlignment="1">
      <alignment horizontal="center" vertical="center" wrapText="1"/>
    </xf>
    <xf numFmtId="0" fontId="57" fillId="0" borderId="2" xfId="12" applyFont="1" applyFill="1" applyBorder="1" applyAlignment="1">
      <alignment horizontal="center" vertical="center" wrapText="1"/>
    </xf>
    <xf numFmtId="0" fontId="57" fillId="0" borderId="73" xfId="12" applyFont="1" applyFill="1" applyBorder="1" applyAlignment="1">
      <alignment horizontal="center" vertical="center" wrapText="1"/>
    </xf>
    <xf numFmtId="0" fontId="57" fillId="0" borderId="8" xfId="12" applyFont="1" applyFill="1" applyBorder="1" applyAlignment="1">
      <alignment horizontal="center" vertical="center" wrapText="1"/>
    </xf>
    <xf numFmtId="0" fontId="57" fillId="0" borderId="1" xfId="12" applyFont="1" applyFill="1" applyBorder="1" applyAlignment="1">
      <alignment horizontal="center" vertical="center" wrapText="1"/>
    </xf>
    <xf numFmtId="0" fontId="57" fillId="0" borderId="87" xfId="12" applyFont="1" applyFill="1" applyBorder="1" applyAlignment="1">
      <alignment horizontal="center" vertical="center" wrapText="1"/>
    </xf>
    <xf numFmtId="0" fontId="57" fillId="0" borderId="71" xfId="12" applyFont="1" applyFill="1" applyBorder="1" applyAlignment="1">
      <alignment horizontal="center" vertical="center" wrapText="1"/>
    </xf>
    <xf numFmtId="4" fontId="64" fillId="29" borderId="90" xfId="12" applyNumberFormat="1" applyFont="1" applyFill="1" applyBorder="1" applyAlignment="1">
      <alignment horizontal="center" vertical="center" wrapText="1"/>
    </xf>
    <xf numFmtId="0" fontId="57" fillId="26" borderId="85" xfId="12" applyFont="1" applyFill="1" applyBorder="1" applyAlignment="1">
      <alignment horizontal="center" vertical="center" wrapText="1"/>
    </xf>
    <xf numFmtId="0" fontId="69" fillId="0" borderId="0" xfId="12" applyFont="1"/>
    <xf numFmtId="0" fontId="69" fillId="0" borderId="0" xfId="0" applyFont="1"/>
    <xf numFmtId="0" fontId="57" fillId="26" borderId="67" xfId="12" applyFont="1" applyFill="1" applyBorder="1" applyAlignment="1">
      <alignment horizontal="center" vertical="center" wrapText="1"/>
    </xf>
    <xf numFmtId="0" fontId="57" fillId="26" borderId="3" xfId="1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7" fillId="28" borderId="67" xfId="12" applyFont="1" applyFill="1" applyBorder="1" applyAlignment="1">
      <alignment horizontal="center" vertical="center" wrapText="1"/>
    </xf>
    <xf numFmtId="0" fontId="57" fillId="28" borderId="9" xfId="12" applyFont="1" applyFill="1" applyBorder="1" applyAlignment="1">
      <alignment horizontal="center" vertical="center" wrapText="1"/>
    </xf>
    <xf numFmtId="0" fontId="57" fillId="28" borderId="6" xfId="12" applyFont="1" applyFill="1" applyBorder="1" applyAlignment="1">
      <alignment horizontal="center" vertical="center" wrapText="1"/>
    </xf>
    <xf numFmtId="0" fontId="57" fillId="26" borderId="9" xfId="12" applyFont="1" applyFill="1" applyBorder="1" applyAlignment="1">
      <alignment horizontal="center" vertical="center" wrapText="1"/>
    </xf>
    <xf numFmtId="0" fontId="57" fillId="0" borderId="6" xfId="12" applyFont="1" applyFill="1" applyBorder="1" applyAlignment="1">
      <alignment horizontal="center" vertical="center" wrapText="1"/>
    </xf>
    <xf numFmtId="0" fontId="57" fillId="27" borderId="3" xfId="12" applyFont="1" applyFill="1" applyBorder="1" applyAlignment="1">
      <alignment horizontal="center" vertical="center" wrapText="1"/>
    </xf>
    <xf numFmtId="0" fontId="57" fillId="27" borderId="67" xfId="12" applyFont="1" applyFill="1" applyBorder="1" applyAlignment="1">
      <alignment horizontal="center" vertical="center" wrapText="1"/>
    </xf>
    <xf numFmtId="0" fontId="57" fillId="27" borderId="9" xfId="12" applyFont="1" applyFill="1" applyBorder="1" applyAlignment="1">
      <alignment horizontal="center" vertical="center" wrapText="1"/>
    </xf>
    <xf numFmtId="0" fontId="57" fillId="0" borderId="3" xfId="12" applyFont="1" applyFill="1" applyBorder="1" applyAlignment="1">
      <alignment horizontal="center" vertical="center" wrapText="1"/>
    </xf>
    <xf numFmtId="0" fontId="57" fillId="31" borderId="67" xfId="12" applyFont="1" applyFill="1" applyBorder="1" applyAlignment="1">
      <alignment horizontal="center" vertical="center" wrapText="1"/>
    </xf>
    <xf numFmtId="0" fontId="57" fillId="31" borderId="6" xfId="12" applyFont="1" applyFill="1" applyBorder="1" applyAlignment="1">
      <alignment horizontal="center" vertical="center" wrapText="1"/>
    </xf>
    <xf numFmtId="0" fontId="57" fillId="31" borderId="77" xfId="12" applyFont="1" applyFill="1" applyBorder="1" applyAlignment="1">
      <alignment horizontal="center" vertical="center" wrapText="1"/>
    </xf>
    <xf numFmtId="0" fontId="57" fillId="31" borderId="9" xfId="12" applyFont="1" applyFill="1" applyBorder="1" applyAlignment="1">
      <alignment horizontal="center" vertical="center" wrapText="1"/>
    </xf>
    <xf numFmtId="0" fontId="57" fillId="31" borderId="85" xfId="12" applyFont="1" applyFill="1" applyBorder="1" applyAlignment="1">
      <alignment horizontal="center" vertical="center" wrapText="1"/>
    </xf>
    <xf numFmtId="17" fontId="57" fillId="0" borderId="2" xfId="12" applyNumberFormat="1" applyFont="1" applyFill="1" applyBorder="1" applyAlignment="1">
      <alignment horizontal="center" vertical="center" wrapText="1"/>
    </xf>
    <xf numFmtId="0" fontId="28" fillId="0" borderId="11" xfId="12" applyFont="1" applyBorder="1"/>
    <xf numFmtId="0" fontId="55" fillId="0" borderId="0" xfId="319" applyFont="1"/>
    <xf numFmtId="0" fontId="57" fillId="30" borderId="6" xfId="12" applyFont="1" applyFill="1" applyBorder="1" applyAlignment="1">
      <alignment horizontal="center" vertical="center" wrapText="1"/>
    </xf>
    <xf numFmtId="4" fontId="0" fillId="0" borderId="0" xfId="0" applyNumberFormat="1"/>
    <xf numFmtId="0" fontId="71" fillId="0" borderId="0" xfId="322" applyNumberFormat="1" applyFont="1" applyFill="1" applyBorder="1" applyAlignment="1"/>
    <xf numFmtId="0" fontId="2" fillId="0" borderId="0" xfId="323"/>
    <xf numFmtId="0" fontId="28" fillId="0" borderId="0" xfId="322" applyNumberFormat="1" applyFont="1" applyFill="1" applyBorder="1" applyAlignment="1">
      <alignment horizontal="center" vertical="center"/>
    </xf>
    <xf numFmtId="0" fontId="28" fillId="0" borderId="0" xfId="322" applyNumberFormat="1" applyFont="1" applyFill="1" applyBorder="1" applyAlignment="1"/>
    <xf numFmtId="0" fontId="72" fillId="32" borderId="68" xfId="322" applyNumberFormat="1" applyFont="1" applyFill="1" applyBorder="1" applyAlignment="1">
      <alignment horizontal="center" vertical="center" wrapText="1"/>
    </xf>
    <xf numFmtId="0" fontId="73" fillId="32" borderId="68" xfId="322" applyNumberFormat="1" applyFont="1" applyFill="1" applyBorder="1" applyAlignment="1">
      <alignment horizontal="center" vertical="center"/>
    </xf>
    <xf numFmtId="0" fontId="73" fillId="0" borderId="0" xfId="322" applyNumberFormat="1" applyFont="1" applyFill="1" applyBorder="1" applyAlignment="1">
      <alignment horizontal="center" vertical="center"/>
    </xf>
    <xf numFmtId="0" fontId="73" fillId="0" borderId="0" xfId="322" applyNumberFormat="1" applyFont="1" applyFill="1" applyBorder="1" applyAlignment="1">
      <alignment horizontal="center" vertical="center" wrapText="1"/>
    </xf>
    <xf numFmtId="0" fontId="2" fillId="0" borderId="0" xfId="323" applyBorder="1"/>
    <xf numFmtId="0" fontId="28" fillId="0" borderId="68" xfId="322" applyNumberFormat="1" applyFont="1" applyFill="1" applyBorder="1" applyAlignment="1">
      <alignment horizontal="center" vertical="center"/>
    </xf>
    <xf numFmtId="0" fontId="28" fillId="33" borderId="68" xfId="323" applyNumberFormat="1" applyFont="1" applyFill="1" applyBorder="1" applyAlignment="1">
      <alignment horizontal="left" vertical="center"/>
    </xf>
    <xf numFmtId="2" fontId="28" fillId="0" borderId="68" xfId="322" applyNumberFormat="1" applyFont="1" applyFill="1" applyBorder="1" applyAlignment="1">
      <alignment horizontal="center" vertical="center"/>
    </xf>
    <xf numFmtId="168" fontId="28" fillId="0" borderId="0" xfId="322" applyNumberFormat="1" applyFont="1" applyFill="1" applyBorder="1" applyAlignment="1">
      <alignment horizontal="center" vertical="center"/>
    </xf>
    <xf numFmtId="0" fontId="28" fillId="0" borderId="68" xfId="323" applyNumberFormat="1" applyFont="1" applyFill="1" applyBorder="1" applyAlignment="1">
      <alignment horizontal="left" vertical="center"/>
    </xf>
    <xf numFmtId="0" fontId="73" fillId="34" borderId="68" xfId="323" applyNumberFormat="1" applyFont="1" applyFill="1" applyBorder="1" applyAlignment="1">
      <alignment horizontal="left" vertical="center"/>
    </xf>
    <xf numFmtId="0" fontId="28" fillId="0" borderId="68" xfId="322" applyNumberFormat="1" applyFont="1" applyFill="1" applyBorder="1" applyAlignment="1">
      <alignment horizontal="left" vertical="center"/>
    </xf>
    <xf numFmtId="2" fontId="70" fillId="0" borderId="68" xfId="322" applyNumberFormat="1" applyFont="1" applyFill="1" applyBorder="1" applyAlignment="1">
      <alignment horizontal="center" vertical="center"/>
    </xf>
    <xf numFmtId="4" fontId="73" fillId="0" borderId="0" xfId="322" applyNumberFormat="1" applyFont="1" applyFill="1" applyBorder="1" applyAlignment="1">
      <alignment horizontal="center" vertical="center"/>
    </xf>
    <xf numFmtId="170" fontId="28" fillId="0" borderId="0" xfId="322" applyNumberFormat="1" applyFont="1" applyFill="1" applyBorder="1" applyAlignment="1"/>
    <xf numFmtId="0" fontId="28" fillId="0" borderId="68" xfId="322" applyNumberFormat="1" applyFont="1" applyFill="1" applyBorder="1" applyAlignment="1">
      <alignment vertical="center"/>
    </xf>
    <xf numFmtId="4" fontId="28" fillId="0" borderId="68" xfId="322" applyNumberFormat="1" applyFont="1" applyFill="1" applyBorder="1" applyAlignment="1">
      <alignment horizontal="center"/>
    </xf>
    <xf numFmtId="0" fontId="0" fillId="0" borderId="0" xfId="324" applyNumberFormat="1" applyFont="1" applyFill="1" applyBorder="1" applyAlignment="1">
      <alignment horizontal="center" vertical="center"/>
    </xf>
    <xf numFmtId="0" fontId="28" fillId="33" borderId="68" xfId="322" applyNumberFormat="1" applyFont="1" applyFill="1" applyBorder="1" applyAlignment="1">
      <alignment vertical="center"/>
    </xf>
    <xf numFmtId="4" fontId="28" fillId="0" borderId="68" xfId="322" applyNumberFormat="1" applyFont="1" applyFill="1" applyBorder="1" applyAlignment="1">
      <alignment horizontal="center" vertical="center"/>
    </xf>
    <xf numFmtId="0" fontId="28" fillId="0" borderId="68" xfId="323" applyNumberFormat="1" applyFont="1" applyFill="1" applyBorder="1" applyAlignment="1">
      <alignment vertical="center"/>
    </xf>
    <xf numFmtId="0" fontId="28" fillId="33" borderId="68" xfId="323" applyNumberFormat="1" applyFont="1" applyFill="1" applyBorder="1" applyAlignment="1">
      <alignment vertical="center"/>
    </xf>
    <xf numFmtId="4" fontId="28" fillId="0" borderId="68" xfId="323" applyNumberFormat="1" applyFont="1" applyFill="1" applyBorder="1" applyAlignment="1">
      <alignment horizontal="center" vertical="center"/>
    </xf>
    <xf numFmtId="0" fontId="28" fillId="0" borderId="0" xfId="322" applyNumberFormat="1" applyFont="1" applyFill="1" applyBorder="1" applyAlignment="1">
      <alignment horizontal="center"/>
    </xf>
    <xf numFmtId="168" fontId="69" fillId="0" borderId="0" xfId="322" applyNumberFormat="1" applyFont="1" applyFill="1" applyBorder="1" applyAlignment="1">
      <alignment horizontal="center" vertical="center"/>
    </xf>
    <xf numFmtId="0" fontId="2" fillId="0" borderId="0" xfId="323" applyNumberFormat="1" applyFont="1" applyFill="1" applyBorder="1" applyAlignment="1"/>
    <xf numFmtId="0" fontId="73" fillId="32" borderId="68" xfId="322" applyNumberFormat="1" applyFont="1" applyFill="1" applyBorder="1" applyAlignment="1">
      <alignment horizontal="center" vertical="center" wrapText="1"/>
    </xf>
    <xf numFmtId="168" fontId="28" fillId="0" borderId="68" xfId="322" applyNumberFormat="1" applyFont="1" applyFill="1" applyBorder="1" applyAlignment="1">
      <alignment horizontal="center" vertical="center"/>
    </xf>
    <xf numFmtId="4" fontId="28" fillId="0" borderId="0" xfId="322" applyNumberFormat="1" applyFont="1" applyFill="1" applyBorder="1" applyAlignment="1">
      <alignment horizontal="center" vertical="center"/>
    </xf>
    <xf numFmtId="0" fontId="28" fillId="0" borderId="68" xfId="322" applyNumberFormat="1" applyFont="1" applyFill="1" applyBorder="1" applyAlignment="1">
      <alignment horizontal="center"/>
    </xf>
    <xf numFmtId="0" fontId="57" fillId="35" borderId="3" xfId="12" applyFont="1" applyFill="1" applyBorder="1" applyAlignment="1">
      <alignment horizontal="center" vertical="center" wrapText="1"/>
    </xf>
    <xf numFmtId="0" fontId="57" fillId="35" borderId="85" xfId="12" applyFont="1" applyFill="1" applyBorder="1" applyAlignment="1">
      <alignment horizontal="center" vertical="center" wrapText="1"/>
    </xf>
    <xf numFmtId="0" fontId="57" fillId="35" borderId="67" xfId="12" applyFont="1" applyFill="1" applyBorder="1" applyAlignment="1">
      <alignment horizontal="center" vertical="center" wrapText="1"/>
    </xf>
    <xf numFmtId="0" fontId="28" fillId="0" borderId="0" xfId="12" applyFont="1" applyBorder="1"/>
    <xf numFmtId="0" fontId="28" fillId="0" borderId="0" xfId="0" applyFont="1" applyBorder="1"/>
    <xf numFmtId="0" fontId="57" fillId="36" borderId="67" xfId="12" applyFont="1" applyFill="1" applyBorder="1" applyAlignment="1">
      <alignment horizontal="center" vertical="center" wrapText="1"/>
    </xf>
    <xf numFmtId="0" fontId="57" fillId="0" borderId="67" xfId="12" applyFont="1" applyFill="1" applyBorder="1" applyAlignment="1">
      <alignment horizontal="center" vertical="center" wrapText="1"/>
    </xf>
    <xf numFmtId="0" fontId="57" fillId="0" borderId="63" xfId="12" applyFont="1" applyFill="1" applyBorder="1" applyAlignment="1">
      <alignment horizontal="center" vertical="center" wrapText="1"/>
    </xf>
    <xf numFmtId="0" fontId="78" fillId="0" borderId="68" xfId="12" applyFont="1" applyFill="1" applyBorder="1" applyAlignment="1">
      <alignment horizontal="center" vertical="center" wrapText="1"/>
    </xf>
    <xf numFmtId="0" fontId="79" fillId="0" borderId="0" xfId="12" applyFont="1"/>
    <xf numFmtId="17" fontId="57" fillId="0" borderId="7" xfId="12" applyNumberFormat="1" applyFont="1" applyFill="1" applyBorder="1" applyAlignment="1">
      <alignment horizontal="center" vertical="center" wrapText="1"/>
    </xf>
    <xf numFmtId="0" fontId="57" fillId="0" borderId="0" xfId="12" applyFont="1" applyFill="1" applyBorder="1" applyAlignment="1">
      <alignment horizontal="left" vertical="center" wrapText="1"/>
    </xf>
    <xf numFmtId="0" fontId="57" fillId="37" borderId="67" xfId="12" applyFont="1" applyFill="1" applyBorder="1" applyAlignment="1">
      <alignment horizontal="center" vertical="center" wrapText="1"/>
    </xf>
    <xf numFmtId="0" fontId="57" fillId="35" borderId="9" xfId="12" applyFont="1" applyFill="1" applyBorder="1" applyAlignment="1">
      <alignment horizontal="center" vertical="center" wrapText="1"/>
    </xf>
    <xf numFmtId="0" fontId="80" fillId="0" borderId="0" xfId="319" applyFont="1"/>
    <xf numFmtId="0" fontId="57" fillId="30" borderId="81" xfId="12" applyFont="1" applyFill="1" applyBorder="1" applyAlignment="1">
      <alignment horizontal="center" vertical="center" wrapText="1"/>
    </xf>
    <xf numFmtId="0" fontId="57" fillId="0" borderId="73" xfId="12" applyFont="1" applyFill="1" applyBorder="1" applyAlignment="1">
      <alignment vertical="center" wrapText="1"/>
    </xf>
    <xf numFmtId="4" fontId="57" fillId="0" borderId="73" xfId="12" applyNumberFormat="1" applyFont="1" applyFill="1" applyBorder="1" applyAlignment="1">
      <alignment horizontal="right" vertical="center" wrapText="1"/>
    </xf>
    <xf numFmtId="10" fontId="57" fillId="0" borderId="73" xfId="8" applyNumberFormat="1" applyFont="1" applyFill="1" applyBorder="1" applyAlignment="1">
      <alignment horizontal="center" vertical="center" wrapText="1"/>
    </xf>
    <xf numFmtId="10" fontId="57" fillId="0" borderId="73" xfId="12" applyNumberFormat="1" applyFont="1" applyFill="1" applyBorder="1" applyAlignment="1">
      <alignment horizontal="center" vertical="center" wrapText="1"/>
    </xf>
    <xf numFmtId="49" fontId="57" fillId="0" borderId="73" xfId="12" applyNumberFormat="1" applyFont="1" applyFill="1" applyBorder="1" applyAlignment="1">
      <alignment horizontal="center" vertical="center" wrapText="1"/>
    </xf>
    <xf numFmtId="0" fontId="57" fillId="31" borderId="92" xfId="12" applyFont="1" applyFill="1" applyBorder="1" applyAlignment="1">
      <alignment horizontal="center" vertical="center" wrapText="1"/>
    </xf>
    <xf numFmtId="0" fontId="28" fillId="0" borderId="93" xfId="12" applyFont="1" applyBorder="1"/>
    <xf numFmtId="0" fontId="28" fillId="0" borderId="93" xfId="0" applyFont="1" applyBorder="1"/>
    <xf numFmtId="10" fontId="57" fillId="0" borderId="71" xfId="8" applyNumberFormat="1" applyFont="1" applyFill="1" applyBorder="1" applyAlignment="1">
      <alignment horizontal="center" vertical="center" wrapText="1"/>
    </xf>
    <xf numFmtId="0" fontId="57" fillId="31" borderId="81" xfId="12" applyFont="1" applyFill="1" applyBorder="1" applyAlignment="1">
      <alignment horizontal="center" vertical="center" wrapText="1"/>
    </xf>
    <xf numFmtId="0" fontId="57" fillId="0" borderId="8" xfId="12" applyFont="1" applyFill="1" applyBorder="1" applyAlignment="1">
      <alignment vertical="center" wrapText="1"/>
    </xf>
    <xf numFmtId="4" fontId="57" fillId="0" borderId="8" xfId="12" applyNumberFormat="1" applyFont="1" applyFill="1" applyBorder="1" applyAlignment="1">
      <alignment horizontal="right" vertical="center" wrapText="1"/>
    </xf>
    <xf numFmtId="10" fontId="57" fillId="0" borderId="8" xfId="8" applyNumberFormat="1" applyFont="1" applyFill="1" applyBorder="1" applyAlignment="1">
      <alignment horizontal="center" vertical="center" wrapText="1"/>
    </xf>
    <xf numFmtId="10" fontId="57" fillId="0" borderId="8" xfId="12" applyNumberFormat="1" applyFont="1" applyFill="1" applyBorder="1" applyAlignment="1">
      <alignment horizontal="center" vertical="center" wrapText="1"/>
    </xf>
    <xf numFmtId="49" fontId="57" fillId="0" borderId="8" xfId="12" applyNumberFormat="1" applyFont="1" applyFill="1" applyBorder="1" applyAlignment="1">
      <alignment horizontal="center" vertical="center" wrapText="1"/>
    </xf>
    <xf numFmtId="0" fontId="57" fillId="35" borderId="91" xfId="12" applyFont="1" applyFill="1" applyBorder="1" applyAlignment="1">
      <alignment horizontal="center" vertical="center" wrapText="1"/>
    </xf>
    <xf numFmtId="0" fontId="28" fillId="0" borderId="94" xfId="12" applyFont="1" applyBorder="1"/>
    <xf numFmtId="0" fontId="28" fillId="0" borderId="94" xfId="0" applyFont="1" applyBorder="1"/>
    <xf numFmtId="0" fontId="57" fillId="27" borderId="91" xfId="12" applyFont="1" applyFill="1" applyBorder="1" applyAlignment="1">
      <alignment horizontal="center" vertical="center" wrapText="1"/>
    </xf>
    <xf numFmtId="0" fontId="28" fillId="0" borderId="94" xfId="12" applyFont="1" applyFill="1" applyBorder="1"/>
    <xf numFmtId="0" fontId="57" fillId="0" borderId="66" xfId="12" applyFont="1" applyFill="1" applyBorder="1" applyAlignment="1">
      <alignment horizontal="center" vertical="center" wrapText="1"/>
    </xf>
    <xf numFmtId="0" fontId="57" fillId="26" borderId="6" xfId="12" applyFont="1" applyFill="1" applyBorder="1" applyAlignment="1">
      <alignment horizontal="center" vertical="center" wrapText="1"/>
    </xf>
    <xf numFmtId="0" fontId="57" fillId="38" borderId="6" xfId="12" applyFont="1" applyFill="1" applyBorder="1" applyAlignment="1">
      <alignment horizontal="center" vertical="center" wrapText="1"/>
    </xf>
    <xf numFmtId="0" fontId="28" fillId="0" borderId="95" xfId="0" applyFont="1" applyBorder="1"/>
    <xf numFmtId="0" fontId="57" fillId="30" borderId="3" xfId="12" applyFont="1" applyFill="1" applyBorder="1" applyAlignment="1">
      <alignment horizontal="center" vertical="center" wrapText="1"/>
    </xf>
    <xf numFmtId="0" fontId="28" fillId="0" borderId="0" xfId="12" applyBorder="1"/>
    <xf numFmtId="0" fontId="0" fillId="0" borderId="0" xfId="0" applyBorder="1"/>
    <xf numFmtId="0" fontId="69" fillId="0" borderId="94" xfId="0" applyFont="1" applyBorder="1"/>
    <xf numFmtId="0" fontId="28" fillId="0" borderId="96" xfId="0" applyFont="1" applyBorder="1"/>
    <xf numFmtId="0" fontId="28" fillId="0" borderId="98" xfId="0" applyFont="1" applyBorder="1"/>
    <xf numFmtId="0" fontId="28" fillId="0" borderId="0" xfId="0" applyFont="1" applyAlignment="1">
      <alignment horizontal="center" vertical="center"/>
    </xf>
    <xf numFmtId="0" fontId="28" fillId="0" borderId="97" xfId="0" applyFont="1" applyBorder="1"/>
    <xf numFmtId="4" fontId="0" fillId="0" borderId="0" xfId="0" applyNumberFormat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4" fontId="69" fillId="0" borderId="0" xfId="0" applyNumberFormat="1" applyFont="1" applyAlignment="1">
      <alignment horizontal="center" vertical="center"/>
    </xf>
    <xf numFmtId="0" fontId="69" fillId="0" borderId="0" xfId="0" applyFont="1" applyAlignment="1">
      <alignment horizontal="center" vertical="center"/>
    </xf>
    <xf numFmtId="0" fontId="57" fillId="0" borderId="1" xfId="12" applyFont="1" applyFill="1" applyBorder="1" applyAlignment="1">
      <alignment horizontal="center" vertical="center" wrapText="1"/>
    </xf>
    <xf numFmtId="4" fontId="57" fillId="37" borderId="68" xfId="12" applyNumberFormat="1" applyFont="1" applyFill="1" applyBorder="1" applyAlignment="1">
      <alignment horizontal="right" vertical="center" wrapText="1"/>
    </xf>
    <xf numFmtId="0" fontId="28" fillId="29" borderId="88" xfId="0" applyFont="1" applyFill="1" applyBorder="1" applyAlignment="1">
      <alignment horizontal="center" vertical="center"/>
    </xf>
    <xf numFmtId="0" fontId="3" fillId="0" borderId="0" xfId="319" applyFont="1" applyAlignment="1">
      <alignment horizontal="center" vertical="center"/>
    </xf>
    <xf numFmtId="0" fontId="1" fillId="0" borderId="0" xfId="319" applyFont="1"/>
    <xf numFmtId="0" fontId="0" fillId="0" borderId="0" xfId="0" applyFill="1"/>
    <xf numFmtId="4" fontId="57" fillId="37" borderId="7" xfId="12" applyNumberFormat="1" applyFont="1" applyFill="1" applyBorder="1" applyAlignment="1">
      <alignment horizontal="right" vertical="center" wrapText="1"/>
    </xf>
    <xf numFmtId="171" fontId="81" fillId="39" borderId="89" xfId="321" applyNumberFormat="1" applyFont="1" applyFill="1" applyBorder="1" applyAlignment="1">
      <alignment horizontal="center" vertical="center"/>
    </xf>
    <xf numFmtId="0" fontId="57" fillId="0" borderId="63" xfId="12" applyFont="1" applyFill="1" applyBorder="1" applyAlignment="1">
      <alignment horizontal="center" vertical="center" wrapText="1"/>
    </xf>
    <xf numFmtId="0" fontId="57" fillId="0" borderId="1" xfId="12" applyFont="1" applyFill="1" applyBorder="1" applyAlignment="1">
      <alignment horizontal="center" vertical="center" wrapText="1"/>
    </xf>
    <xf numFmtId="0" fontId="57" fillId="0" borderId="4" xfId="12" applyFont="1" applyFill="1" applyBorder="1" applyAlignment="1">
      <alignment horizontal="center" vertical="center" wrapText="1"/>
    </xf>
    <xf numFmtId="0" fontId="57" fillId="0" borderId="76" xfId="12" applyNumberFormat="1" applyFont="1" applyFill="1" applyBorder="1" applyAlignment="1">
      <alignment horizontal="center" vertical="center" wrapText="1"/>
    </xf>
    <xf numFmtId="0" fontId="57" fillId="26" borderId="77" xfId="12" applyFont="1" applyFill="1" applyBorder="1" applyAlignment="1">
      <alignment horizontal="center" vertical="center" wrapText="1"/>
    </xf>
    <xf numFmtId="0" fontId="57" fillId="30" borderId="77" xfId="12" applyFont="1" applyFill="1" applyBorder="1" applyAlignment="1">
      <alignment horizontal="center" vertical="center" wrapText="1"/>
    </xf>
    <xf numFmtId="0" fontId="57" fillId="0" borderId="71" xfId="12" applyNumberFormat="1" applyFont="1" applyFill="1" applyBorder="1" applyAlignment="1">
      <alignment horizontal="center" vertical="center" wrapText="1"/>
    </xf>
    <xf numFmtId="0" fontId="64" fillId="24" borderId="68" xfId="12" applyFont="1" applyFill="1" applyBorder="1" applyAlignment="1">
      <alignment horizontal="center" vertical="center" wrapText="1"/>
    </xf>
    <xf numFmtId="0" fontId="64" fillId="24" borderId="5" xfId="12" applyFont="1" applyFill="1" applyBorder="1" applyAlignment="1">
      <alignment horizontal="center" vertical="center" wrapText="1"/>
    </xf>
    <xf numFmtId="0" fontId="64" fillId="24" borderId="67" xfId="12" applyFont="1" applyFill="1" applyBorder="1" applyAlignment="1">
      <alignment horizontal="center" vertical="center" wrapText="1"/>
    </xf>
    <xf numFmtId="0" fontId="64" fillId="24" borderId="6" xfId="12" applyFont="1" applyFill="1" applyBorder="1" applyAlignment="1">
      <alignment horizontal="center" vertical="center" wrapText="1"/>
    </xf>
    <xf numFmtId="10" fontId="64" fillId="24" borderId="68" xfId="12" applyNumberFormat="1" applyFont="1" applyFill="1" applyBorder="1" applyAlignment="1">
      <alignment horizontal="center" vertical="center" wrapText="1"/>
    </xf>
    <xf numFmtId="10" fontId="64" fillId="24" borderId="5" xfId="12" applyNumberFormat="1" applyFont="1" applyFill="1" applyBorder="1" applyAlignment="1">
      <alignment horizontal="center" vertical="center" wrapText="1"/>
    </xf>
    <xf numFmtId="0" fontId="64" fillId="24" borderId="68" xfId="12" applyFont="1" applyFill="1" applyBorder="1" applyAlignment="1">
      <alignment horizontal="center" vertical="center"/>
    </xf>
    <xf numFmtId="49" fontId="64" fillId="24" borderId="68" xfId="12" applyNumberFormat="1" applyFont="1" applyFill="1" applyBorder="1" applyAlignment="1">
      <alignment horizontal="center" vertical="center" wrapText="1"/>
    </xf>
    <xf numFmtId="0" fontId="64" fillId="24" borderId="66" xfId="12" applyFont="1" applyFill="1" applyBorder="1" applyAlignment="1">
      <alignment horizontal="center" vertical="center" wrapText="1"/>
    </xf>
    <xf numFmtId="0" fontId="64" fillId="24" borderId="4" xfId="12" applyFont="1" applyFill="1" applyBorder="1" applyAlignment="1">
      <alignment horizontal="center" vertical="center" wrapText="1"/>
    </xf>
    <xf numFmtId="0" fontId="64" fillId="24" borderId="69" xfId="12" applyFont="1" applyFill="1" applyBorder="1" applyAlignment="1">
      <alignment horizontal="center" vertical="center" wrapText="1"/>
    </xf>
    <xf numFmtId="0" fontId="64" fillId="24" borderId="10" xfId="12" applyFont="1" applyFill="1" applyBorder="1" applyAlignment="1">
      <alignment horizontal="center" vertical="center" wrapText="1"/>
    </xf>
    <xf numFmtId="0" fontId="63" fillId="24" borderId="82" xfId="12" applyFont="1" applyFill="1" applyBorder="1" applyAlignment="1">
      <alignment horizontal="left" vertical="center" wrapText="1"/>
    </xf>
    <xf numFmtId="0" fontId="63" fillId="24" borderId="83" xfId="12" applyFont="1" applyFill="1" applyBorder="1" applyAlignment="1">
      <alignment horizontal="left" vertical="center" wrapText="1"/>
    </xf>
    <xf numFmtId="0" fontId="63" fillId="24" borderId="84" xfId="12" applyFont="1" applyFill="1" applyBorder="1" applyAlignment="1">
      <alignment horizontal="left" vertical="center" wrapText="1"/>
    </xf>
    <xf numFmtId="0" fontId="54" fillId="0" borderId="0" xfId="319" applyFont="1" applyAlignment="1">
      <alignment horizontal="justify" vertical="center"/>
    </xf>
    <xf numFmtId="0" fontId="57" fillId="0" borderId="1" xfId="12" applyFont="1" applyFill="1" applyBorder="1" applyAlignment="1">
      <alignment horizontal="center" vertical="center" wrapText="1"/>
    </xf>
    <xf numFmtId="0" fontId="57" fillId="0" borderId="87" xfId="12" applyFont="1" applyFill="1" applyBorder="1" applyAlignment="1">
      <alignment horizontal="center" vertical="center" wrapText="1"/>
    </xf>
    <xf numFmtId="0" fontId="57" fillId="0" borderId="66" xfId="12" applyFont="1" applyFill="1" applyBorder="1" applyAlignment="1">
      <alignment horizontal="center" vertical="center" wrapText="1"/>
    </xf>
    <xf numFmtId="0" fontId="57" fillId="0" borderId="4" xfId="12" applyFont="1" applyFill="1" applyBorder="1" applyAlignment="1">
      <alignment horizontal="center" vertical="center" wrapText="1"/>
    </xf>
    <xf numFmtId="0" fontId="57" fillId="0" borderId="74" xfId="12" applyFont="1" applyFill="1" applyBorder="1" applyAlignment="1">
      <alignment horizontal="center" vertical="center" wrapText="1"/>
    </xf>
    <xf numFmtId="0" fontId="57" fillId="0" borderId="11" xfId="12" applyFont="1" applyFill="1" applyBorder="1" applyAlignment="1">
      <alignment horizontal="center" vertical="center" wrapText="1"/>
    </xf>
    <xf numFmtId="0" fontId="64" fillId="24" borderId="85" xfId="12" applyFont="1" applyFill="1" applyBorder="1" applyAlignment="1">
      <alignment horizontal="center" vertical="center" wrapText="1"/>
    </xf>
    <xf numFmtId="0" fontId="64" fillId="24" borderId="81" xfId="12" applyFont="1" applyFill="1" applyBorder="1" applyAlignment="1">
      <alignment horizontal="center" vertical="center" wrapText="1"/>
    </xf>
    <xf numFmtId="0" fontId="64" fillId="24" borderId="69" xfId="12" applyFont="1" applyFill="1" applyBorder="1" applyAlignment="1">
      <alignment horizontal="center" vertical="center"/>
    </xf>
    <xf numFmtId="0" fontId="64" fillId="24" borderId="78" xfId="12" applyFont="1" applyFill="1" applyBorder="1" applyAlignment="1">
      <alignment horizontal="center" vertical="center"/>
    </xf>
    <xf numFmtId="0" fontId="64" fillId="24" borderId="79" xfId="12" applyFont="1" applyFill="1" applyBorder="1" applyAlignment="1">
      <alignment horizontal="center" vertical="center"/>
    </xf>
    <xf numFmtId="0" fontId="64" fillId="24" borderId="62" xfId="12" applyFont="1" applyFill="1" applyBorder="1" applyAlignment="1">
      <alignment horizontal="center" vertical="center" wrapText="1"/>
    </xf>
    <xf numFmtId="0" fontId="64" fillId="24" borderId="71" xfId="12" applyFont="1" applyFill="1" applyBorder="1" applyAlignment="1">
      <alignment horizontal="center" vertical="center" wrapText="1"/>
    </xf>
    <xf numFmtId="49" fontId="64" fillId="24" borderId="69" xfId="12" applyNumberFormat="1" applyFont="1" applyFill="1" applyBorder="1" applyAlignment="1">
      <alignment horizontal="center" vertical="center" wrapText="1"/>
    </xf>
    <xf numFmtId="49" fontId="64" fillId="24" borderId="79" xfId="12" applyNumberFormat="1" applyFont="1" applyFill="1" applyBorder="1" applyAlignment="1">
      <alignment horizontal="center" vertical="center" wrapText="1"/>
    </xf>
    <xf numFmtId="0" fontId="64" fillId="24" borderId="80" xfId="12" applyFont="1" applyFill="1" applyBorder="1" applyAlignment="1">
      <alignment horizontal="center" vertical="center" wrapText="1"/>
    </xf>
    <xf numFmtId="0" fontId="64" fillId="24" borderId="63" xfId="12" applyFont="1" applyFill="1" applyBorder="1" applyAlignment="1">
      <alignment horizontal="center" vertical="center" wrapText="1"/>
    </xf>
    <xf numFmtId="0" fontId="67" fillId="0" borderId="0" xfId="319" applyFont="1" applyAlignment="1">
      <alignment horizontal="center" vertical="center"/>
    </xf>
    <xf numFmtId="0" fontId="57" fillId="0" borderId="63" xfId="12" applyFont="1" applyFill="1" applyBorder="1" applyAlignment="1">
      <alignment horizontal="center" vertical="center" wrapText="1"/>
    </xf>
    <xf numFmtId="0" fontId="62" fillId="25" borderId="68" xfId="319" applyFont="1" applyFill="1" applyBorder="1" applyAlignment="1">
      <alignment horizontal="center" vertical="center"/>
    </xf>
    <xf numFmtId="0" fontId="57" fillId="0" borderId="68" xfId="69" applyFont="1" applyFill="1" applyBorder="1" applyAlignment="1">
      <alignment horizontal="center" vertical="center" wrapText="1"/>
    </xf>
    <xf numFmtId="0" fontId="4" fillId="0" borderId="68" xfId="319" applyBorder="1" applyAlignment="1">
      <alignment horizontal="center" vertical="center" wrapText="1"/>
    </xf>
    <xf numFmtId="0" fontId="4" fillId="0" borderId="62" xfId="319" applyBorder="1" applyAlignment="1">
      <alignment horizontal="center" vertical="center" wrapText="1"/>
    </xf>
    <xf numFmtId="0" fontId="4" fillId="0" borderId="8" xfId="319" applyBorder="1" applyAlignment="1">
      <alignment horizontal="center" vertical="center" wrapText="1"/>
    </xf>
    <xf numFmtId="0" fontId="4" fillId="0" borderId="7" xfId="319" applyBorder="1" applyAlignment="1">
      <alignment horizontal="center" vertical="center" wrapText="1"/>
    </xf>
    <xf numFmtId="0" fontId="62" fillId="25" borderId="62" xfId="319" applyFont="1" applyFill="1" applyBorder="1" applyAlignment="1">
      <alignment horizontal="center" vertical="center"/>
    </xf>
    <xf numFmtId="0" fontId="62" fillId="25" borderId="8" xfId="319" applyFont="1" applyFill="1" applyBorder="1" applyAlignment="1">
      <alignment horizontal="center" vertical="center"/>
    </xf>
    <xf numFmtId="0" fontId="62" fillId="25" borderId="7" xfId="319" applyFont="1" applyFill="1" applyBorder="1" applyAlignment="1">
      <alignment horizontal="center" vertical="center"/>
    </xf>
    <xf numFmtId="0" fontId="62" fillId="25" borderId="62" xfId="319" applyFont="1" applyFill="1" applyBorder="1" applyAlignment="1">
      <alignment horizontal="center" vertical="center" wrapText="1"/>
    </xf>
    <xf numFmtId="0" fontId="62" fillId="25" borderId="8" xfId="319" applyFont="1" applyFill="1" applyBorder="1" applyAlignment="1">
      <alignment horizontal="center" vertical="center" wrapText="1"/>
    </xf>
    <xf numFmtId="0" fontId="62" fillId="25" borderId="7" xfId="319" applyFont="1" applyFill="1" applyBorder="1" applyAlignment="1">
      <alignment horizontal="center" vertical="center" wrapText="1"/>
    </xf>
    <xf numFmtId="0" fontId="64" fillId="24" borderId="70" xfId="12" applyFont="1" applyFill="1" applyBorder="1" applyAlignment="1">
      <alignment horizontal="center" vertical="center" wrapText="1"/>
    </xf>
    <xf numFmtId="0" fontId="64" fillId="24" borderId="72" xfId="12" applyFont="1" applyFill="1" applyBorder="1" applyAlignment="1">
      <alignment horizontal="center" vertical="center" wrapText="1"/>
    </xf>
  </cellXfs>
  <cellStyles count="325">
    <cellStyle name="20% - Accent1" xfId="20" xr:uid="{00000000-0005-0000-0000-000000000000}"/>
    <cellStyle name="20% - Accent1 2" xfId="277" xr:uid="{00000000-0005-0000-0000-000001000000}"/>
    <cellStyle name="20% - Accent2" xfId="21" xr:uid="{00000000-0005-0000-0000-000002000000}"/>
    <cellStyle name="20% - Accent2 2" xfId="278" xr:uid="{00000000-0005-0000-0000-000003000000}"/>
    <cellStyle name="20% - Accent3" xfId="22" xr:uid="{00000000-0005-0000-0000-000004000000}"/>
    <cellStyle name="20% - Accent3 2" xfId="279" xr:uid="{00000000-0005-0000-0000-000005000000}"/>
    <cellStyle name="20% - Accent4" xfId="23" xr:uid="{00000000-0005-0000-0000-000006000000}"/>
    <cellStyle name="20% - Accent4 2" xfId="280" xr:uid="{00000000-0005-0000-0000-000007000000}"/>
    <cellStyle name="20% - Accent5" xfId="24" xr:uid="{00000000-0005-0000-0000-000008000000}"/>
    <cellStyle name="20% - Accent5 2" xfId="281" xr:uid="{00000000-0005-0000-0000-000009000000}"/>
    <cellStyle name="20% - Accent6" xfId="25" xr:uid="{00000000-0005-0000-0000-00000A000000}"/>
    <cellStyle name="20% - Accent6 2" xfId="282" xr:uid="{00000000-0005-0000-0000-00000B000000}"/>
    <cellStyle name="40% - Accent1" xfId="26" xr:uid="{00000000-0005-0000-0000-00000C000000}"/>
    <cellStyle name="40% - Accent1 2" xfId="283" xr:uid="{00000000-0005-0000-0000-00000D000000}"/>
    <cellStyle name="40% - Accent2" xfId="27" xr:uid="{00000000-0005-0000-0000-00000E000000}"/>
    <cellStyle name="40% - Accent2 2" xfId="284" xr:uid="{00000000-0005-0000-0000-00000F000000}"/>
    <cellStyle name="40% - Accent3" xfId="28" xr:uid="{00000000-0005-0000-0000-000010000000}"/>
    <cellStyle name="40% - Accent3 2" xfId="285" xr:uid="{00000000-0005-0000-0000-000011000000}"/>
    <cellStyle name="40% - Accent4" xfId="29" xr:uid="{00000000-0005-0000-0000-000012000000}"/>
    <cellStyle name="40% - Accent4 2" xfId="286" xr:uid="{00000000-0005-0000-0000-000013000000}"/>
    <cellStyle name="40% - Accent5" xfId="30" xr:uid="{00000000-0005-0000-0000-000014000000}"/>
    <cellStyle name="40% - Accent5 2" xfId="287" xr:uid="{00000000-0005-0000-0000-000015000000}"/>
    <cellStyle name="40% - Accent6" xfId="31" xr:uid="{00000000-0005-0000-0000-000016000000}"/>
    <cellStyle name="40% - Accent6 2" xfId="288" xr:uid="{00000000-0005-0000-0000-000017000000}"/>
    <cellStyle name="60% - Accent1" xfId="32" xr:uid="{00000000-0005-0000-0000-000018000000}"/>
    <cellStyle name="60% - Accent1 2" xfId="289" xr:uid="{00000000-0005-0000-0000-000019000000}"/>
    <cellStyle name="60% - Accent2" xfId="33" xr:uid="{00000000-0005-0000-0000-00001A000000}"/>
    <cellStyle name="60% - Accent2 2" xfId="290" xr:uid="{00000000-0005-0000-0000-00001B000000}"/>
    <cellStyle name="60% - Accent3" xfId="34" xr:uid="{00000000-0005-0000-0000-00001C000000}"/>
    <cellStyle name="60% - Accent3 2" xfId="291" xr:uid="{00000000-0005-0000-0000-00001D000000}"/>
    <cellStyle name="60% - Accent4" xfId="35" xr:uid="{00000000-0005-0000-0000-00001E000000}"/>
    <cellStyle name="60% - Accent4 2" xfId="292" xr:uid="{00000000-0005-0000-0000-00001F000000}"/>
    <cellStyle name="60% - Accent5" xfId="36" xr:uid="{00000000-0005-0000-0000-000020000000}"/>
    <cellStyle name="60% - Accent5 2" xfId="293" xr:uid="{00000000-0005-0000-0000-000021000000}"/>
    <cellStyle name="60% - Accent6" xfId="37" xr:uid="{00000000-0005-0000-0000-000022000000}"/>
    <cellStyle name="60% - Accent6 2" xfId="294" xr:uid="{00000000-0005-0000-0000-000023000000}"/>
    <cellStyle name="Accent1" xfId="38" xr:uid="{00000000-0005-0000-0000-000024000000}"/>
    <cellStyle name="Accent1 2" xfId="295" xr:uid="{00000000-0005-0000-0000-000025000000}"/>
    <cellStyle name="Accent2" xfId="39" xr:uid="{00000000-0005-0000-0000-000026000000}"/>
    <cellStyle name="Accent2 2" xfId="296" xr:uid="{00000000-0005-0000-0000-000027000000}"/>
    <cellStyle name="Accent3" xfId="40" xr:uid="{00000000-0005-0000-0000-000028000000}"/>
    <cellStyle name="Accent3 2" xfId="297" xr:uid="{00000000-0005-0000-0000-000029000000}"/>
    <cellStyle name="Accent4" xfId="41" xr:uid="{00000000-0005-0000-0000-00002A000000}"/>
    <cellStyle name="Accent4 2" xfId="298" xr:uid="{00000000-0005-0000-0000-00002B000000}"/>
    <cellStyle name="Accent5" xfId="42" xr:uid="{00000000-0005-0000-0000-00002C000000}"/>
    <cellStyle name="Accent5 2" xfId="299" xr:uid="{00000000-0005-0000-0000-00002D000000}"/>
    <cellStyle name="Accent6" xfId="43" xr:uid="{00000000-0005-0000-0000-00002E000000}"/>
    <cellStyle name="Accent6 2" xfId="300" xr:uid="{00000000-0005-0000-0000-00002F000000}"/>
    <cellStyle name="Bad" xfId="44" xr:uid="{00000000-0005-0000-0000-000030000000}"/>
    <cellStyle name="Bad 2" xfId="301" xr:uid="{00000000-0005-0000-0000-000031000000}"/>
    <cellStyle name="Calculation" xfId="45" xr:uid="{00000000-0005-0000-0000-000032000000}"/>
    <cellStyle name="Calculation 10" xfId="120" xr:uid="{00000000-0005-0000-0000-000033000000}"/>
    <cellStyle name="Calculation 10 2" xfId="178" xr:uid="{00000000-0005-0000-0000-000034000000}"/>
    <cellStyle name="Calculation 11" xfId="119" xr:uid="{00000000-0005-0000-0000-000035000000}"/>
    <cellStyle name="Calculation 11 2" xfId="177" xr:uid="{00000000-0005-0000-0000-000036000000}"/>
    <cellStyle name="Calculation 12" xfId="78" xr:uid="{00000000-0005-0000-0000-000037000000}"/>
    <cellStyle name="Calculation 12 2" xfId="138" xr:uid="{00000000-0005-0000-0000-000038000000}"/>
    <cellStyle name="Calculation 13" xfId="81" xr:uid="{00000000-0005-0000-0000-000039000000}"/>
    <cellStyle name="Calculation 14" xfId="125" xr:uid="{00000000-0005-0000-0000-00003A000000}"/>
    <cellStyle name="Calculation 2" xfId="83" xr:uid="{00000000-0005-0000-0000-00003B000000}"/>
    <cellStyle name="Calculation 2 2" xfId="142" xr:uid="{00000000-0005-0000-0000-00003C000000}"/>
    <cellStyle name="Calculation 3" xfId="89" xr:uid="{00000000-0005-0000-0000-00003D000000}"/>
    <cellStyle name="Calculation 3 2" xfId="148" xr:uid="{00000000-0005-0000-0000-00003E000000}"/>
    <cellStyle name="Calculation 4" xfId="86" xr:uid="{00000000-0005-0000-0000-00003F000000}"/>
    <cellStyle name="Calculation 4 2" xfId="145" xr:uid="{00000000-0005-0000-0000-000040000000}"/>
    <cellStyle name="Calculation 5" xfId="80" xr:uid="{00000000-0005-0000-0000-000041000000}"/>
    <cellStyle name="Calculation 5 2" xfId="140" xr:uid="{00000000-0005-0000-0000-000042000000}"/>
    <cellStyle name="Calculation 6" xfId="87" xr:uid="{00000000-0005-0000-0000-000043000000}"/>
    <cellStyle name="Calculation 6 2" xfId="146" xr:uid="{00000000-0005-0000-0000-000044000000}"/>
    <cellStyle name="Calculation 7" xfId="84" xr:uid="{00000000-0005-0000-0000-000045000000}"/>
    <cellStyle name="Calculation 7 2" xfId="143" xr:uid="{00000000-0005-0000-0000-000046000000}"/>
    <cellStyle name="Calculation 8" xfId="82" xr:uid="{00000000-0005-0000-0000-000047000000}"/>
    <cellStyle name="Calculation 8 2" xfId="141" xr:uid="{00000000-0005-0000-0000-000048000000}"/>
    <cellStyle name="Calculation 9" xfId="112" xr:uid="{00000000-0005-0000-0000-000049000000}"/>
    <cellStyle name="Calculation 9 2" xfId="170" xr:uid="{00000000-0005-0000-0000-00004A000000}"/>
    <cellStyle name="Check Cell" xfId="46" xr:uid="{00000000-0005-0000-0000-00004B000000}"/>
    <cellStyle name="Check Cell 2" xfId="302" xr:uid="{00000000-0005-0000-0000-00004C000000}"/>
    <cellStyle name="Currency" xfId="321" builtinId="4"/>
    <cellStyle name="Explanatory Text" xfId="47" xr:uid="{00000000-0005-0000-0000-00004D000000}"/>
    <cellStyle name="Explanatory Text 2" xfId="303" xr:uid="{00000000-0005-0000-0000-00004E000000}"/>
    <cellStyle name="Good" xfId="48" xr:uid="{00000000-0005-0000-0000-00004F000000}"/>
    <cellStyle name="Good 2" xfId="304" xr:uid="{00000000-0005-0000-0000-000050000000}"/>
    <cellStyle name="Heading 1" xfId="49" xr:uid="{00000000-0005-0000-0000-000051000000}"/>
    <cellStyle name="Heading 1 2" xfId="305" xr:uid="{00000000-0005-0000-0000-000052000000}"/>
    <cellStyle name="Heading 2" xfId="50" xr:uid="{00000000-0005-0000-0000-000053000000}"/>
    <cellStyle name="Heading 2 2" xfId="306" xr:uid="{00000000-0005-0000-0000-000054000000}"/>
    <cellStyle name="Heading 3" xfId="51" xr:uid="{00000000-0005-0000-0000-000055000000}"/>
    <cellStyle name="Heading 3 2" xfId="307" xr:uid="{00000000-0005-0000-0000-000056000000}"/>
    <cellStyle name="Heading 4" xfId="52" xr:uid="{00000000-0005-0000-0000-000057000000}"/>
    <cellStyle name="Heading 4 2" xfId="308" xr:uid="{00000000-0005-0000-0000-000058000000}"/>
    <cellStyle name="Hiperlink 2" xfId="187" xr:uid="{00000000-0005-0000-0000-000059000000}"/>
    <cellStyle name="Hiperlink 3" xfId="261" xr:uid="{00000000-0005-0000-0000-00005A000000}"/>
    <cellStyle name="Input" xfId="53" xr:uid="{00000000-0005-0000-0000-00005B000000}"/>
    <cellStyle name="Input 10" xfId="71" xr:uid="{00000000-0005-0000-0000-00005C000000}"/>
    <cellStyle name="Input 10 2" xfId="136" xr:uid="{00000000-0005-0000-0000-00005D000000}"/>
    <cellStyle name="Input 11" xfId="108" xr:uid="{00000000-0005-0000-0000-00005E000000}"/>
    <cellStyle name="Input 11 2" xfId="166" xr:uid="{00000000-0005-0000-0000-00005F000000}"/>
    <cellStyle name="Input 12" xfId="64" xr:uid="{00000000-0005-0000-0000-000060000000}"/>
    <cellStyle name="Input 12 2" xfId="132" xr:uid="{00000000-0005-0000-0000-000061000000}"/>
    <cellStyle name="Input 13" xfId="100" xr:uid="{00000000-0005-0000-0000-000062000000}"/>
    <cellStyle name="Input 14" xfId="126" xr:uid="{00000000-0005-0000-0000-000063000000}"/>
    <cellStyle name="Input 2" xfId="79" xr:uid="{00000000-0005-0000-0000-000064000000}"/>
    <cellStyle name="Input 2 2" xfId="139" xr:uid="{00000000-0005-0000-0000-000065000000}"/>
    <cellStyle name="Input 3" xfId="95" xr:uid="{00000000-0005-0000-0000-000066000000}"/>
    <cellStyle name="Input 3 2" xfId="154" xr:uid="{00000000-0005-0000-0000-000067000000}"/>
    <cellStyle name="Input 4" xfId="93" xr:uid="{00000000-0005-0000-0000-000068000000}"/>
    <cellStyle name="Input 4 2" xfId="152" xr:uid="{00000000-0005-0000-0000-000069000000}"/>
    <cellStyle name="Input 5" xfId="105" xr:uid="{00000000-0005-0000-0000-00006A000000}"/>
    <cellStyle name="Input 5 2" xfId="163" xr:uid="{00000000-0005-0000-0000-00006B000000}"/>
    <cellStyle name="Input 6" xfId="94" xr:uid="{00000000-0005-0000-0000-00006C000000}"/>
    <cellStyle name="Input 6 2" xfId="153" xr:uid="{00000000-0005-0000-0000-00006D000000}"/>
    <cellStyle name="Input 7" xfId="91" xr:uid="{00000000-0005-0000-0000-00006E000000}"/>
    <cellStyle name="Input 7 2" xfId="150" xr:uid="{00000000-0005-0000-0000-00006F000000}"/>
    <cellStyle name="Input 8" xfId="88" xr:uid="{00000000-0005-0000-0000-000070000000}"/>
    <cellStyle name="Input 8 2" xfId="147" xr:uid="{00000000-0005-0000-0000-000071000000}"/>
    <cellStyle name="Input 9" xfId="85" xr:uid="{00000000-0005-0000-0000-000072000000}"/>
    <cellStyle name="Input 9 2" xfId="144" xr:uid="{00000000-0005-0000-0000-000073000000}"/>
    <cellStyle name="Linked Cell" xfId="54" xr:uid="{00000000-0005-0000-0000-000074000000}"/>
    <cellStyle name="Linked Cell 2" xfId="309" xr:uid="{00000000-0005-0000-0000-000075000000}"/>
    <cellStyle name="Moeda 2" xfId="1" xr:uid="{00000000-0005-0000-0000-000076000000}"/>
    <cellStyle name="Moeda 2 2" xfId="13" xr:uid="{00000000-0005-0000-0000-000077000000}"/>
    <cellStyle name="Moeda 2 3" xfId="190" xr:uid="{00000000-0005-0000-0000-000078000000}"/>
    <cellStyle name="Moeda 2 4" xfId="191" xr:uid="{00000000-0005-0000-0000-000079000000}"/>
    <cellStyle name="Moeda 2 5" xfId="192" xr:uid="{00000000-0005-0000-0000-00007A000000}"/>
    <cellStyle name="Moeda 2 6" xfId="193" xr:uid="{00000000-0005-0000-0000-00007B000000}"/>
    <cellStyle name="Moeda 2 7" xfId="194" xr:uid="{00000000-0005-0000-0000-00007C000000}"/>
    <cellStyle name="Moeda 3" xfId="5" xr:uid="{00000000-0005-0000-0000-00007D000000}"/>
    <cellStyle name="Moeda 3 2" xfId="14" xr:uid="{00000000-0005-0000-0000-00007E000000}"/>
    <cellStyle name="Moeda 3 2 2" xfId="72" xr:uid="{00000000-0005-0000-0000-00007F000000}"/>
    <cellStyle name="Moeda 4" xfId="195" xr:uid="{00000000-0005-0000-0000-000080000000}"/>
    <cellStyle name="Moeda 5" xfId="272" xr:uid="{00000000-0005-0000-0000-000081000000}"/>
    <cellStyle name="Neutral" xfId="55" xr:uid="{00000000-0005-0000-0000-000082000000}"/>
    <cellStyle name="Neutral 2" xfId="310" xr:uid="{00000000-0005-0000-0000-000083000000}"/>
    <cellStyle name="Normal" xfId="0" builtinId="0"/>
    <cellStyle name="Normal 10" xfId="186" xr:uid="{00000000-0005-0000-0000-000085000000}"/>
    <cellStyle name="Normal 11" xfId="189" xr:uid="{00000000-0005-0000-0000-000086000000}"/>
    <cellStyle name="Normal 12" xfId="196" xr:uid="{00000000-0005-0000-0000-000087000000}"/>
    <cellStyle name="Normal 13" xfId="197" xr:uid="{00000000-0005-0000-0000-000088000000}"/>
    <cellStyle name="Normal 14" xfId="198" xr:uid="{00000000-0005-0000-0000-000089000000}"/>
    <cellStyle name="Normal 15" xfId="199" xr:uid="{00000000-0005-0000-0000-00008A000000}"/>
    <cellStyle name="Normal 16" xfId="259" xr:uid="{00000000-0005-0000-0000-00008B000000}"/>
    <cellStyle name="Normal 17" xfId="262" xr:uid="{00000000-0005-0000-0000-00008C000000}"/>
    <cellStyle name="Normal 18" xfId="265" xr:uid="{00000000-0005-0000-0000-00008D000000}"/>
    <cellStyle name="Normal 19" xfId="266" xr:uid="{00000000-0005-0000-0000-00008E000000}"/>
    <cellStyle name="Normal 19 2" xfId="320" xr:uid="{00000000-0005-0000-0000-00008F000000}"/>
    <cellStyle name="Normal 2" xfId="2" xr:uid="{00000000-0005-0000-0000-000090000000}"/>
    <cellStyle name="Normal 2 10" xfId="200" xr:uid="{00000000-0005-0000-0000-000091000000}"/>
    <cellStyle name="Normal 2 11" xfId="201" xr:uid="{00000000-0005-0000-0000-000092000000}"/>
    <cellStyle name="Normal 2 12" xfId="202" xr:uid="{00000000-0005-0000-0000-000093000000}"/>
    <cellStyle name="Normal 2 13" xfId="203" xr:uid="{00000000-0005-0000-0000-000094000000}"/>
    <cellStyle name="Normal 2 14" xfId="204" xr:uid="{00000000-0005-0000-0000-000095000000}"/>
    <cellStyle name="Normal 2 15" xfId="205" xr:uid="{00000000-0005-0000-0000-000096000000}"/>
    <cellStyle name="Normal 2 16" xfId="206" xr:uid="{00000000-0005-0000-0000-000097000000}"/>
    <cellStyle name="Normal 2 17" xfId="207" xr:uid="{00000000-0005-0000-0000-000098000000}"/>
    <cellStyle name="Normal 2 18" xfId="208" xr:uid="{00000000-0005-0000-0000-000099000000}"/>
    <cellStyle name="Normal 2 19" xfId="209" xr:uid="{00000000-0005-0000-0000-00009A000000}"/>
    <cellStyle name="Normal 2 19 2" xfId="210" xr:uid="{00000000-0005-0000-0000-00009B000000}"/>
    <cellStyle name="Normal 2 2" xfId="12" xr:uid="{00000000-0005-0000-0000-00009C000000}"/>
    <cellStyle name="Normal 2 20" xfId="322" xr:uid="{521E9961-D945-45C2-BAE7-C7DFB55AC17F}"/>
    <cellStyle name="Normal 2 3" xfId="122" xr:uid="{00000000-0005-0000-0000-00009D000000}"/>
    <cellStyle name="Normal 2 3 2" xfId="180" xr:uid="{00000000-0005-0000-0000-00009E000000}"/>
    <cellStyle name="Normal 2 4" xfId="183" xr:uid="{00000000-0005-0000-0000-00009F000000}"/>
    <cellStyle name="Normal 2 5" xfId="211" xr:uid="{00000000-0005-0000-0000-0000A0000000}"/>
    <cellStyle name="Normal 2 6" xfId="212" xr:uid="{00000000-0005-0000-0000-0000A1000000}"/>
    <cellStyle name="Normal 2 7" xfId="213" xr:uid="{00000000-0005-0000-0000-0000A2000000}"/>
    <cellStyle name="Normal 2 8" xfId="214" xr:uid="{00000000-0005-0000-0000-0000A3000000}"/>
    <cellStyle name="Normal 2 9" xfId="215" xr:uid="{00000000-0005-0000-0000-0000A4000000}"/>
    <cellStyle name="Normal 2_GRAFICO GESTOR  DE ENTIDADE PLANEJAMENTO" xfId="216" xr:uid="{00000000-0005-0000-0000-0000A5000000}"/>
    <cellStyle name="Normal 20" xfId="269" xr:uid="{00000000-0005-0000-0000-0000A6000000}"/>
    <cellStyle name="Normal 21" xfId="273" xr:uid="{00000000-0005-0000-0000-0000A7000000}"/>
    <cellStyle name="Normal 22" xfId="217" xr:uid="{00000000-0005-0000-0000-0000A8000000}"/>
    <cellStyle name="Normal 23" xfId="275" xr:uid="{00000000-0005-0000-0000-0000A9000000}"/>
    <cellStyle name="Normal 24" xfId="276" xr:uid="{00000000-0005-0000-0000-0000AA000000}"/>
    <cellStyle name="Normal 24 2" xfId="319" xr:uid="{00000000-0005-0000-0000-0000AB000000}"/>
    <cellStyle name="Normal 25" xfId="314" xr:uid="{00000000-0005-0000-0000-0000AC000000}"/>
    <cellStyle name="Normal 26" xfId="317" xr:uid="{00000000-0005-0000-0000-0000AD000000}"/>
    <cellStyle name="Normal 27" xfId="323" xr:uid="{49275858-30D3-446F-A27F-C3CD01259986}"/>
    <cellStyle name="Normal 3" xfId="7" xr:uid="{00000000-0005-0000-0000-0000AE000000}"/>
    <cellStyle name="Normal 3 2" xfId="69" xr:uid="{00000000-0005-0000-0000-0000AF000000}"/>
    <cellStyle name="Normal 3 3" xfId="184" xr:uid="{00000000-0005-0000-0000-0000B0000000}"/>
    <cellStyle name="Normal 4" xfId="9" xr:uid="{00000000-0005-0000-0000-0000B1000000}"/>
    <cellStyle name="Normal 4 2" xfId="18" xr:uid="{00000000-0005-0000-0000-0000B2000000}"/>
    <cellStyle name="Normal 4 2 2" xfId="76" xr:uid="{00000000-0005-0000-0000-0000B3000000}"/>
    <cellStyle name="Normal 4 3" xfId="70" xr:uid="{00000000-0005-0000-0000-0000B4000000}"/>
    <cellStyle name="Normal 4 3 2" xfId="135" xr:uid="{00000000-0005-0000-0000-0000B5000000}"/>
    <cellStyle name="Normal 4 4" xfId="124" xr:uid="{00000000-0005-0000-0000-0000B6000000}"/>
    <cellStyle name="Normal 5" xfId="17" xr:uid="{00000000-0005-0000-0000-0000B7000000}"/>
    <cellStyle name="Normal 5 2" xfId="75" xr:uid="{00000000-0005-0000-0000-0000B8000000}"/>
    <cellStyle name="Normal 5 3" xfId="218" xr:uid="{00000000-0005-0000-0000-0000B9000000}"/>
    <cellStyle name="Normal 5 4" xfId="219" xr:uid="{00000000-0005-0000-0000-0000BA000000}"/>
    <cellStyle name="Normal 5 5" xfId="220" xr:uid="{00000000-0005-0000-0000-0000BB000000}"/>
    <cellStyle name="Normal 5 6" xfId="221" xr:uid="{00000000-0005-0000-0000-0000BC000000}"/>
    <cellStyle name="Normal 5 7" xfId="222" xr:uid="{00000000-0005-0000-0000-0000BD000000}"/>
    <cellStyle name="Normal 6" xfId="63" xr:uid="{00000000-0005-0000-0000-0000BE000000}"/>
    <cellStyle name="Normal 6 2" xfId="104" xr:uid="{00000000-0005-0000-0000-0000BF000000}"/>
    <cellStyle name="Normal 6 2 2" xfId="162" xr:uid="{00000000-0005-0000-0000-0000C0000000}"/>
    <cellStyle name="Normal 6 3" xfId="131" xr:uid="{00000000-0005-0000-0000-0000C1000000}"/>
    <cellStyle name="Normal 6 4" xfId="223" xr:uid="{00000000-0005-0000-0000-0000C2000000}"/>
    <cellStyle name="Normal 6 5" xfId="224" xr:uid="{00000000-0005-0000-0000-0000C3000000}"/>
    <cellStyle name="Normal 6 6" xfId="225" xr:uid="{00000000-0005-0000-0000-0000C4000000}"/>
    <cellStyle name="Normal 6 7" xfId="226" xr:uid="{00000000-0005-0000-0000-0000C5000000}"/>
    <cellStyle name="Normal 7" xfId="123" xr:uid="{00000000-0005-0000-0000-0000C6000000}"/>
    <cellStyle name="Normal 7 2" xfId="181" xr:uid="{00000000-0005-0000-0000-0000C7000000}"/>
    <cellStyle name="Normal 8" xfId="182" xr:uid="{00000000-0005-0000-0000-0000C8000000}"/>
    <cellStyle name="Normal 9" xfId="185" xr:uid="{00000000-0005-0000-0000-0000C9000000}"/>
    <cellStyle name="Note" xfId="56" xr:uid="{00000000-0005-0000-0000-0000CA000000}"/>
    <cellStyle name="Note 10" xfId="110" xr:uid="{00000000-0005-0000-0000-0000CB000000}"/>
    <cellStyle name="Note 10 2" xfId="168" xr:uid="{00000000-0005-0000-0000-0000CC000000}"/>
    <cellStyle name="Note 11" xfId="121" xr:uid="{00000000-0005-0000-0000-0000CD000000}"/>
    <cellStyle name="Note 11 2" xfId="179" xr:uid="{00000000-0005-0000-0000-0000CE000000}"/>
    <cellStyle name="Note 12" xfId="109" xr:uid="{00000000-0005-0000-0000-0000CF000000}"/>
    <cellStyle name="Note 12 2" xfId="167" xr:uid="{00000000-0005-0000-0000-0000D0000000}"/>
    <cellStyle name="Note 13" xfId="67" xr:uid="{00000000-0005-0000-0000-0000D1000000}"/>
    <cellStyle name="Note 14" xfId="127" xr:uid="{00000000-0005-0000-0000-0000D2000000}"/>
    <cellStyle name="Note 2" xfId="106" xr:uid="{00000000-0005-0000-0000-0000D3000000}"/>
    <cellStyle name="Note 2 2" xfId="164" xr:uid="{00000000-0005-0000-0000-0000D4000000}"/>
    <cellStyle name="Note 3" xfId="97" xr:uid="{00000000-0005-0000-0000-0000D5000000}"/>
    <cellStyle name="Note 3 2" xfId="156" xr:uid="{00000000-0005-0000-0000-0000D6000000}"/>
    <cellStyle name="Note 4" xfId="114" xr:uid="{00000000-0005-0000-0000-0000D7000000}"/>
    <cellStyle name="Note 4 2" xfId="172" xr:uid="{00000000-0005-0000-0000-0000D8000000}"/>
    <cellStyle name="Note 5" xfId="113" xr:uid="{00000000-0005-0000-0000-0000D9000000}"/>
    <cellStyle name="Note 5 2" xfId="171" xr:uid="{00000000-0005-0000-0000-0000DA000000}"/>
    <cellStyle name="Note 6" xfId="77" xr:uid="{00000000-0005-0000-0000-0000DB000000}"/>
    <cellStyle name="Note 6 2" xfId="137" xr:uid="{00000000-0005-0000-0000-0000DC000000}"/>
    <cellStyle name="Note 7" xfId="118" xr:uid="{00000000-0005-0000-0000-0000DD000000}"/>
    <cellStyle name="Note 7 2" xfId="176" xr:uid="{00000000-0005-0000-0000-0000DE000000}"/>
    <cellStyle name="Note 8" xfId="65" xr:uid="{00000000-0005-0000-0000-0000DF000000}"/>
    <cellStyle name="Note 8 2" xfId="133" xr:uid="{00000000-0005-0000-0000-0000E0000000}"/>
    <cellStyle name="Note 9" xfId="99" xr:uid="{00000000-0005-0000-0000-0000E1000000}"/>
    <cellStyle name="Note 9 2" xfId="158" xr:uid="{00000000-0005-0000-0000-0000E2000000}"/>
    <cellStyle name="Output" xfId="57" xr:uid="{00000000-0005-0000-0000-0000E3000000}"/>
    <cellStyle name="Output 10" xfId="117" xr:uid="{00000000-0005-0000-0000-0000E4000000}"/>
    <cellStyle name="Output 10 2" xfId="175" xr:uid="{00000000-0005-0000-0000-0000E5000000}"/>
    <cellStyle name="Output 11" xfId="115" xr:uid="{00000000-0005-0000-0000-0000E6000000}"/>
    <cellStyle name="Output 11 2" xfId="173" xr:uid="{00000000-0005-0000-0000-0000E7000000}"/>
    <cellStyle name="Output 12" xfId="116" xr:uid="{00000000-0005-0000-0000-0000E8000000}"/>
    <cellStyle name="Output 12 2" xfId="174" xr:uid="{00000000-0005-0000-0000-0000E9000000}"/>
    <cellStyle name="Output 13" xfId="73" xr:uid="{00000000-0005-0000-0000-0000EA000000}"/>
    <cellStyle name="Output 14" xfId="128" xr:uid="{00000000-0005-0000-0000-0000EB000000}"/>
    <cellStyle name="Output 2" xfId="107" xr:uid="{00000000-0005-0000-0000-0000EC000000}"/>
    <cellStyle name="Output 2 2" xfId="165" xr:uid="{00000000-0005-0000-0000-0000ED000000}"/>
    <cellStyle name="Output 3" xfId="98" xr:uid="{00000000-0005-0000-0000-0000EE000000}"/>
    <cellStyle name="Output 3 2" xfId="157" xr:uid="{00000000-0005-0000-0000-0000EF000000}"/>
    <cellStyle name="Output 4" xfId="96" xr:uid="{00000000-0005-0000-0000-0000F0000000}"/>
    <cellStyle name="Output 4 2" xfId="155" xr:uid="{00000000-0005-0000-0000-0000F1000000}"/>
    <cellStyle name="Output 5" xfId="101" xr:uid="{00000000-0005-0000-0000-0000F2000000}"/>
    <cellStyle name="Output 5 2" xfId="159" xr:uid="{00000000-0005-0000-0000-0000F3000000}"/>
    <cellStyle name="Output 6" xfId="111" xr:uid="{00000000-0005-0000-0000-0000F4000000}"/>
    <cellStyle name="Output 6 2" xfId="169" xr:uid="{00000000-0005-0000-0000-0000F5000000}"/>
    <cellStyle name="Output 7" xfId="66" xr:uid="{00000000-0005-0000-0000-0000F6000000}"/>
    <cellStyle name="Output 7 2" xfId="134" xr:uid="{00000000-0005-0000-0000-0000F7000000}"/>
    <cellStyle name="Output 8" xfId="92" xr:uid="{00000000-0005-0000-0000-0000F8000000}"/>
    <cellStyle name="Output 8 2" xfId="151" xr:uid="{00000000-0005-0000-0000-0000F9000000}"/>
    <cellStyle name="Output 9" xfId="90" xr:uid="{00000000-0005-0000-0000-0000FA000000}"/>
    <cellStyle name="Output 9 2" xfId="149" xr:uid="{00000000-0005-0000-0000-0000FB000000}"/>
    <cellStyle name="Percent" xfId="8" builtinId="5"/>
    <cellStyle name="Porcentagem 10" xfId="315" xr:uid="{00000000-0005-0000-0000-0000FD000000}"/>
    <cellStyle name="Porcentagem 2" xfId="4" xr:uid="{00000000-0005-0000-0000-0000FE000000}"/>
    <cellStyle name="Porcentagem 2 2" xfId="58" xr:uid="{00000000-0005-0000-0000-0000FF000000}"/>
    <cellStyle name="Porcentagem 2 3" xfId="68" xr:uid="{00000000-0005-0000-0000-000000010000}"/>
    <cellStyle name="Porcentagem 3" xfId="11" xr:uid="{00000000-0005-0000-0000-000001010000}"/>
    <cellStyle name="Porcentagem 3 2" xfId="19" xr:uid="{00000000-0005-0000-0000-000002010000}"/>
    <cellStyle name="Porcentagem 4" xfId="61" xr:uid="{00000000-0005-0000-0000-000003010000}"/>
    <cellStyle name="Porcentagem 4 2" xfId="102" xr:uid="{00000000-0005-0000-0000-000004010000}"/>
    <cellStyle name="Porcentagem 4 2 2" xfId="160" xr:uid="{00000000-0005-0000-0000-000005010000}"/>
    <cellStyle name="Porcentagem 4 3" xfId="129" xr:uid="{00000000-0005-0000-0000-000006010000}"/>
    <cellStyle name="Porcentagem 5" xfId="62" xr:uid="{00000000-0005-0000-0000-000007010000}"/>
    <cellStyle name="Porcentagem 5 2" xfId="103" xr:uid="{00000000-0005-0000-0000-000008010000}"/>
    <cellStyle name="Porcentagem 5 2 2" xfId="161" xr:uid="{00000000-0005-0000-0000-000009010000}"/>
    <cellStyle name="Porcentagem 5 3" xfId="130" xr:uid="{00000000-0005-0000-0000-00000A010000}"/>
    <cellStyle name="Porcentagem 5 4" xfId="188" xr:uid="{00000000-0005-0000-0000-00000B010000}"/>
    <cellStyle name="Porcentagem 6" xfId="260" xr:uid="{00000000-0005-0000-0000-00000C010000}"/>
    <cellStyle name="Porcentagem 7" xfId="264" xr:uid="{00000000-0005-0000-0000-00000D010000}"/>
    <cellStyle name="Porcentagem 8" xfId="268" xr:uid="{00000000-0005-0000-0000-00000E010000}"/>
    <cellStyle name="Porcentagem 9" xfId="271" xr:uid="{00000000-0005-0000-0000-00000F010000}"/>
    <cellStyle name="Separador de milhares [0] 2" xfId="227" xr:uid="{00000000-0005-0000-0000-000010010000}"/>
    <cellStyle name="Separador de milhares 10" xfId="228" xr:uid="{00000000-0005-0000-0000-000011010000}"/>
    <cellStyle name="Separador de milhares 11" xfId="229" xr:uid="{00000000-0005-0000-0000-000012010000}"/>
    <cellStyle name="Separador de milhares 12" xfId="230" xr:uid="{00000000-0005-0000-0000-000013010000}"/>
    <cellStyle name="Separador de milhares 13" xfId="231" xr:uid="{00000000-0005-0000-0000-000014010000}"/>
    <cellStyle name="Separador de milhares 14" xfId="232" xr:uid="{00000000-0005-0000-0000-000015010000}"/>
    <cellStyle name="Separador de milhares 15" xfId="233" xr:uid="{00000000-0005-0000-0000-000016010000}"/>
    <cellStyle name="Separador de milhares 16" xfId="234" xr:uid="{00000000-0005-0000-0000-000017010000}"/>
    <cellStyle name="Separador de milhares 17" xfId="235" xr:uid="{00000000-0005-0000-0000-000018010000}"/>
    <cellStyle name="Separador de milhares 18" xfId="316" xr:uid="{00000000-0005-0000-0000-000019010000}"/>
    <cellStyle name="Separador de milhares 2" xfId="3" xr:uid="{00000000-0005-0000-0000-00001A010000}"/>
    <cellStyle name="Separador de milhares 2 10" xfId="236" xr:uid="{00000000-0005-0000-0000-00001B010000}"/>
    <cellStyle name="Separador de milhares 2 11" xfId="237" xr:uid="{00000000-0005-0000-0000-00001C010000}"/>
    <cellStyle name="Separador de milhares 2 12" xfId="238" xr:uid="{00000000-0005-0000-0000-00001D010000}"/>
    <cellStyle name="Separador de milhares 2 13" xfId="239" xr:uid="{00000000-0005-0000-0000-00001E010000}"/>
    <cellStyle name="Separador de milhares 2 14" xfId="240" xr:uid="{00000000-0005-0000-0000-00001F010000}"/>
    <cellStyle name="Separador de milhares 2 15" xfId="241" xr:uid="{00000000-0005-0000-0000-000020010000}"/>
    <cellStyle name="Separador de milhares 2 16" xfId="242" xr:uid="{00000000-0005-0000-0000-000021010000}"/>
    <cellStyle name="Separador de milhares 2 17" xfId="243" xr:uid="{00000000-0005-0000-0000-000022010000}"/>
    <cellStyle name="Separador de milhares 2 18" xfId="244" xr:uid="{00000000-0005-0000-0000-000023010000}"/>
    <cellStyle name="Separador de milhares 2 2" xfId="15" xr:uid="{00000000-0005-0000-0000-000024010000}"/>
    <cellStyle name="Separador de milhares 2 3" xfId="245" xr:uid="{00000000-0005-0000-0000-000025010000}"/>
    <cellStyle name="Separador de milhares 2 4" xfId="246" xr:uid="{00000000-0005-0000-0000-000026010000}"/>
    <cellStyle name="Separador de milhares 2 5" xfId="247" xr:uid="{00000000-0005-0000-0000-000027010000}"/>
    <cellStyle name="Separador de milhares 2 6" xfId="248" xr:uid="{00000000-0005-0000-0000-000028010000}"/>
    <cellStyle name="Separador de milhares 2 7" xfId="249" xr:uid="{00000000-0005-0000-0000-000029010000}"/>
    <cellStyle name="Separador de milhares 2 8" xfId="250" xr:uid="{00000000-0005-0000-0000-00002A010000}"/>
    <cellStyle name="Separador de milhares 2 9" xfId="251" xr:uid="{00000000-0005-0000-0000-00002B010000}"/>
    <cellStyle name="Separador de milhares 3" xfId="6" xr:uid="{00000000-0005-0000-0000-00002C010000}"/>
    <cellStyle name="Separador de milhares 3 2" xfId="16" xr:uid="{00000000-0005-0000-0000-00002D010000}"/>
    <cellStyle name="Separador de milhares 3 2 2" xfId="74" xr:uid="{00000000-0005-0000-0000-00002E010000}"/>
    <cellStyle name="Separador de milhares 4" xfId="10" xr:uid="{00000000-0005-0000-0000-00002F010000}"/>
    <cellStyle name="Separador de milhares 5" xfId="252" xr:uid="{00000000-0005-0000-0000-000030010000}"/>
    <cellStyle name="Separador de milhares 8" xfId="253" xr:uid="{00000000-0005-0000-0000-000031010000}"/>
    <cellStyle name="Separador de milhares 9" xfId="254" xr:uid="{00000000-0005-0000-0000-000032010000}"/>
    <cellStyle name="Title" xfId="59" xr:uid="{00000000-0005-0000-0000-000033010000}"/>
    <cellStyle name="Title 2" xfId="311" xr:uid="{00000000-0005-0000-0000-000034010000}"/>
    <cellStyle name="Total 2" xfId="312" xr:uid="{00000000-0005-0000-0000-000035010000}"/>
    <cellStyle name="Vírgula 10" xfId="318" xr:uid="{00000000-0005-0000-0000-000036010000}"/>
    <cellStyle name="Vírgula 2" xfId="255" xr:uid="{00000000-0005-0000-0000-000037010000}"/>
    <cellStyle name="Vírgula 2 2" xfId="324" xr:uid="{CDB91FB1-6429-4979-BDFD-18E4E2841E95}"/>
    <cellStyle name="Vírgula 3" xfId="256" xr:uid="{00000000-0005-0000-0000-000038010000}"/>
    <cellStyle name="Vírgula 4" xfId="257" xr:uid="{00000000-0005-0000-0000-000039010000}"/>
    <cellStyle name="Vírgula 5" xfId="258" xr:uid="{00000000-0005-0000-0000-00003A010000}"/>
    <cellStyle name="Vírgula 6" xfId="263" xr:uid="{00000000-0005-0000-0000-00003B010000}"/>
    <cellStyle name="Vírgula 7" xfId="267" xr:uid="{00000000-0005-0000-0000-00003C010000}"/>
    <cellStyle name="Vírgula 8" xfId="270" xr:uid="{00000000-0005-0000-0000-00003D010000}"/>
    <cellStyle name="Vírgula 9" xfId="274" xr:uid="{00000000-0005-0000-0000-00003E010000}"/>
    <cellStyle name="Warning Text" xfId="60" xr:uid="{00000000-0005-0000-0000-00003F010000}"/>
    <cellStyle name="Warning Text 2" xfId="313" xr:uid="{00000000-0005-0000-0000-000040010000}"/>
  </cellStyles>
  <dxfs count="0"/>
  <tableStyles count="0" defaultTableStyle="TableStyleMedium2" defaultPivotStyle="PivotStyleLight16"/>
  <colors>
    <mruColors>
      <color rgb="FFFFFFCC"/>
      <color rgb="FFFFFF99"/>
      <color rgb="FF0000FF"/>
      <color rgb="FF0066FF"/>
      <color rgb="FF99FFCC"/>
      <color rgb="FF66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SINTDE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RH%20%20PROJE&#199;&#213;ES%20%20-%202009%20-%202018%20Atualizado%20junho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CEEE_FE_20090810_EBITDA_G%2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PROJE&#199;&#195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ECO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ÇÃO"/>
      <sheetName val="TRANSMISSÃO"/>
      <sheetName val="DISTRIBUIÇÃO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E.G"/>
      <sheetName val="Reclass"/>
      <sheetName val="BD_DESPESAS_GERAÇÃO"/>
      <sheetName val="EBITDA_G_CONSOLIDADO"/>
      <sheetName val="Plan4"/>
      <sheetName val="Plan1"/>
      <sheetName val="Plan3"/>
      <sheetName val="Plan2"/>
      <sheetName val="Projeções"/>
      <sheetName val="Pessoal"/>
      <sheetName val="CEEE GT Trabalhista"/>
      <sheetName val="CEEE GT Cível"/>
      <sheetName val="Premis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U262"/>
  <sheetViews>
    <sheetView tabSelected="1" topLeftCell="A64" zoomScale="87" zoomScaleNormal="87" workbookViewId="0">
      <pane xSplit="3" topLeftCell="D1" activePane="topRight" state="frozen"/>
      <selection pane="topRight" activeCell="G261" sqref="G261"/>
    </sheetView>
  </sheetViews>
  <sheetFormatPr defaultRowHeight="13.2" x14ac:dyDescent="0.25"/>
  <cols>
    <col min="1" max="1" width="16" customWidth="1"/>
    <col min="2" max="2" width="19.33203125" customWidth="1"/>
    <col min="3" max="3" width="57.88671875" customWidth="1"/>
    <col min="4" max="4" width="24.88671875" customWidth="1"/>
    <col min="5" max="5" width="12.88671875" customWidth="1"/>
    <col min="6" max="6" width="15.33203125" customWidth="1"/>
    <col min="7" max="7" width="16.6640625" bestFit="1" customWidth="1"/>
    <col min="8" max="8" width="15.6640625" customWidth="1"/>
    <col min="9" max="9" width="15.44140625" customWidth="1"/>
    <col min="10" max="10" width="12.6640625" customWidth="1"/>
    <col min="11" max="11" width="19.44140625" customWidth="1"/>
    <col min="12" max="12" width="15.44140625" style="49" customWidth="1"/>
    <col min="13" max="13" width="15" style="49" customWidth="1"/>
    <col min="14" max="14" width="18.88671875" customWidth="1"/>
    <col min="15" max="15" width="14.21875" customWidth="1"/>
    <col min="16" max="16" width="26" style="120" customWidth="1"/>
    <col min="18" max="18" width="16.6640625" bestFit="1" customWidth="1"/>
    <col min="20" max="20" width="15.6640625" customWidth="1"/>
    <col min="21" max="21" width="16" customWidth="1"/>
    <col min="22" max="22" width="13.6640625" customWidth="1"/>
  </cols>
  <sheetData>
    <row r="1" spans="1:18" ht="15.6" x14ac:dyDescent="0.3">
      <c r="A1" s="29" t="s">
        <v>30</v>
      </c>
      <c r="B1" s="23"/>
      <c r="C1" s="24"/>
      <c r="D1" s="25"/>
      <c r="E1" s="25"/>
      <c r="F1" s="26"/>
      <c r="G1" s="27"/>
      <c r="H1" s="28"/>
      <c r="I1" s="28"/>
      <c r="J1" s="26"/>
      <c r="K1" s="26"/>
      <c r="L1" s="48"/>
      <c r="M1" s="48"/>
      <c r="N1" s="26"/>
      <c r="O1" s="25"/>
      <c r="P1" s="23"/>
      <c r="Q1" s="25"/>
      <c r="R1" s="27"/>
    </row>
    <row r="2" spans="1:18" ht="16.2" customHeight="1" x14ac:dyDescent="0.3">
      <c r="A2" s="30" t="s">
        <v>68</v>
      </c>
      <c r="B2" s="23"/>
      <c r="C2" s="24"/>
      <c r="D2" s="25"/>
      <c r="E2" s="25"/>
      <c r="F2" s="26"/>
      <c r="G2" s="27"/>
      <c r="H2" s="28"/>
      <c r="I2" s="28"/>
      <c r="J2" s="26"/>
      <c r="K2" s="26"/>
      <c r="L2" s="48"/>
      <c r="M2" s="48"/>
      <c r="N2" s="26"/>
      <c r="O2" s="25"/>
      <c r="P2" s="23"/>
      <c r="Q2" s="25"/>
      <c r="R2" s="27"/>
    </row>
    <row r="3" spans="1:18" ht="16.2" customHeight="1" x14ac:dyDescent="0.3">
      <c r="A3" s="256" t="s">
        <v>69</v>
      </c>
      <c r="B3" s="256"/>
      <c r="C3" s="256"/>
      <c r="D3" s="25"/>
      <c r="E3" s="25"/>
      <c r="F3" s="26"/>
      <c r="G3" s="27"/>
      <c r="H3" s="28"/>
      <c r="I3" s="28"/>
      <c r="J3" s="26"/>
      <c r="K3" s="26"/>
      <c r="L3" s="48"/>
      <c r="M3" s="48"/>
      <c r="N3" s="26"/>
      <c r="O3" s="25"/>
      <c r="P3" s="23"/>
      <c r="Q3" s="25"/>
      <c r="R3" s="27"/>
    </row>
    <row r="4" spans="1:18" ht="16.2" customHeight="1" x14ac:dyDescent="0.3">
      <c r="A4" s="30" t="s">
        <v>70</v>
      </c>
      <c r="B4" s="23"/>
      <c r="C4" s="24"/>
      <c r="D4" s="25"/>
      <c r="E4" s="25"/>
      <c r="F4" s="26"/>
      <c r="G4" s="27"/>
      <c r="H4" s="28"/>
      <c r="I4" s="28"/>
      <c r="J4" s="26"/>
      <c r="K4" s="26"/>
      <c r="L4" s="48"/>
      <c r="M4" s="48"/>
      <c r="N4" s="26"/>
      <c r="O4" s="25"/>
      <c r="P4" s="23"/>
      <c r="Q4" s="25"/>
      <c r="R4" s="27"/>
    </row>
    <row r="5" spans="1:18" ht="16.2" customHeight="1" x14ac:dyDescent="0.3">
      <c r="A5" s="30" t="s">
        <v>67</v>
      </c>
      <c r="B5" s="23"/>
      <c r="C5" s="24"/>
      <c r="D5" s="25"/>
      <c r="E5" s="25"/>
      <c r="F5" s="26"/>
      <c r="G5" s="27"/>
      <c r="H5" s="28"/>
      <c r="I5" s="28"/>
      <c r="J5" s="26"/>
      <c r="K5" s="26"/>
      <c r="L5" s="48"/>
      <c r="M5" s="48"/>
      <c r="N5" s="26"/>
      <c r="O5" s="25"/>
      <c r="P5" s="23"/>
      <c r="Q5" s="25"/>
      <c r="R5" s="27"/>
    </row>
    <row r="6" spans="1:18" ht="4.5" customHeight="1" x14ac:dyDescent="0.3">
      <c r="A6" s="30"/>
      <c r="B6" s="23"/>
      <c r="C6" s="24"/>
      <c r="D6" s="25"/>
      <c r="E6" s="25"/>
      <c r="F6" s="26"/>
      <c r="G6" s="27"/>
      <c r="H6" s="28"/>
      <c r="I6" s="28"/>
      <c r="J6" s="26"/>
      <c r="K6" s="26"/>
      <c r="L6" s="48"/>
      <c r="M6" s="48"/>
      <c r="N6" s="26"/>
      <c r="O6" s="25"/>
      <c r="P6" s="23"/>
      <c r="Q6" s="25"/>
      <c r="R6" s="27"/>
    </row>
    <row r="7" spans="1:18" ht="21" x14ac:dyDescent="0.3">
      <c r="A7" s="274" t="s">
        <v>71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5"/>
    </row>
    <row r="8" spans="1:18" ht="6.15" customHeight="1" x14ac:dyDescent="0.3">
      <c r="A8" s="32"/>
      <c r="B8" s="23"/>
      <c r="C8" s="24"/>
      <c r="D8" s="25"/>
      <c r="E8" s="25"/>
      <c r="F8" s="26"/>
      <c r="G8" s="71"/>
      <c r="H8" s="28"/>
      <c r="I8" s="28"/>
      <c r="J8" s="26"/>
      <c r="K8" s="26"/>
      <c r="L8" s="48"/>
      <c r="M8" s="48"/>
      <c r="N8" s="26"/>
      <c r="O8" s="25"/>
      <c r="P8" s="23"/>
      <c r="Q8" s="25"/>
      <c r="R8" s="71"/>
    </row>
    <row r="9" spans="1:18" ht="17.25" customHeight="1" x14ac:dyDescent="0.3">
      <c r="A9" s="31" t="s">
        <v>72</v>
      </c>
      <c r="B9" s="104" t="s">
        <v>539</v>
      </c>
      <c r="C9" s="24"/>
      <c r="D9" s="25"/>
      <c r="E9" s="25"/>
      <c r="F9" s="26"/>
      <c r="G9" s="27"/>
      <c r="H9" s="28"/>
      <c r="I9" s="28"/>
      <c r="J9" s="26"/>
      <c r="K9" s="26"/>
      <c r="L9" s="48"/>
      <c r="M9" s="48"/>
      <c r="N9" s="26"/>
      <c r="P9" s="230" t="s">
        <v>674</v>
      </c>
      <c r="Q9" s="25"/>
      <c r="R9" s="27"/>
    </row>
    <row r="10" spans="1:18" ht="17.25" customHeight="1" x14ac:dyDescent="0.3">
      <c r="A10" s="31" t="s">
        <v>73</v>
      </c>
      <c r="B10" s="31" t="s">
        <v>74</v>
      </c>
      <c r="C10" s="24"/>
      <c r="D10" s="25"/>
      <c r="E10" s="25"/>
      <c r="F10" s="26"/>
      <c r="G10" s="27"/>
      <c r="H10" s="28"/>
      <c r="I10" s="28"/>
      <c r="J10" s="26"/>
      <c r="K10" s="26"/>
      <c r="L10" s="48"/>
      <c r="M10" s="48"/>
      <c r="N10" s="26"/>
      <c r="P10" s="229" t="str">
        <f>CONCATENATE("US$ 1,00 = R$ ",TEXT(R13,"#,#0"))</f>
        <v>US$ 1,00 = R$ 3,80</v>
      </c>
      <c r="Q10" s="25"/>
      <c r="R10" s="27"/>
    </row>
    <row r="11" spans="1:18" ht="4.5" customHeight="1" thickBot="1" x14ac:dyDescent="0.3"/>
    <row r="12" spans="1:18" ht="20.25" customHeight="1" x14ac:dyDescent="0.25">
      <c r="A12" s="253" t="s">
        <v>75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5"/>
      <c r="Q12" s="1"/>
      <c r="R12" s="228" t="s">
        <v>673</v>
      </c>
    </row>
    <row r="13" spans="1:18" ht="15" customHeight="1" x14ac:dyDescent="0.25">
      <c r="A13" s="249" t="s">
        <v>31</v>
      </c>
      <c r="B13" s="241" t="s">
        <v>134</v>
      </c>
      <c r="C13" s="241" t="s">
        <v>32</v>
      </c>
      <c r="D13" s="241" t="s">
        <v>33</v>
      </c>
      <c r="E13" s="241" t="s">
        <v>34</v>
      </c>
      <c r="F13" s="241" t="s">
        <v>35</v>
      </c>
      <c r="G13" s="247" t="s">
        <v>36</v>
      </c>
      <c r="H13" s="247"/>
      <c r="I13" s="247"/>
      <c r="J13" s="241" t="s">
        <v>37</v>
      </c>
      <c r="K13" s="241" t="s">
        <v>38</v>
      </c>
      <c r="L13" s="248" t="s">
        <v>1</v>
      </c>
      <c r="M13" s="248"/>
      <c r="N13" s="251" t="s">
        <v>39</v>
      </c>
      <c r="O13" s="241" t="s">
        <v>40</v>
      </c>
      <c r="P13" s="243" t="s">
        <v>3</v>
      </c>
      <c r="Q13" s="1"/>
      <c r="R13" s="233">
        <v>3.8</v>
      </c>
    </row>
    <row r="14" spans="1:18" ht="42.15" customHeight="1" thickBot="1" x14ac:dyDescent="0.3">
      <c r="A14" s="250"/>
      <c r="B14" s="268"/>
      <c r="C14" s="242"/>
      <c r="D14" s="242"/>
      <c r="E14" s="242"/>
      <c r="F14" s="242"/>
      <c r="G14" s="57" t="s">
        <v>41</v>
      </c>
      <c r="H14" s="58" t="s">
        <v>42</v>
      </c>
      <c r="I14" s="58" t="s">
        <v>43</v>
      </c>
      <c r="J14" s="242"/>
      <c r="K14" s="242"/>
      <c r="L14" s="59" t="s">
        <v>44</v>
      </c>
      <c r="M14" s="59" t="s">
        <v>45</v>
      </c>
      <c r="N14" s="252"/>
      <c r="O14" s="242"/>
      <c r="P14" s="244"/>
      <c r="Q14" s="1"/>
      <c r="R14" s="114" t="s">
        <v>242</v>
      </c>
    </row>
    <row r="15" spans="1:18" ht="20.25" customHeight="1" x14ac:dyDescent="0.25">
      <c r="A15" s="261" t="s">
        <v>76</v>
      </c>
      <c r="B15" s="19" t="s">
        <v>135</v>
      </c>
      <c r="C15" s="2" t="s">
        <v>529</v>
      </c>
      <c r="D15" s="2" t="s">
        <v>6</v>
      </c>
      <c r="E15" s="78" t="s">
        <v>91</v>
      </c>
      <c r="F15" s="78" t="s">
        <v>241</v>
      </c>
      <c r="G15" s="10">
        <f>TRUNC(R15/R$13,2)</f>
        <v>386942.64</v>
      </c>
      <c r="H15" s="12">
        <v>0.8</v>
      </c>
      <c r="I15" s="11">
        <v>0.2</v>
      </c>
      <c r="J15" s="78" t="s">
        <v>57</v>
      </c>
      <c r="K15" s="78" t="s">
        <v>6</v>
      </c>
      <c r="L15" s="16" t="s">
        <v>92</v>
      </c>
      <c r="M15" s="16" t="s">
        <v>252</v>
      </c>
      <c r="N15" s="78" t="s">
        <v>90</v>
      </c>
      <c r="O15" s="16" t="s">
        <v>78</v>
      </c>
      <c r="P15" s="174" t="s">
        <v>14</v>
      </c>
      <c r="Q15" s="1"/>
      <c r="R15" s="10">
        <v>1470382.04</v>
      </c>
    </row>
    <row r="16" spans="1:18" ht="20.25" customHeight="1" x14ac:dyDescent="0.25">
      <c r="A16" s="262"/>
      <c r="B16" s="73" t="s">
        <v>243</v>
      </c>
      <c r="C16" s="74" t="s">
        <v>530</v>
      </c>
      <c r="D16" s="74" t="s">
        <v>6</v>
      </c>
      <c r="E16" s="72" t="s">
        <v>91</v>
      </c>
      <c r="F16" s="72" t="s">
        <v>244</v>
      </c>
      <c r="G16" s="75">
        <f t="shared" ref="G16:G49" si="0">TRUNC(R16/R$13,2)</f>
        <v>823157.89</v>
      </c>
      <c r="H16" s="42">
        <v>0.8</v>
      </c>
      <c r="I16" s="34">
        <v>0.2</v>
      </c>
      <c r="J16" s="72" t="s">
        <v>57</v>
      </c>
      <c r="K16" s="72" t="s">
        <v>6</v>
      </c>
      <c r="L16" s="87" t="s">
        <v>93</v>
      </c>
      <c r="M16" s="87" t="s">
        <v>253</v>
      </c>
      <c r="N16" s="72" t="s">
        <v>90</v>
      </c>
      <c r="O16" s="87" t="s">
        <v>78</v>
      </c>
      <c r="P16" s="175" t="s">
        <v>14</v>
      </c>
      <c r="Q16" s="1"/>
      <c r="R16" s="75">
        <v>3128000</v>
      </c>
    </row>
    <row r="17" spans="1:18" ht="20.25" customHeight="1" x14ac:dyDescent="0.25">
      <c r="A17" s="262"/>
      <c r="B17" s="73" t="s">
        <v>136</v>
      </c>
      <c r="C17" s="74" t="s">
        <v>531</v>
      </c>
      <c r="D17" s="74" t="s">
        <v>6</v>
      </c>
      <c r="E17" s="72" t="s">
        <v>91</v>
      </c>
      <c r="F17" s="72" t="s">
        <v>245</v>
      </c>
      <c r="G17" s="75">
        <f t="shared" ref="G17" si="1">TRUNC(R17/R$13,2)</f>
        <v>894473.68</v>
      </c>
      <c r="H17" s="42">
        <v>0.8</v>
      </c>
      <c r="I17" s="34">
        <v>0.2</v>
      </c>
      <c r="J17" s="72" t="s">
        <v>57</v>
      </c>
      <c r="K17" s="72" t="s">
        <v>6</v>
      </c>
      <c r="L17" s="87" t="s">
        <v>93</v>
      </c>
      <c r="M17" s="87" t="s">
        <v>256</v>
      </c>
      <c r="N17" s="72" t="s">
        <v>90</v>
      </c>
      <c r="O17" s="87" t="s">
        <v>78</v>
      </c>
      <c r="P17" s="175" t="s">
        <v>14</v>
      </c>
      <c r="Q17" s="1"/>
      <c r="R17" s="75">
        <v>3399000</v>
      </c>
    </row>
    <row r="18" spans="1:18" s="216" customFormat="1" ht="20.25" customHeight="1" x14ac:dyDescent="0.25">
      <c r="A18" s="262"/>
      <c r="B18" s="35" t="s">
        <v>246</v>
      </c>
      <c r="C18" s="33" t="s">
        <v>532</v>
      </c>
      <c r="D18" s="33" t="s">
        <v>6</v>
      </c>
      <c r="E18" s="107" t="s">
        <v>91</v>
      </c>
      <c r="F18" s="107" t="s">
        <v>247</v>
      </c>
      <c r="G18" s="36">
        <f t="shared" ref="G18" si="2">TRUNC(R18/R$13,2)</f>
        <v>919736.84</v>
      </c>
      <c r="H18" s="42">
        <v>0.8</v>
      </c>
      <c r="I18" s="34">
        <v>0.2</v>
      </c>
      <c r="J18" s="107" t="s">
        <v>57</v>
      </c>
      <c r="K18" s="107" t="s">
        <v>6</v>
      </c>
      <c r="L18" s="37" t="s">
        <v>93</v>
      </c>
      <c r="M18" s="37" t="s">
        <v>256</v>
      </c>
      <c r="N18" s="107" t="s">
        <v>90</v>
      </c>
      <c r="O18" s="37" t="s">
        <v>78</v>
      </c>
      <c r="P18" s="118" t="s">
        <v>9</v>
      </c>
      <c r="Q18" s="215"/>
      <c r="R18" s="36">
        <v>3495000</v>
      </c>
    </row>
    <row r="19" spans="1:18" s="216" customFormat="1" ht="20.25" customHeight="1" x14ac:dyDescent="0.25">
      <c r="A19" s="262"/>
      <c r="B19" s="98" t="s">
        <v>248</v>
      </c>
      <c r="C19" s="7" t="s">
        <v>533</v>
      </c>
      <c r="D19" s="7" t="s">
        <v>6</v>
      </c>
      <c r="E19" s="80" t="s">
        <v>91</v>
      </c>
      <c r="F19" s="80" t="s">
        <v>249</v>
      </c>
      <c r="G19" s="84">
        <f t="shared" si="0"/>
        <v>981106.42</v>
      </c>
      <c r="H19" s="85">
        <v>0.8</v>
      </c>
      <c r="I19" s="86">
        <v>0.2</v>
      </c>
      <c r="J19" s="80" t="s">
        <v>57</v>
      </c>
      <c r="K19" s="80" t="s">
        <v>6</v>
      </c>
      <c r="L19" s="17" t="s">
        <v>94</v>
      </c>
      <c r="M19" s="17" t="s">
        <v>256</v>
      </c>
      <c r="N19" s="80" t="s">
        <v>90</v>
      </c>
      <c r="O19" s="17" t="s">
        <v>78</v>
      </c>
      <c r="P19" s="124" t="s">
        <v>9</v>
      </c>
      <c r="Q19" s="215"/>
      <c r="R19" s="84">
        <v>3728204.4</v>
      </c>
    </row>
    <row r="20" spans="1:18" ht="20.25" customHeight="1" x14ac:dyDescent="0.25">
      <c r="A20" s="262"/>
      <c r="B20" s="35" t="s">
        <v>610</v>
      </c>
      <c r="C20" s="74" t="s">
        <v>95</v>
      </c>
      <c r="D20" s="74" t="s">
        <v>21</v>
      </c>
      <c r="E20" s="72">
        <v>2</v>
      </c>
      <c r="F20" s="72" t="s">
        <v>77</v>
      </c>
      <c r="G20" s="75">
        <f t="shared" si="0"/>
        <v>6799206.2699999996</v>
      </c>
      <c r="H20" s="42">
        <v>0.8</v>
      </c>
      <c r="I20" s="34">
        <v>0.2</v>
      </c>
      <c r="J20" s="72" t="s">
        <v>57</v>
      </c>
      <c r="K20" s="72" t="s">
        <v>8</v>
      </c>
      <c r="L20" s="87" t="s">
        <v>273</v>
      </c>
      <c r="M20" s="87" t="s">
        <v>254</v>
      </c>
      <c r="N20" s="72"/>
      <c r="O20" s="87" t="s">
        <v>78</v>
      </c>
      <c r="P20" s="100" t="s">
        <v>2</v>
      </c>
      <c r="Q20" s="1"/>
      <c r="R20" s="75">
        <f>17682155.67+8154828.18</f>
        <v>25836983.850000001</v>
      </c>
    </row>
    <row r="21" spans="1:18" ht="20.25" customHeight="1" x14ac:dyDescent="0.25">
      <c r="A21" s="262"/>
      <c r="B21" s="35" t="s">
        <v>611</v>
      </c>
      <c r="C21" s="74" t="s">
        <v>96</v>
      </c>
      <c r="D21" s="74" t="s">
        <v>21</v>
      </c>
      <c r="E21" s="72">
        <v>4</v>
      </c>
      <c r="F21" s="72" t="s">
        <v>77</v>
      </c>
      <c r="G21" s="75">
        <f t="shared" si="0"/>
        <v>9926756.1400000006</v>
      </c>
      <c r="H21" s="42">
        <v>0.8</v>
      </c>
      <c r="I21" s="34">
        <v>0.2</v>
      </c>
      <c r="J21" s="72" t="s">
        <v>57</v>
      </c>
      <c r="K21" s="72" t="s">
        <v>7</v>
      </c>
      <c r="L21" s="87" t="s">
        <v>97</v>
      </c>
      <c r="M21" s="87" t="s">
        <v>98</v>
      </c>
      <c r="N21" s="72"/>
      <c r="O21" s="87" t="s">
        <v>78</v>
      </c>
      <c r="P21" s="100" t="s">
        <v>2</v>
      </c>
      <c r="Q21" s="1"/>
      <c r="R21" s="75">
        <f>8287187.6+8183184.01+13068117.74+8183184.01</f>
        <v>37721673.359999999</v>
      </c>
    </row>
    <row r="22" spans="1:18" ht="20.25" customHeight="1" x14ac:dyDescent="0.25">
      <c r="A22" s="262"/>
      <c r="B22" s="35" t="s">
        <v>612</v>
      </c>
      <c r="C22" s="74" t="s">
        <v>99</v>
      </c>
      <c r="D22" s="74" t="s">
        <v>21</v>
      </c>
      <c r="E22" s="72">
        <v>5</v>
      </c>
      <c r="F22" s="72" t="s">
        <v>77</v>
      </c>
      <c r="G22" s="75">
        <f t="shared" si="0"/>
        <v>11075304.08</v>
      </c>
      <c r="H22" s="42">
        <v>0.8</v>
      </c>
      <c r="I22" s="34">
        <v>0.2</v>
      </c>
      <c r="J22" s="72" t="s">
        <v>57</v>
      </c>
      <c r="K22" s="72" t="s">
        <v>7</v>
      </c>
      <c r="L22" s="87" t="s">
        <v>98</v>
      </c>
      <c r="M22" s="87" t="s">
        <v>100</v>
      </c>
      <c r="N22" s="72"/>
      <c r="O22" s="87" t="s">
        <v>78</v>
      </c>
      <c r="P22" s="100" t="s">
        <v>2</v>
      </c>
      <c r="Q22" s="1"/>
      <c r="R22" s="75">
        <f>9691803.49+8236509.5+8595752.59+7556514.4+8005575.55</f>
        <v>42086155.530000001</v>
      </c>
    </row>
    <row r="23" spans="1:18" ht="20.25" customHeight="1" thickBot="1" x14ac:dyDescent="0.3">
      <c r="A23" s="262"/>
      <c r="B23" s="73" t="s">
        <v>613</v>
      </c>
      <c r="C23" s="74" t="s">
        <v>676</v>
      </c>
      <c r="D23" s="74" t="s">
        <v>21</v>
      </c>
      <c r="E23" s="72">
        <v>5</v>
      </c>
      <c r="F23" s="72" t="s">
        <v>77</v>
      </c>
      <c r="G23" s="75">
        <f t="shared" si="0"/>
        <v>10694876.57</v>
      </c>
      <c r="H23" s="90">
        <v>0.8</v>
      </c>
      <c r="I23" s="91">
        <v>0.2</v>
      </c>
      <c r="J23" s="72" t="s">
        <v>57</v>
      </c>
      <c r="K23" s="72" t="s">
        <v>7</v>
      </c>
      <c r="L23" s="87" t="s">
        <v>101</v>
      </c>
      <c r="M23" s="87" t="s">
        <v>102</v>
      </c>
      <c r="N23" s="72"/>
      <c r="O23" s="87" t="s">
        <v>78</v>
      </c>
      <c r="P23" s="100" t="s">
        <v>2</v>
      </c>
      <c r="Q23" s="1"/>
      <c r="R23" s="75">
        <f>8119784.32+8233862.09+7544440.44+8455256.55+8287187.6</f>
        <v>40640531</v>
      </c>
    </row>
    <row r="24" spans="1:18" s="117" customFormat="1" ht="20.25" customHeight="1" x14ac:dyDescent="0.25">
      <c r="A24" s="257" t="s">
        <v>76</v>
      </c>
      <c r="B24" s="19" t="s">
        <v>614</v>
      </c>
      <c r="C24" s="2" t="s">
        <v>615</v>
      </c>
      <c r="D24" s="2" t="s">
        <v>6</v>
      </c>
      <c r="E24" s="108">
        <v>5</v>
      </c>
      <c r="F24" s="108" t="s">
        <v>250</v>
      </c>
      <c r="G24" s="10">
        <f t="shared" si="0"/>
        <v>70116.84</v>
      </c>
      <c r="H24" s="12">
        <v>0.8</v>
      </c>
      <c r="I24" s="11">
        <v>0.2</v>
      </c>
      <c r="J24" s="109" t="s">
        <v>57</v>
      </c>
      <c r="K24" s="108" t="s">
        <v>6</v>
      </c>
      <c r="L24" s="16" t="s">
        <v>103</v>
      </c>
      <c r="M24" s="16" t="s">
        <v>256</v>
      </c>
      <c r="N24" s="108" t="s">
        <v>90</v>
      </c>
      <c r="O24" s="16" t="s">
        <v>78</v>
      </c>
      <c r="P24" s="119" t="s">
        <v>9</v>
      </c>
      <c r="Q24" s="116"/>
      <c r="R24" s="10">
        <v>266444</v>
      </c>
    </row>
    <row r="25" spans="1:18" s="117" customFormat="1" ht="20.100000000000001" customHeight="1" x14ac:dyDescent="0.25">
      <c r="A25" s="258"/>
      <c r="B25" s="35" t="s">
        <v>616</v>
      </c>
      <c r="C25" s="74" t="s">
        <v>551</v>
      </c>
      <c r="D25" s="74" t="s">
        <v>6</v>
      </c>
      <c r="E25" s="72">
        <v>5</v>
      </c>
      <c r="F25" s="72" t="s">
        <v>251</v>
      </c>
      <c r="G25" s="75">
        <f t="shared" si="0"/>
        <v>2047601.17</v>
      </c>
      <c r="H25" s="42">
        <v>0.8</v>
      </c>
      <c r="I25" s="34">
        <v>0.2</v>
      </c>
      <c r="J25" s="72" t="s">
        <v>57</v>
      </c>
      <c r="K25" s="80" t="s">
        <v>6</v>
      </c>
      <c r="L25" s="87" t="s">
        <v>104</v>
      </c>
      <c r="M25" s="87" t="s">
        <v>256</v>
      </c>
      <c r="N25" s="72" t="s">
        <v>90</v>
      </c>
      <c r="O25" s="87" t="s">
        <v>78</v>
      </c>
      <c r="P25" s="115" t="s">
        <v>9</v>
      </c>
      <c r="Q25" s="116"/>
      <c r="R25" s="75">
        <f>2966328.63+1227668.56+2023128.66+704312.85+859445.76</f>
        <v>7780884.459999999</v>
      </c>
    </row>
    <row r="26" spans="1:18" s="82" customFormat="1" ht="20.7" customHeight="1" x14ac:dyDescent="0.25">
      <c r="A26" s="258"/>
      <c r="B26" s="73" t="s">
        <v>617</v>
      </c>
      <c r="C26" s="74" t="s">
        <v>559</v>
      </c>
      <c r="D26" s="74" t="s">
        <v>21</v>
      </c>
      <c r="E26" s="72">
        <v>12</v>
      </c>
      <c r="F26" s="72" t="s">
        <v>77</v>
      </c>
      <c r="G26" s="75">
        <f t="shared" si="0"/>
        <v>3448764.62</v>
      </c>
      <c r="H26" s="76">
        <v>0.8</v>
      </c>
      <c r="I26" s="77">
        <v>0.2</v>
      </c>
      <c r="J26" s="72" t="s">
        <v>57</v>
      </c>
      <c r="K26" s="110" t="s">
        <v>8</v>
      </c>
      <c r="L26" s="87" t="s">
        <v>257</v>
      </c>
      <c r="M26" s="87" t="s">
        <v>258</v>
      </c>
      <c r="N26" s="72"/>
      <c r="O26" s="87" t="s">
        <v>78</v>
      </c>
      <c r="P26" s="100" t="s">
        <v>2</v>
      </c>
      <c r="Q26" s="81"/>
      <c r="R26" s="75">
        <f>250000+1675711.63+2344174.08+945441.72+1372167.18+396807.91+1145466.18+556514.1+600282.31+940574.99+1719250.97+1158914.51</f>
        <v>13105305.58</v>
      </c>
    </row>
    <row r="27" spans="1:18" s="217" customFormat="1" ht="20.85" customHeight="1" x14ac:dyDescent="0.25">
      <c r="A27" s="258"/>
      <c r="B27" s="35" t="s">
        <v>618</v>
      </c>
      <c r="C27" s="33" t="s">
        <v>105</v>
      </c>
      <c r="D27" s="33" t="s">
        <v>21</v>
      </c>
      <c r="E27" s="107">
        <v>6</v>
      </c>
      <c r="F27" s="107" t="s">
        <v>77</v>
      </c>
      <c r="G27" s="36">
        <f t="shared" si="0"/>
        <v>4922390.96</v>
      </c>
      <c r="H27" s="42">
        <v>0.8</v>
      </c>
      <c r="I27" s="34">
        <v>0.2</v>
      </c>
      <c r="J27" s="107" t="s">
        <v>57</v>
      </c>
      <c r="K27" s="107" t="s">
        <v>7</v>
      </c>
      <c r="L27" s="37" t="s">
        <v>254</v>
      </c>
      <c r="M27" s="37" t="s">
        <v>259</v>
      </c>
      <c r="N27" s="107"/>
      <c r="O27" s="37" t="s">
        <v>78</v>
      </c>
      <c r="P27" s="121" t="s">
        <v>2</v>
      </c>
      <c r="Q27" s="206"/>
      <c r="R27" s="36">
        <f>2616332.66+2950087+2875870.26+2943986.19+4137305.41+3181504.16</f>
        <v>18705085.68</v>
      </c>
    </row>
    <row r="28" spans="1:18" s="117" customFormat="1" ht="20.25" customHeight="1" x14ac:dyDescent="0.25">
      <c r="A28" s="259"/>
      <c r="B28" s="98" t="s">
        <v>619</v>
      </c>
      <c r="C28" s="7" t="s">
        <v>677</v>
      </c>
      <c r="D28" s="7" t="s">
        <v>21</v>
      </c>
      <c r="E28" s="80">
        <v>6</v>
      </c>
      <c r="F28" s="80" t="s">
        <v>77</v>
      </c>
      <c r="G28" s="84">
        <f t="shared" si="0"/>
        <v>3854103.35</v>
      </c>
      <c r="H28" s="85">
        <v>0.8</v>
      </c>
      <c r="I28" s="86">
        <v>0.2</v>
      </c>
      <c r="J28" s="80" t="s">
        <v>57</v>
      </c>
      <c r="K28" s="80" t="s">
        <v>7</v>
      </c>
      <c r="L28" s="17" t="s">
        <v>100</v>
      </c>
      <c r="M28" s="17" t="s">
        <v>106</v>
      </c>
      <c r="N28" s="80"/>
      <c r="O28" s="17" t="s">
        <v>78</v>
      </c>
      <c r="P28" s="122" t="s">
        <v>2</v>
      </c>
      <c r="Q28" s="81"/>
      <c r="R28" s="84">
        <f>793988.38+3099857.09+2443603.54+3249932.4+4441081.33+617130</f>
        <v>14645592.74</v>
      </c>
    </row>
    <row r="29" spans="1:18" s="117" customFormat="1" ht="20.25" customHeight="1" thickBot="1" x14ac:dyDescent="0.3">
      <c r="A29" s="260"/>
      <c r="B29" s="35" t="s">
        <v>620</v>
      </c>
      <c r="C29" s="3" t="s">
        <v>560</v>
      </c>
      <c r="D29" s="69" t="s">
        <v>21</v>
      </c>
      <c r="E29" s="79">
        <v>7</v>
      </c>
      <c r="F29" s="79" t="s">
        <v>77</v>
      </c>
      <c r="G29" s="9">
        <f t="shared" si="0"/>
        <v>4174026.21</v>
      </c>
      <c r="H29" s="90">
        <v>0.8</v>
      </c>
      <c r="I29" s="91">
        <v>0.2</v>
      </c>
      <c r="J29" s="79" t="s">
        <v>57</v>
      </c>
      <c r="K29" s="107" t="s">
        <v>7</v>
      </c>
      <c r="L29" s="43" t="s">
        <v>102</v>
      </c>
      <c r="M29" s="43" t="s">
        <v>107</v>
      </c>
      <c r="N29" s="79"/>
      <c r="O29" s="37" t="s">
        <v>78</v>
      </c>
      <c r="P29" s="123" t="s">
        <v>2</v>
      </c>
      <c r="Q29" s="81"/>
      <c r="R29" s="9">
        <f>1285416.87+531828.45+531828.45+3090583.05+3147339.25+3491165.67+3783137.89</f>
        <v>15861299.630000001</v>
      </c>
    </row>
    <row r="30" spans="1:18" s="82" customFormat="1" ht="20.25" customHeight="1" x14ac:dyDescent="0.25">
      <c r="A30" s="257" t="s">
        <v>76</v>
      </c>
      <c r="B30" s="19" t="s">
        <v>137</v>
      </c>
      <c r="C30" s="2" t="s">
        <v>109</v>
      </c>
      <c r="D30" s="7" t="s">
        <v>6</v>
      </c>
      <c r="E30" s="108" t="s">
        <v>91</v>
      </c>
      <c r="F30" s="108" t="s">
        <v>260</v>
      </c>
      <c r="G30" s="10">
        <f t="shared" si="0"/>
        <v>1314981.8500000001</v>
      </c>
      <c r="H30" s="12">
        <v>0.8</v>
      </c>
      <c r="I30" s="11">
        <v>0.2</v>
      </c>
      <c r="J30" s="108" t="s">
        <v>57</v>
      </c>
      <c r="K30" s="108" t="s">
        <v>6</v>
      </c>
      <c r="L30" s="16" t="s">
        <v>261</v>
      </c>
      <c r="M30" s="16" t="s">
        <v>108</v>
      </c>
      <c r="N30" s="108" t="s">
        <v>90</v>
      </c>
      <c r="O30" s="16" t="s">
        <v>78</v>
      </c>
      <c r="P30" s="174" t="s">
        <v>14</v>
      </c>
      <c r="Q30" s="81"/>
      <c r="R30" s="10">
        <f>4996931.03</f>
        <v>4996931.03</v>
      </c>
    </row>
    <row r="31" spans="1:18" s="82" customFormat="1" ht="20.25" customHeight="1" x14ac:dyDescent="0.25">
      <c r="A31" s="258"/>
      <c r="B31" s="35" t="s">
        <v>568</v>
      </c>
      <c r="C31" s="33" t="s">
        <v>535</v>
      </c>
      <c r="D31" s="7" t="s">
        <v>6</v>
      </c>
      <c r="E31" s="80">
        <v>4</v>
      </c>
      <c r="F31" s="107" t="s">
        <v>262</v>
      </c>
      <c r="G31" s="84">
        <f t="shared" si="0"/>
        <v>1173648</v>
      </c>
      <c r="H31" s="85">
        <v>0.8</v>
      </c>
      <c r="I31" s="86">
        <v>0.2</v>
      </c>
      <c r="J31" s="107" t="s">
        <v>57</v>
      </c>
      <c r="K31" s="80" t="s">
        <v>6</v>
      </c>
      <c r="L31" s="17" t="s">
        <v>110</v>
      </c>
      <c r="M31" s="17" t="s">
        <v>256</v>
      </c>
      <c r="N31" s="80" t="s">
        <v>90</v>
      </c>
      <c r="O31" s="17" t="s">
        <v>78</v>
      </c>
      <c r="P31" s="124" t="s">
        <v>9</v>
      </c>
      <c r="Q31" s="81"/>
      <c r="R31" s="84">
        <f>1024687.33+568010.43+411741.28+2455423.36</f>
        <v>4459862.4000000004</v>
      </c>
    </row>
    <row r="32" spans="1:18" s="82" customFormat="1" ht="20.25" customHeight="1" x14ac:dyDescent="0.25">
      <c r="A32" s="258"/>
      <c r="B32" s="73" t="s">
        <v>621</v>
      </c>
      <c r="C32" s="33" t="s">
        <v>111</v>
      </c>
      <c r="D32" s="7" t="s">
        <v>21</v>
      </c>
      <c r="E32" s="80" t="s">
        <v>91</v>
      </c>
      <c r="F32" s="107" t="s">
        <v>77</v>
      </c>
      <c r="G32" s="84">
        <f t="shared" si="0"/>
        <v>4640497.46</v>
      </c>
      <c r="H32" s="85">
        <v>0.8</v>
      </c>
      <c r="I32" s="86">
        <v>0.2</v>
      </c>
      <c r="J32" s="107" t="s">
        <v>57</v>
      </c>
      <c r="K32" s="80" t="s">
        <v>8</v>
      </c>
      <c r="L32" s="17" t="s">
        <v>257</v>
      </c>
      <c r="M32" s="17" t="s">
        <v>263</v>
      </c>
      <c r="N32" s="80"/>
      <c r="O32" s="17" t="s">
        <v>78</v>
      </c>
      <c r="P32" s="122" t="s">
        <v>2</v>
      </c>
      <c r="Q32" s="81"/>
      <c r="R32" s="84">
        <v>17633890.379999999</v>
      </c>
    </row>
    <row r="33" spans="1:18" s="82" customFormat="1" ht="20.25" customHeight="1" x14ac:dyDescent="0.25">
      <c r="A33" s="258"/>
      <c r="B33" s="35" t="s">
        <v>622</v>
      </c>
      <c r="C33" s="33" t="s">
        <v>112</v>
      </c>
      <c r="D33" s="7" t="s">
        <v>21</v>
      </c>
      <c r="E33" s="80">
        <v>2</v>
      </c>
      <c r="F33" s="107" t="s">
        <v>77</v>
      </c>
      <c r="G33" s="84">
        <f t="shared" si="0"/>
        <v>4425010.7</v>
      </c>
      <c r="H33" s="85">
        <v>0.8</v>
      </c>
      <c r="I33" s="86">
        <v>0.2</v>
      </c>
      <c r="J33" s="107" t="s">
        <v>57</v>
      </c>
      <c r="K33" s="80" t="s">
        <v>7</v>
      </c>
      <c r="L33" s="17" t="s">
        <v>264</v>
      </c>
      <c r="M33" s="17" t="s">
        <v>97</v>
      </c>
      <c r="N33" s="80"/>
      <c r="O33" s="17" t="s">
        <v>78</v>
      </c>
      <c r="P33" s="122" t="s">
        <v>2</v>
      </c>
      <c r="Q33" s="81"/>
      <c r="R33" s="84">
        <f>5478128.59+6829985.1+825329.03+3681597.95</f>
        <v>16815040.669999998</v>
      </c>
    </row>
    <row r="34" spans="1:18" s="82" customFormat="1" ht="20.25" customHeight="1" x14ac:dyDescent="0.25">
      <c r="A34" s="258"/>
      <c r="B34" s="35" t="s">
        <v>623</v>
      </c>
      <c r="C34" s="33" t="s">
        <v>561</v>
      </c>
      <c r="D34" s="7" t="s">
        <v>21</v>
      </c>
      <c r="E34" s="80">
        <v>4</v>
      </c>
      <c r="F34" s="107" t="s">
        <v>77</v>
      </c>
      <c r="G34" s="84">
        <f t="shared" si="0"/>
        <v>13272166.710000001</v>
      </c>
      <c r="H34" s="85">
        <v>0.8</v>
      </c>
      <c r="I34" s="86">
        <v>0.2</v>
      </c>
      <c r="J34" s="107" t="s">
        <v>57</v>
      </c>
      <c r="K34" s="80" t="s">
        <v>7</v>
      </c>
      <c r="L34" s="17" t="s">
        <v>97</v>
      </c>
      <c r="M34" s="17" t="s">
        <v>98</v>
      </c>
      <c r="N34" s="80"/>
      <c r="O34" s="17" t="s">
        <v>78</v>
      </c>
      <c r="P34" s="122" t="s">
        <v>2</v>
      </c>
      <c r="Q34" s="81"/>
      <c r="R34" s="84">
        <f>5834605.93+18082088.45+3624993.75+17059618.72+5832926.66</f>
        <v>50434233.50999999</v>
      </c>
    </row>
    <row r="35" spans="1:18" s="82" customFormat="1" ht="20.25" customHeight="1" x14ac:dyDescent="0.25">
      <c r="A35" s="259"/>
      <c r="B35" s="35" t="s">
        <v>624</v>
      </c>
      <c r="C35" s="33" t="s">
        <v>562</v>
      </c>
      <c r="D35" s="33" t="s">
        <v>21</v>
      </c>
      <c r="E35" s="107">
        <v>3</v>
      </c>
      <c r="F35" s="107" t="s">
        <v>77</v>
      </c>
      <c r="G35" s="36">
        <f t="shared" si="0"/>
        <v>6533489.4699999997</v>
      </c>
      <c r="H35" s="42">
        <v>0.8</v>
      </c>
      <c r="I35" s="34">
        <v>0.2</v>
      </c>
      <c r="J35" s="107" t="s">
        <v>57</v>
      </c>
      <c r="K35" s="107" t="s">
        <v>7</v>
      </c>
      <c r="L35" s="37" t="s">
        <v>113</v>
      </c>
      <c r="M35" s="37" t="s">
        <v>114</v>
      </c>
      <c r="N35" s="107"/>
      <c r="O35" s="37" t="s">
        <v>78</v>
      </c>
      <c r="P35" s="121" t="s">
        <v>2</v>
      </c>
      <c r="Q35" s="81"/>
      <c r="R35" s="36">
        <f>565786.21+2491682.42+5581943.24+3889713.36+12298134.78</f>
        <v>24827260.009999998</v>
      </c>
    </row>
    <row r="36" spans="1:18" s="82" customFormat="1" ht="20.25" customHeight="1" x14ac:dyDescent="0.25">
      <c r="A36" s="259"/>
      <c r="B36" s="35" t="s">
        <v>625</v>
      </c>
      <c r="C36" s="33" t="s">
        <v>536</v>
      </c>
      <c r="D36" s="33" t="s">
        <v>21</v>
      </c>
      <c r="E36" s="107">
        <v>6</v>
      </c>
      <c r="F36" s="107" t="s">
        <v>77</v>
      </c>
      <c r="G36" s="36">
        <f t="shared" si="0"/>
        <v>9963057.1099999994</v>
      </c>
      <c r="H36" s="42">
        <v>0.8</v>
      </c>
      <c r="I36" s="34">
        <v>0.2</v>
      </c>
      <c r="J36" s="107" t="s">
        <v>57</v>
      </c>
      <c r="K36" s="107" t="s">
        <v>7</v>
      </c>
      <c r="L36" s="37" t="s">
        <v>115</v>
      </c>
      <c r="M36" s="37" t="s">
        <v>116</v>
      </c>
      <c r="N36" s="107"/>
      <c r="O36" s="37" t="s">
        <v>78</v>
      </c>
      <c r="P36" s="121" t="s">
        <v>2</v>
      </c>
      <c r="Q36" s="81"/>
      <c r="R36" s="36">
        <f>5388043.23+21227897.69+4457463.96+1859132.03+3904414.05+1022666.08</f>
        <v>37859617.039999999</v>
      </c>
    </row>
    <row r="37" spans="1:18" s="82" customFormat="1" ht="20.25" customHeight="1" thickBot="1" x14ac:dyDescent="0.3">
      <c r="A37" s="260"/>
      <c r="B37" s="73" t="s">
        <v>626</v>
      </c>
      <c r="C37" s="3" t="s">
        <v>117</v>
      </c>
      <c r="D37" s="69" t="s">
        <v>21</v>
      </c>
      <c r="E37" s="79">
        <v>2</v>
      </c>
      <c r="F37" s="79" t="s">
        <v>77</v>
      </c>
      <c r="G37" s="9">
        <f t="shared" si="0"/>
        <v>1825754.99</v>
      </c>
      <c r="H37" s="83">
        <v>0.8</v>
      </c>
      <c r="I37" s="14">
        <v>0.2</v>
      </c>
      <c r="J37" s="79" t="s">
        <v>57</v>
      </c>
      <c r="K37" s="88" t="s">
        <v>7</v>
      </c>
      <c r="L37" s="43" t="s">
        <v>116</v>
      </c>
      <c r="M37" s="43" t="s">
        <v>118</v>
      </c>
      <c r="N37" s="79"/>
      <c r="O37" s="43" t="s">
        <v>78</v>
      </c>
      <c r="P37" s="123" t="s">
        <v>2</v>
      </c>
      <c r="Q37" s="81"/>
      <c r="R37" s="9">
        <f>3930322.3+3007546.68</f>
        <v>6937868.9800000004</v>
      </c>
    </row>
    <row r="38" spans="1:18" s="82" customFormat="1" ht="29.4" customHeight="1" x14ac:dyDescent="0.25">
      <c r="A38" s="261" t="s">
        <v>76</v>
      </c>
      <c r="B38" s="19" t="s">
        <v>627</v>
      </c>
      <c r="C38" s="2" t="s">
        <v>230</v>
      </c>
      <c r="D38" s="2" t="s">
        <v>6</v>
      </c>
      <c r="E38" s="80">
        <v>2</v>
      </c>
      <c r="F38" s="108" t="s">
        <v>265</v>
      </c>
      <c r="G38" s="10">
        <f t="shared" si="0"/>
        <v>638207.88</v>
      </c>
      <c r="H38" s="12">
        <v>0.8</v>
      </c>
      <c r="I38" s="11">
        <v>0.2</v>
      </c>
      <c r="J38" s="108" t="s">
        <v>59</v>
      </c>
      <c r="K38" s="80" t="s">
        <v>6</v>
      </c>
      <c r="L38" s="16" t="s">
        <v>163</v>
      </c>
      <c r="M38" s="16" t="s">
        <v>205</v>
      </c>
      <c r="N38" s="108" t="s">
        <v>90</v>
      </c>
      <c r="O38" s="16" t="s">
        <v>78</v>
      </c>
      <c r="P38" s="174" t="s">
        <v>14</v>
      </c>
      <c r="Q38" s="81"/>
      <c r="R38" s="10">
        <f>1305695.89+1119494.08</f>
        <v>2425189.9699999997</v>
      </c>
    </row>
    <row r="39" spans="1:18" s="82" customFormat="1" ht="29.4" customHeight="1" x14ac:dyDescent="0.25">
      <c r="A39" s="262"/>
      <c r="B39" s="35" t="s">
        <v>233</v>
      </c>
      <c r="C39" s="33" t="s">
        <v>235</v>
      </c>
      <c r="D39" s="7" t="s">
        <v>6</v>
      </c>
      <c r="E39" s="80" t="s">
        <v>91</v>
      </c>
      <c r="F39" s="107" t="s">
        <v>266</v>
      </c>
      <c r="G39" s="36">
        <f t="shared" si="0"/>
        <v>351035.27</v>
      </c>
      <c r="H39" s="42">
        <v>0.8</v>
      </c>
      <c r="I39" s="34">
        <v>0.2</v>
      </c>
      <c r="J39" s="107" t="s">
        <v>59</v>
      </c>
      <c r="K39" s="107" t="s">
        <v>6</v>
      </c>
      <c r="L39" s="37" t="s">
        <v>125</v>
      </c>
      <c r="M39" s="37" t="s">
        <v>589</v>
      </c>
      <c r="N39" s="107" t="s">
        <v>90</v>
      </c>
      <c r="O39" s="37" t="s">
        <v>78</v>
      </c>
      <c r="P39" s="176" t="s">
        <v>14</v>
      </c>
      <c r="Q39" s="81"/>
      <c r="R39" s="36">
        <v>1333934.04</v>
      </c>
    </row>
    <row r="40" spans="1:18" s="82" customFormat="1" ht="29.4" customHeight="1" x14ac:dyDescent="0.25">
      <c r="A40" s="262"/>
      <c r="B40" s="35" t="s">
        <v>679</v>
      </c>
      <c r="C40" s="33" t="s">
        <v>830</v>
      </c>
      <c r="D40" s="7" t="s">
        <v>6</v>
      </c>
      <c r="E40" s="80">
        <v>2</v>
      </c>
      <c r="F40" s="107" t="s">
        <v>267</v>
      </c>
      <c r="G40" s="36">
        <f t="shared" si="0"/>
        <v>1207613.01</v>
      </c>
      <c r="H40" s="42">
        <v>0.8</v>
      </c>
      <c r="I40" s="34">
        <v>0.2</v>
      </c>
      <c r="J40" s="107" t="s">
        <v>59</v>
      </c>
      <c r="K40" s="107" t="s">
        <v>6</v>
      </c>
      <c r="L40" s="37" t="s">
        <v>272</v>
      </c>
      <c r="M40" s="37" t="s">
        <v>589</v>
      </c>
      <c r="N40" s="107" t="s">
        <v>90</v>
      </c>
      <c r="O40" s="37" t="s">
        <v>78</v>
      </c>
      <c r="P40" s="176" t="s">
        <v>14</v>
      </c>
      <c r="Q40" s="81"/>
      <c r="R40" s="36">
        <f>2488259.78+2100669.67</f>
        <v>4588929.4499999993</v>
      </c>
    </row>
    <row r="41" spans="1:18" s="82" customFormat="1" ht="29.4" customHeight="1" x14ac:dyDescent="0.25">
      <c r="A41" s="262"/>
      <c r="B41" s="35" t="s">
        <v>680</v>
      </c>
      <c r="C41" s="33" t="s">
        <v>631</v>
      </c>
      <c r="D41" s="7" t="s">
        <v>6</v>
      </c>
      <c r="E41" s="80" t="s">
        <v>91</v>
      </c>
      <c r="F41" s="107" t="s">
        <v>632</v>
      </c>
      <c r="G41" s="36">
        <f t="shared" si="0"/>
        <v>317914.57</v>
      </c>
      <c r="H41" s="42">
        <v>0.8</v>
      </c>
      <c r="I41" s="34">
        <v>0.2</v>
      </c>
      <c r="J41" s="107" t="s">
        <v>59</v>
      </c>
      <c r="K41" s="107" t="s">
        <v>6</v>
      </c>
      <c r="L41" s="37" t="s">
        <v>633</v>
      </c>
      <c r="M41" s="37" t="s">
        <v>257</v>
      </c>
      <c r="N41" s="107" t="s">
        <v>90</v>
      </c>
      <c r="O41" s="37" t="s">
        <v>78</v>
      </c>
      <c r="P41" s="118" t="s">
        <v>9</v>
      </c>
      <c r="Q41" s="81"/>
      <c r="R41" s="36">
        <v>1208075.3700000001</v>
      </c>
    </row>
    <row r="42" spans="1:18" s="82" customFormat="1" ht="29.4" customHeight="1" x14ac:dyDescent="0.25">
      <c r="A42" s="262"/>
      <c r="B42" s="35" t="s">
        <v>681</v>
      </c>
      <c r="C42" s="33" t="s">
        <v>232</v>
      </c>
      <c r="D42" s="33" t="s">
        <v>6</v>
      </c>
      <c r="E42" s="80" t="s">
        <v>91</v>
      </c>
      <c r="F42" s="107" t="s">
        <v>270</v>
      </c>
      <c r="G42" s="36">
        <f t="shared" si="0"/>
        <v>179781.78</v>
      </c>
      <c r="H42" s="42">
        <v>0.8</v>
      </c>
      <c r="I42" s="34">
        <v>0.2</v>
      </c>
      <c r="J42" s="107" t="s">
        <v>59</v>
      </c>
      <c r="K42" s="107" t="s">
        <v>6</v>
      </c>
      <c r="L42" s="37" t="s">
        <v>196</v>
      </c>
      <c r="M42" s="37" t="s">
        <v>255</v>
      </c>
      <c r="N42" s="107" t="s">
        <v>90</v>
      </c>
      <c r="O42" s="37" t="s">
        <v>78</v>
      </c>
      <c r="P42" s="118" t="s">
        <v>9</v>
      </c>
      <c r="Q42" s="81"/>
      <c r="R42" s="36">
        <v>683170.79</v>
      </c>
    </row>
    <row r="43" spans="1:18" s="82" customFormat="1" ht="29.4" customHeight="1" x14ac:dyDescent="0.25">
      <c r="A43" s="262"/>
      <c r="B43" s="35" t="s">
        <v>234</v>
      </c>
      <c r="C43" s="33" t="s">
        <v>231</v>
      </c>
      <c r="D43" s="33" t="s">
        <v>6</v>
      </c>
      <c r="E43" s="80" t="s">
        <v>91</v>
      </c>
      <c r="F43" s="107" t="s">
        <v>269</v>
      </c>
      <c r="G43" s="36">
        <f t="shared" ref="G43" si="3">TRUNC(R43/R$13,2)</f>
        <v>308402.15000000002</v>
      </c>
      <c r="H43" s="42">
        <v>0.8</v>
      </c>
      <c r="I43" s="34">
        <v>0.2</v>
      </c>
      <c r="J43" s="107" t="s">
        <v>59</v>
      </c>
      <c r="K43" s="107" t="s">
        <v>6</v>
      </c>
      <c r="L43" s="37" t="s">
        <v>206</v>
      </c>
      <c r="M43" s="37" t="s">
        <v>274</v>
      </c>
      <c r="N43" s="107" t="s">
        <v>90</v>
      </c>
      <c r="O43" s="37" t="s">
        <v>78</v>
      </c>
      <c r="P43" s="118" t="s">
        <v>9</v>
      </c>
      <c r="Q43" s="81"/>
      <c r="R43" s="36">
        <v>1171928.17</v>
      </c>
    </row>
    <row r="44" spans="1:18" s="82" customFormat="1" ht="29.4" customHeight="1" x14ac:dyDescent="0.25">
      <c r="A44" s="262"/>
      <c r="B44" s="35" t="s">
        <v>682</v>
      </c>
      <c r="C44" s="33" t="s">
        <v>683</v>
      </c>
      <c r="D44" s="7" t="s">
        <v>6</v>
      </c>
      <c r="E44" s="80">
        <v>3</v>
      </c>
      <c r="F44" s="107" t="s">
        <v>268</v>
      </c>
      <c r="G44" s="36">
        <f t="shared" si="0"/>
        <v>1663049.49</v>
      </c>
      <c r="H44" s="42">
        <v>0.8</v>
      </c>
      <c r="I44" s="34">
        <v>0.2</v>
      </c>
      <c r="J44" s="107" t="s">
        <v>59</v>
      </c>
      <c r="K44" s="107" t="s">
        <v>6</v>
      </c>
      <c r="L44" s="37" t="s">
        <v>129</v>
      </c>
      <c r="M44" s="37" t="s">
        <v>273</v>
      </c>
      <c r="N44" s="107" t="s">
        <v>90</v>
      </c>
      <c r="O44" s="37" t="s">
        <v>78</v>
      </c>
      <c r="P44" s="118" t="s">
        <v>9</v>
      </c>
      <c r="Q44" s="81"/>
      <c r="R44" s="36">
        <v>6319588.0800000001</v>
      </c>
    </row>
    <row r="45" spans="1:18" s="82" customFormat="1" ht="29.4" customHeight="1" x14ac:dyDescent="0.25">
      <c r="A45" s="262"/>
      <c r="B45" s="35" t="s">
        <v>684</v>
      </c>
      <c r="C45" s="33" t="s">
        <v>237</v>
      </c>
      <c r="D45" s="33" t="s">
        <v>6</v>
      </c>
      <c r="E45" s="80" t="s">
        <v>91</v>
      </c>
      <c r="F45" s="107" t="s">
        <v>271</v>
      </c>
      <c r="G45" s="36">
        <f t="shared" ref="G45" si="4">TRUNC(R45/R$13,2)</f>
        <v>394736.84</v>
      </c>
      <c r="H45" s="42">
        <v>0.8</v>
      </c>
      <c r="I45" s="34">
        <v>0.2</v>
      </c>
      <c r="J45" s="107" t="s">
        <v>59</v>
      </c>
      <c r="K45" s="107" t="s">
        <v>6</v>
      </c>
      <c r="L45" s="37" t="s">
        <v>239</v>
      </c>
      <c r="M45" s="37" t="s">
        <v>256</v>
      </c>
      <c r="N45" s="107" t="s">
        <v>90</v>
      </c>
      <c r="O45" s="37" t="s">
        <v>78</v>
      </c>
      <c r="P45" s="118" t="s">
        <v>9</v>
      </c>
      <c r="Q45" s="81"/>
      <c r="R45" s="36">
        <v>1500000</v>
      </c>
    </row>
    <row r="46" spans="1:18" s="82" customFormat="1" ht="29.4" customHeight="1" x14ac:dyDescent="0.25">
      <c r="A46" s="262"/>
      <c r="B46" s="35" t="s">
        <v>685</v>
      </c>
      <c r="C46" s="33" t="s">
        <v>236</v>
      </c>
      <c r="D46" s="7" t="s">
        <v>21</v>
      </c>
      <c r="E46" s="80" t="s">
        <v>91</v>
      </c>
      <c r="F46" s="107" t="s">
        <v>77</v>
      </c>
      <c r="G46" s="36">
        <f t="shared" si="0"/>
        <v>605263.15</v>
      </c>
      <c r="H46" s="42">
        <v>0.8</v>
      </c>
      <c r="I46" s="34">
        <v>0.2</v>
      </c>
      <c r="J46" s="107" t="s">
        <v>59</v>
      </c>
      <c r="K46" s="107" t="s">
        <v>8</v>
      </c>
      <c r="L46" s="37" t="s">
        <v>256</v>
      </c>
      <c r="M46" s="37" t="s">
        <v>264</v>
      </c>
      <c r="N46" s="107"/>
      <c r="O46" s="37" t="s">
        <v>78</v>
      </c>
      <c r="P46" s="130" t="s">
        <v>2</v>
      </c>
      <c r="Q46" s="81"/>
      <c r="R46" s="36">
        <v>2300000</v>
      </c>
    </row>
    <row r="47" spans="1:18" s="82" customFormat="1" ht="29.4" customHeight="1" x14ac:dyDescent="0.25">
      <c r="A47" s="262"/>
      <c r="B47" s="35" t="s">
        <v>628</v>
      </c>
      <c r="C47" s="33" t="s">
        <v>567</v>
      </c>
      <c r="D47" s="33" t="s">
        <v>21</v>
      </c>
      <c r="E47" s="80">
        <v>6</v>
      </c>
      <c r="F47" s="107" t="s">
        <v>77</v>
      </c>
      <c r="G47" s="36">
        <f t="shared" si="0"/>
        <v>5947368.4199999999</v>
      </c>
      <c r="H47" s="42">
        <v>0.8</v>
      </c>
      <c r="I47" s="34">
        <v>0.2</v>
      </c>
      <c r="J47" s="107" t="s">
        <v>59</v>
      </c>
      <c r="K47" s="107" t="s">
        <v>7</v>
      </c>
      <c r="L47" s="37" t="s">
        <v>274</v>
      </c>
      <c r="M47" s="37" t="s">
        <v>275</v>
      </c>
      <c r="N47" s="107"/>
      <c r="O47" s="37" t="s">
        <v>78</v>
      </c>
      <c r="P47" s="130" t="s">
        <v>2</v>
      </c>
      <c r="Q47" s="81"/>
      <c r="R47" s="36">
        <v>22600000</v>
      </c>
    </row>
    <row r="48" spans="1:18" s="82" customFormat="1" ht="29.4" customHeight="1" thickBot="1" x14ac:dyDescent="0.3">
      <c r="A48" s="262"/>
      <c r="B48" s="35" t="s">
        <v>629</v>
      </c>
      <c r="C48" s="33" t="s">
        <v>238</v>
      </c>
      <c r="D48" s="69" t="s">
        <v>21</v>
      </c>
      <c r="E48" s="107">
        <v>6</v>
      </c>
      <c r="F48" s="107" t="s">
        <v>77</v>
      </c>
      <c r="G48" s="36">
        <f t="shared" si="0"/>
        <v>5947368.4199999999</v>
      </c>
      <c r="H48" s="42">
        <v>0.8</v>
      </c>
      <c r="I48" s="34">
        <v>0.2</v>
      </c>
      <c r="J48" s="107" t="s">
        <v>59</v>
      </c>
      <c r="K48" s="107" t="s">
        <v>7</v>
      </c>
      <c r="L48" s="37" t="s">
        <v>258</v>
      </c>
      <c r="M48" s="37" t="s">
        <v>97</v>
      </c>
      <c r="N48" s="107"/>
      <c r="O48" s="37" t="s">
        <v>78</v>
      </c>
      <c r="P48" s="130" t="s">
        <v>2</v>
      </c>
      <c r="Q48" s="81"/>
      <c r="R48" s="36">
        <v>22600000</v>
      </c>
    </row>
    <row r="49" spans="1:18" s="82" customFormat="1" ht="20.25" customHeight="1" thickBot="1" x14ac:dyDescent="0.3">
      <c r="A49" s="44" t="s">
        <v>76</v>
      </c>
      <c r="B49" s="94" t="s">
        <v>630</v>
      </c>
      <c r="C49" s="46" t="s">
        <v>79</v>
      </c>
      <c r="D49" s="65" t="s">
        <v>21</v>
      </c>
      <c r="E49" s="101" t="s">
        <v>91</v>
      </c>
      <c r="F49" s="45" t="s">
        <v>77</v>
      </c>
      <c r="G49" s="95">
        <f t="shared" si="0"/>
        <v>4281052.63</v>
      </c>
      <c r="H49" s="102">
        <v>0.8</v>
      </c>
      <c r="I49" s="96">
        <v>0.2</v>
      </c>
      <c r="J49" s="45" t="s">
        <v>60</v>
      </c>
      <c r="K49" s="45" t="s">
        <v>8</v>
      </c>
      <c r="L49" s="47" t="s">
        <v>257</v>
      </c>
      <c r="M49" s="47" t="s">
        <v>263</v>
      </c>
      <c r="N49" s="45"/>
      <c r="O49" s="47" t="s">
        <v>78</v>
      </c>
      <c r="P49" s="132" t="s">
        <v>2</v>
      </c>
      <c r="Q49" s="81"/>
      <c r="R49" s="95">
        <v>16268000</v>
      </c>
    </row>
    <row r="50" spans="1:18" s="82" customFormat="1" ht="20.25" customHeight="1" x14ac:dyDescent="0.25">
      <c r="A50" s="185"/>
      <c r="B50" s="185"/>
      <c r="C50" s="4"/>
      <c r="D50" s="4"/>
      <c r="E50" s="56"/>
      <c r="F50" s="8"/>
      <c r="G50" s="53"/>
      <c r="H50" s="54"/>
      <c r="I50" s="15"/>
      <c r="J50" s="8"/>
      <c r="K50" s="8"/>
      <c r="L50" s="55"/>
      <c r="M50" s="55"/>
      <c r="N50" s="8"/>
      <c r="O50" s="55"/>
      <c r="P50" s="8"/>
      <c r="Q50" s="81"/>
      <c r="R50" s="53"/>
    </row>
    <row r="51" spans="1:18" s="82" customFormat="1" ht="20.25" customHeight="1" x14ac:dyDescent="0.25">
      <c r="A51" s="185"/>
      <c r="B51" s="185"/>
      <c r="C51" s="4"/>
      <c r="D51" s="4"/>
      <c r="E51" s="56"/>
      <c r="F51" s="8"/>
      <c r="G51" s="53"/>
      <c r="H51" s="54"/>
      <c r="I51" s="15"/>
      <c r="J51" s="8"/>
      <c r="K51" s="8"/>
      <c r="L51" s="55"/>
      <c r="M51" s="55"/>
      <c r="N51" s="8"/>
      <c r="O51" s="55"/>
      <c r="P51" s="8"/>
      <c r="Q51" s="81"/>
      <c r="R51" s="53"/>
    </row>
    <row r="52" spans="1:18" ht="46.8" customHeight="1" thickBot="1" x14ac:dyDescent="0.3">
      <c r="A52" s="8"/>
      <c r="B52" s="8"/>
      <c r="C52" s="4"/>
      <c r="D52" s="4"/>
      <c r="E52" s="56"/>
      <c r="F52" s="8"/>
      <c r="G52" s="53"/>
      <c r="H52" s="54"/>
      <c r="I52" s="15"/>
      <c r="J52" s="8"/>
      <c r="K52" s="8"/>
      <c r="L52" s="55"/>
      <c r="M52" s="55"/>
      <c r="N52" s="8"/>
      <c r="O52" s="55"/>
      <c r="P52" s="8"/>
      <c r="Q52" s="1"/>
      <c r="R52" s="53"/>
    </row>
    <row r="53" spans="1:18" ht="20.25" customHeight="1" x14ac:dyDescent="0.25">
      <c r="A53" s="253" t="s">
        <v>0</v>
      </c>
      <c r="B53" s="254"/>
      <c r="C53" s="254"/>
      <c r="D53" s="254"/>
      <c r="E53" s="254"/>
      <c r="F53" s="254"/>
      <c r="G53" s="254"/>
      <c r="H53" s="254"/>
      <c r="I53" s="254"/>
      <c r="J53" s="254"/>
      <c r="K53" s="254"/>
      <c r="L53" s="254"/>
      <c r="M53" s="254"/>
      <c r="N53" s="254"/>
      <c r="O53" s="254"/>
      <c r="P53" s="255"/>
      <c r="Q53" s="1"/>
    </row>
    <row r="54" spans="1:18" ht="15" customHeight="1" x14ac:dyDescent="0.25">
      <c r="A54" s="272" t="s">
        <v>46</v>
      </c>
      <c r="B54" s="241" t="s">
        <v>134</v>
      </c>
      <c r="C54" s="268" t="s">
        <v>32</v>
      </c>
      <c r="D54" s="268" t="s">
        <v>47</v>
      </c>
      <c r="E54" s="268" t="s">
        <v>34</v>
      </c>
      <c r="F54" s="268" t="s">
        <v>35</v>
      </c>
      <c r="G54" s="265" t="s">
        <v>36</v>
      </c>
      <c r="H54" s="266"/>
      <c r="I54" s="267"/>
      <c r="J54" s="268" t="s">
        <v>37</v>
      </c>
      <c r="K54" s="268" t="s">
        <v>38</v>
      </c>
      <c r="L54" s="270" t="s">
        <v>1</v>
      </c>
      <c r="M54" s="271"/>
      <c r="N54" s="268" t="s">
        <v>39</v>
      </c>
      <c r="O54" s="268" t="s">
        <v>40</v>
      </c>
      <c r="P54" s="263" t="s">
        <v>3</v>
      </c>
      <c r="Q54" s="1"/>
    </row>
    <row r="55" spans="1:18" ht="42.15" customHeight="1" thickBot="1" x14ac:dyDescent="0.3">
      <c r="A55" s="273"/>
      <c r="B55" s="268"/>
      <c r="C55" s="269"/>
      <c r="D55" s="269"/>
      <c r="E55" s="269"/>
      <c r="F55" s="269"/>
      <c r="G55" s="60" t="s">
        <v>41</v>
      </c>
      <c r="H55" s="61" t="s">
        <v>42</v>
      </c>
      <c r="I55" s="61" t="s">
        <v>43</v>
      </c>
      <c r="J55" s="269"/>
      <c r="K55" s="269"/>
      <c r="L55" s="62" t="s">
        <v>44</v>
      </c>
      <c r="M55" s="62" t="s">
        <v>45</v>
      </c>
      <c r="N55" s="269"/>
      <c r="O55" s="269"/>
      <c r="P55" s="264"/>
      <c r="Q55" s="1"/>
      <c r="R55" s="114" t="s">
        <v>242</v>
      </c>
    </row>
    <row r="56" spans="1:18" s="197" customFormat="1" ht="19.95" customHeight="1" x14ac:dyDescent="0.25">
      <c r="A56" s="261" t="s">
        <v>76</v>
      </c>
      <c r="B56" s="19" t="s">
        <v>587</v>
      </c>
      <c r="C56" s="2" t="s">
        <v>686</v>
      </c>
      <c r="D56" s="2" t="s">
        <v>6</v>
      </c>
      <c r="E56" s="108" t="s">
        <v>91</v>
      </c>
      <c r="F56" s="108" t="s">
        <v>120</v>
      </c>
      <c r="G56" s="10">
        <f t="shared" ref="G56:G79" si="5">TRUNC(R56/R$13,2)</f>
        <v>1258235.78</v>
      </c>
      <c r="H56" s="12">
        <v>0.8</v>
      </c>
      <c r="I56" s="11">
        <v>0.2</v>
      </c>
      <c r="J56" s="108" t="s">
        <v>57</v>
      </c>
      <c r="K56" s="108" t="s">
        <v>6</v>
      </c>
      <c r="L56" s="16" t="s">
        <v>121</v>
      </c>
      <c r="M56" s="16" t="s">
        <v>119</v>
      </c>
      <c r="N56" s="108" t="s">
        <v>61</v>
      </c>
      <c r="O56" s="16" t="s">
        <v>78</v>
      </c>
      <c r="P56" s="174" t="s">
        <v>14</v>
      </c>
      <c r="Q56" s="196"/>
      <c r="R56" s="10">
        <v>4781296</v>
      </c>
    </row>
    <row r="57" spans="1:18" s="178" customFormat="1" ht="19.95" customHeight="1" x14ac:dyDescent="0.25">
      <c r="A57" s="262"/>
      <c r="B57" s="35" t="s">
        <v>696</v>
      </c>
      <c r="C57" s="33" t="s">
        <v>675</v>
      </c>
      <c r="D57" s="33" t="s">
        <v>6</v>
      </c>
      <c r="E57" s="107">
        <v>13</v>
      </c>
      <c r="F57" s="107" t="s">
        <v>588</v>
      </c>
      <c r="G57" s="36">
        <f t="shared" si="5"/>
        <v>0</v>
      </c>
      <c r="H57" s="42">
        <v>0.8</v>
      </c>
      <c r="I57" s="34">
        <v>0.2</v>
      </c>
      <c r="J57" s="107" t="s">
        <v>57</v>
      </c>
      <c r="K57" s="107" t="s">
        <v>6</v>
      </c>
      <c r="L57" s="37" t="s">
        <v>634</v>
      </c>
      <c r="M57" s="37" t="s">
        <v>635</v>
      </c>
      <c r="N57" s="107" t="s">
        <v>61</v>
      </c>
      <c r="O57" s="37" t="s">
        <v>78</v>
      </c>
      <c r="P57" s="186" t="s">
        <v>12</v>
      </c>
      <c r="Q57" s="177"/>
      <c r="R57" s="227"/>
    </row>
    <row r="58" spans="1:18" s="178" customFormat="1" ht="43.2" customHeight="1" x14ac:dyDescent="0.25">
      <c r="A58" s="262"/>
      <c r="B58" s="35" t="s">
        <v>697</v>
      </c>
      <c r="C58" s="33" t="s">
        <v>831</v>
      </c>
      <c r="D58" s="33" t="s">
        <v>6</v>
      </c>
      <c r="E58" s="107">
        <v>13</v>
      </c>
      <c r="F58" s="107" t="s">
        <v>588</v>
      </c>
      <c r="G58" s="36">
        <f t="shared" si="5"/>
        <v>1317235.01</v>
      </c>
      <c r="H58" s="42">
        <v>0.8</v>
      </c>
      <c r="I58" s="34">
        <v>0.2</v>
      </c>
      <c r="J58" s="107" t="s">
        <v>57</v>
      </c>
      <c r="K58" s="107" t="s">
        <v>6</v>
      </c>
      <c r="L58" s="37" t="s">
        <v>634</v>
      </c>
      <c r="M58" s="37" t="s">
        <v>635</v>
      </c>
      <c r="N58" s="107" t="s">
        <v>61</v>
      </c>
      <c r="O58" s="37" t="s">
        <v>78</v>
      </c>
      <c r="P58" s="118" t="s">
        <v>9</v>
      </c>
      <c r="Q58" s="177"/>
      <c r="R58" s="84">
        <f>1238119.75+190709.23+114574.9+1040000+50044.54+714294.62+1020000+340000+297750</f>
        <v>5005493.04</v>
      </c>
    </row>
    <row r="59" spans="1:18" s="178" customFormat="1" ht="20.7" customHeight="1" x14ac:dyDescent="0.25">
      <c r="A59" s="262"/>
      <c r="B59" s="98" t="s">
        <v>698</v>
      </c>
      <c r="C59" s="7" t="s">
        <v>687</v>
      </c>
      <c r="D59" s="7" t="s">
        <v>6</v>
      </c>
      <c r="E59" s="80" t="s">
        <v>91</v>
      </c>
      <c r="F59" s="80" t="s">
        <v>282</v>
      </c>
      <c r="G59" s="84">
        <f t="shared" ref="G59" si="6">TRUNC(R59/R$13,2)</f>
        <v>1186536.72</v>
      </c>
      <c r="H59" s="85">
        <v>0.8</v>
      </c>
      <c r="I59" s="86">
        <v>0.2</v>
      </c>
      <c r="J59" s="80" t="s">
        <v>57</v>
      </c>
      <c r="K59" s="80" t="s">
        <v>6</v>
      </c>
      <c r="L59" s="17" t="s">
        <v>122</v>
      </c>
      <c r="M59" s="17" t="s">
        <v>256</v>
      </c>
      <c r="N59" s="80" t="s">
        <v>61</v>
      </c>
      <c r="O59" s="17" t="s">
        <v>78</v>
      </c>
      <c r="P59" s="124" t="s">
        <v>9</v>
      </c>
      <c r="Q59" s="177"/>
      <c r="R59" s="84">
        <v>4508839.5599999996</v>
      </c>
    </row>
    <row r="60" spans="1:18" s="197" customFormat="1" ht="31.35" customHeight="1" thickBot="1" x14ac:dyDescent="0.3">
      <c r="A60" s="262"/>
      <c r="B60" s="97" t="s">
        <v>636</v>
      </c>
      <c r="C60" s="69" t="s">
        <v>688</v>
      </c>
      <c r="D60" s="69" t="s">
        <v>6</v>
      </c>
      <c r="E60" s="88">
        <v>2</v>
      </c>
      <c r="F60" s="88" t="s">
        <v>77</v>
      </c>
      <c r="G60" s="89">
        <f t="shared" si="5"/>
        <v>157351.89000000001</v>
      </c>
      <c r="H60" s="90">
        <v>0.8</v>
      </c>
      <c r="I60" s="91">
        <v>0.2</v>
      </c>
      <c r="J60" s="88" t="s">
        <v>57</v>
      </c>
      <c r="K60" s="88" t="s">
        <v>6</v>
      </c>
      <c r="L60" s="92" t="s">
        <v>256</v>
      </c>
      <c r="M60" s="92" t="s">
        <v>255</v>
      </c>
      <c r="N60" s="88" t="s">
        <v>61</v>
      </c>
      <c r="O60" s="92" t="s">
        <v>78</v>
      </c>
      <c r="P60" s="212" t="s">
        <v>10</v>
      </c>
      <c r="Q60" s="196"/>
      <c r="R60" s="89">
        <f>380943.46+216993.74</f>
        <v>597937.19999999995</v>
      </c>
    </row>
    <row r="61" spans="1:18" s="197" customFormat="1" ht="20.100000000000001" customHeight="1" x14ac:dyDescent="0.25">
      <c r="A61" s="257" t="s">
        <v>76</v>
      </c>
      <c r="B61" s="103" t="s">
        <v>138</v>
      </c>
      <c r="C61" s="200" t="s">
        <v>689</v>
      </c>
      <c r="D61" s="200" t="s">
        <v>6</v>
      </c>
      <c r="E61" s="110" t="s">
        <v>91</v>
      </c>
      <c r="F61" s="110" t="s">
        <v>278</v>
      </c>
      <c r="G61" s="201">
        <f t="shared" si="5"/>
        <v>1583936.56</v>
      </c>
      <c r="H61" s="202">
        <v>0.8</v>
      </c>
      <c r="I61" s="203">
        <v>0.2</v>
      </c>
      <c r="J61" s="110" t="s">
        <v>57</v>
      </c>
      <c r="K61" s="110" t="s">
        <v>6</v>
      </c>
      <c r="L61" s="204" t="s">
        <v>123</v>
      </c>
      <c r="M61" s="204" t="s">
        <v>288</v>
      </c>
      <c r="N61" s="110" t="s">
        <v>61</v>
      </c>
      <c r="O61" s="204" t="s">
        <v>78</v>
      </c>
      <c r="P61" s="208" t="s">
        <v>15</v>
      </c>
      <c r="Q61" s="196"/>
      <c r="R61" s="201">
        <v>6018958.9500000002</v>
      </c>
    </row>
    <row r="62" spans="1:18" s="178" customFormat="1" ht="30" customHeight="1" x14ac:dyDescent="0.25">
      <c r="A62" s="259"/>
      <c r="B62" s="35" t="s">
        <v>690</v>
      </c>
      <c r="C62" s="33" t="s">
        <v>832</v>
      </c>
      <c r="D62" s="33" t="s">
        <v>6</v>
      </c>
      <c r="E62" s="107">
        <v>6</v>
      </c>
      <c r="F62" s="107" t="s">
        <v>280</v>
      </c>
      <c r="G62" s="36">
        <f t="shared" si="5"/>
        <v>1716439.4</v>
      </c>
      <c r="H62" s="42">
        <v>0.8</v>
      </c>
      <c r="I62" s="34">
        <v>0.2</v>
      </c>
      <c r="J62" s="107" t="s">
        <v>57</v>
      </c>
      <c r="K62" s="107" t="s">
        <v>6</v>
      </c>
      <c r="L62" s="37" t="s">
        <v>126</v>
      </c>
      <c r="M62" s="37" t="s">
        <v>127</v>
      </c>
      <c r="N62" s="107" t="s">
        <v>61</v>
      </c>
      <c r="O62" s="37" t="s">
        <v>78</v>
      </c>
      <c r="P62" s="176" t="s">
        <v>14</v>
      </c>
      <c r="Q62" s="177"/>
      <c r="R62" s="36">
        <f>3375999.94+1504480+479995.96+1161993.83</f>
        <v>6522469.7299999995</v>
      </c>
    </row>
    <row r="63" spans="1:18" s="178" customFormat="1" ht="30" customHeight="1" x14ac:dyDescent="0.25">
      <c r="A63" s="259"/>
      <c r="B63" s="35" t="s">
        <v>691</v>
      </c>
      <c r="C63" s="33" t="s">
        <v>833</v>
      </c>
      <c r="D63" s="33" t="s">
        <v>6</v>
      </c>
      <c r="E63" s="107">
        <v>10</v>
      </c>
      <c r="F63" s="107" t="s">
        <v>279</v>
      </c>
      <c r="G63" s="36">
        <f t="shared" si="5"/>
        <v>1470128.13</v>
      </c>
      <c r="H63" s="42">
        <v>0.8</v>
      </c>
      <c r="I63" s="34">
        <v>0.2</v>
      </c>
      <c r="J63" s="107" t="s">
        <v>57</v>
      </c>
      <c r="K63" s="107" t="s">
        <v>6</v>
      </c>
      <c r="L63" s="37" t="s">
        <v>124</v>
      </c>
      <c r="M63" s="37" t="s">
        <v>125</v>
      </c>
      <c r="N63" s="107" t="s">
        <v>61</v>
      </c>
      <c r="O63" s="37" t="s">
        <v>78</v>
      </c>
      <c r="P63" s="176" t="s">
        <v>14</v>
      </c>
      <c r="Q63" s="177"/>
      <c r="R63" s="36">
        <f>1430000+904257.32+414301.12+1233651.49+1381578.85+158753.98+63944.16</f>
        <v>5586486.9199999999</v>
      </c>
    </row>
    <row r="64" spans="1:18" s="207" customFormat="1" ht="20.25" customHeight="1" x14ac:dyDescent="0.25">
      <c r="A64" s="259"/>
      <c r="B64" s="103" t="s">
        <v>139</v>
      </c>
      <c r="C64" s="200" t="s">
        <v>140</v>
      </c>
      <c r="D64" s="200" t="s">
        <v>6</v>
      </c>
      <c r="E64" s="110">
        <v>2</v>
      </c>
      <c r="F64" s="110" t="s">
        <v>281</v>
      </c>
      <c r="G64" s="201">
        <f t="shared" si="5"/>
        <v>348157.87</v>
      </c>
      <c r="H64" s="202">
        <v>0.8</v>
      </c>
      <c r="I64" s="203">
        <v>0.2</v>
      </c>
      <c r="J64" s="110" t="s">
        <v>57</v>
      </c>
      <c r="K64" s="110" t="s">
        <v>6</v>
      </c>
      <c r="L64" s="204" t="s">
        <v>124</v>
      </c>
      <c r="M64" s="204" t="s">
        <v>128</v>
      </c>
      <c r="N64" s="110" t="s">
        <v>61</v>
      </c>
      <c r="O64" s="204" t="s">
        <v>78</v>
      </c>
      <c r="P64" s="208" t="s">
        <v>15</v>
      </c>
      <c r="Q64" s="177"/>
      <c r="R64" s="201">
        <v>1322999.9099999999</v>
      </c>
    </row>
    <row r="65" spans="1:18" s="207" customFormat="1" ht="20.85" customHeight="1" x14ac:dyDescent="0.25">
      <c r="A65" s="259"/>
      <c r="B65" s="35" t="s">
        <v>637</v>
      </c>
      <c r="C65" s="33" t="s">
        <v>638</v>
      </c>
      <c r="D65" s="33" t="s">
        <v>6</v>
      </c>
      <c r="E65" s="107" t="s">
        <v>80</v>
      </c>
      <c r="F65" s="107" t="s">
        <v>77</v>
      </c>
      <c r="G65" s="36">
        <f t="shared" ref="G65" si="7">TRUNC(R65/R$13,2)</f>
        <v>2132930.4300000002</v>
      </c>
      <c r="H65" s="42">
        <v>0.8</v>
      </c>
      <c r="I65" s="34">
        <v>0.2</v>
      </c>
      <c r="J65" s="107" t="s">
        <v>57</v>
      </c>
      <c r="K65" s="107" t="s">
        <v>6</v>
      </c>
      <c r="L65" s="37" t="s">
        <v>256</v>
      </c>
      <c r="M65" s="37" t="s">
        <v>255</v>
      </c>
      <c r="N65" s="107" t="s">
        <v>61</v>
      </c>
      <c r="O65" s="37" t="s">
        <v>78</v>
      </c>
      <c r="P65" s="130" t="s">
        <v>2</v>
      </c>
      <c r="Q65" s="206"/>
      <c r="R65" s="36">
        <v>8105135.6399999997</v>
      </c>
    </row>
    <row r="66" spans="1:18" s="207" customFormat="1" ht="20.25" customHeight="1" x14ac:dyDescent="0.25">
      <c r="A66" s="259"/>
      <c r="B66" s="35" t="s">
        <v>692</v>
      </c>
      <c r="C66" s="33" t="s">
        <v>141</v>
      </c>
      <c r="D66" s="33" t="s">
        <v>6</v>
      </c>
      <c r="E66" s="107">
        <v>2</v>
      </c>
      <c r="F66" s="107" t="s">
        <v>120</v>
      </c>
      <c r="G66" s="36">
        <f t="shared" si="5"/>
        <v>880682.24</v>
      </c>
      <c r="H66" s="42">
        <v>0.8</v>
      </c>
      <c r="I66" s="34">
        <v>0.2</v>
      </c>
      <c r="J66" s="107" t="s">
        <v>57</v>
      </c>
      <c r="K66" s="107" t="s">
        <v>6</v>
      </c>
      <c r="L66" s="37" t="s">
        <v>121</v>
      </c>
      <c r="M66" s="37" t="s">
        <v>119</v>
      </c>
      <c r="N66" s="107" t="s">
        <v>61</v>
      </c>
      <c r="O66" s="37" t="s">
        <v>78</v>
      </c>
      <c r="P66" s="176" t="s">
        <v>14</v>
      </c>
      <c r="Q66" s="206"/>
      <c r="R66" s="36">
        <v>3346592.52</v>
      </c>
    </row>
    <row r="67" spans="1:18" s="207" customFormat="1" ht="28.2" customHeight="1" x14ac:dyDescent="0.25">
      <c r="A67" s="259"/>
      <c r="B67" s="35" t="s">
        <v>699</v>
      </c>
      <c r="C67" s="33" t="s">
        <v>834</v>
      </c>
      <c r="D67" s="33" t="s">
        <v>6</v>
      </c>
      <c r="E67" s="107">
        <v>13</v>
      </c>
      <c r="F67" s="107" t="s">
        <v>588</v>
      </c>
      <c r="G67" s="36">
        <f t="shared" ref="G67" si="8">TRUNC(R67/R$13,2)</f>
        <v>150680.75</v>
      </c>
      <c r="H67" s="42">
        <v>0.8</v>
      </c>
      <c r="I67" s="34">
        <v>0.2</v>
      </c>
      <c r="J67" s="107" t="s">
        <v>57</v>
      </c>
      <c r="K67" s="107" t="s">
        <v>6</v>
      </c>
      <c r="L67" s="37" t="s">
        <v>694</v>
      </c>
      <c r="M67" s="37" t="s">
        <v>695</v>
      </c>
      <c r="N67" s="107" t="s">
        <v>61</v>
      </c>
      <c r="O67" s="37" t="s">
        <v>78</v>
      </c>
      <c r="P67" s="118" t="s">
        <v>9</v>
      </c>
      <c r="Q67" s="196"/>
      <c r="R67" s="36">
        <f>213621.2+45949.32+18324.97+9955.12+114736.24+170000</f>
        <v>572586.85</v>
      </c>
    </row>
    <row r="68" spans="1:18" s="207" customFormat="1" ht="20.100000000000001" customHeight="1" thickBot="1" x14ac:dyDescent="0.3">
      <c r="A68" s="260"/>
      <c r="B68" s="97" t="s">
        <v>700</v>
      </c>
      <c r="C68" s="69" t="s">
        <v>693</v>
      </c>
      <c r="D68" s="69" t="s">
        <v>6</v>
      </c>
      <c r="E68" s="88" t="s">
        <v>91</v>
      </c>
      <c r="F68" s="88" t="s">
        <v>282</v>
      </c>
      <c r="G68" s="89">
        <f t="shared" ref="G68:G69" si="9">TRUNC(R68/R$13,2)</f>
        <v>4584540.26</v>
      </c>
      <c r="H68" s="90">
        <v>0.8</v>
      </c>
      <c r="I68" s="91">
        <v>0.2</v>
      </c>
      <c r="J68" s="88" t="s">
        <v>57</v>
      </c>
      <c r="K68" s="88" t="s">
        <v>6</v>
      </c>
      <c r="L68" s="92" t="s">
        <v>122</v>
      </c>
      <c r="M68" s="92" t="s">
        <v>256</v>
      </c>
      <c r="N68" s="88" t="s">
        <v>61</v>
      </c>
      <c r="O68" s="92" t="s">
        <v>78</v>
      </c>
      <c r="P68" s="211" t="s">
        <v>9</v>
      </c>
      <c r="Q68" s="206"/>
      <c r="R68" s="89">
        <v>17421253.02</v>
      </c>
    </row>
    <row r="69" spans="1:18" s="197" customFormat="1" ht="20.100000000000001" customHeight="1" x14ac:dyDescent="0.25">
      <c r="A69" s="261" t="s">
        <v>76</v>
      </c>
      <c r="B69" s="35" t="s">
        <v>701</v>
      </c>
      <c r="C69" s="33" t="s">
        <v>702</v>
      </c>
      <c r="D69" s="33" t="s">
        <v>6</v>
      </c>
      <c r="E69" s="107">
        <v>12</v>
      </c>
      <c r="F69" s="107" t="s">
        <v>639</v>
      </c>
      <c r="G69" s="36">
        <f t="shared" si="9"/>
        <v>0</v>
      </c>
      <c r="H69" s="42">
        <v>0.8</v>
      </c>
      <c r="I69" s="34">
        <v>0.2</v>
      </c>
      <c r="J69" s="107" t="s">
        <v>57</v>
      </c>
      <c r="K69" s="107" t="s">
        <v>6</v>
      </c>
      <c r="L69" s="37" t="s">
        <v>640</v>
      </c>
      <c r="M69" s="37" t="s">
        <v>122</v>
      </c>
      <c r="N69" s="107" t="s">
        <v>61</v>
      </c>
      <c r="O69" s="37" t="s">
        <v>78</v>
      </c>
      <c r="P69" s="186" t="s">
        <v>12</v>
      </c>
      <c r="Q69" s="177"/>
      <c r="R69" s="227"/>
    </row>
    <row r="70" spans="1:18" s="197" customFormat="1" ht="20.25" customHeight="1" x14ac:dyDescent="0.25">
      <c r="A70" s="262"/>
      <c r="B70" s="98" t="s">
        <v>703</v>
      </c>
      <c r="C70" s="7" t="s">
        <v>835</v>
      </c>
      <c r="D70" s="7" t="s">
        <v>6</v>
      </c>
      <c r="E70" s="80">
        <v>4</v>
      </c>
      <c r="F70" s="80" t="s">
        <v>284</v>
      </c>
      <c r="G70" s="84">
        <f t="shared" si="5"/>
        <v>280419.46000000002</v>
      </c>
      <c r="H70" s="85">
        <v>0.8</v>
      </c>
      <c r="I70" s="86">
        <v>0.2</v>
      </c>
      <c r="J70" s="80" t="s">
        <v>57</v>
      </c>
      <c r="K70" s="80" t="s">
        <v>6</v>
      </c>
      <c r="L70" s="17" t="s">
        <v>131</v>
      </c>
      <c r="M70" s="17" t="s">
        <v>257</v>
      </c>
      <c r="N70" s="80" t="s">
        <v>61</v>
      </c>
      <c r="O70" s="17" t="s">
        <v>78</v>
      </c>
      <c r="P70" s="124" t="s">
        <v>9</v>
      </c>
      <c r="Q70" s="196"/>
      <c r="R70" s="84">
        <f>579576.32+336994.43+149023.23</f>
        <v>1065593.98</v>
      </c>
    </row>
    <row r="71" spans="1:18" s="197" customFormat="1" ht="30" customHeight="1" x14ac:dyDescent="0.25">
      <c r="A71" s="262"/>
      <c r="B71" s="35" t="s">
        <v>704</v>
      </c>
      <c r="C71" s="33" t="s">
        <v>836</v>
      </c>
      <c r="D71" s="33" t="s">
        <v>6</v>
      </c>
      <c r="E71" s="107">
        <v>14</v>
      </c>
      <c r="F71" s="107" t="s">
        <v>283</v>
      </c>
      <c r="G71" s="36">
        <f t="shared" si="5"/>
        <v>1678581.58</v>
      </c>
      <c r="H71" s="42">
        <v>0.8</v>
      </c>
      <c r="I71" s="34">
        <v>0.2</v>
      </c>
      <c r="J71" s="107" t="s">
        <v>57</v>
      </c>
      <c r="K71" s="107" t="s">
        <v>6</v>
      </c>
      <c r="L71" s="37" t="s">
        <v>130</v>
      </c>
      <c r="M71" s="37" t="s">
        <v>257</v>
      </c>
      <c r="N71" s="107" t="s">
        <v>61</v>
      </c>
      <c r="O71" s="37" t="s">
        <v>78</v>
      </c>
      <c r="P71" s="118" t="s">
        <v>9</v>
      </c>
      <c r="Q71" s="196"/>
      <c r="R71" s="36">
        <f>2693189.24+2244822.92+1184999.88+255598</f>
        <v>6378610.04</v>
      </c>
    </row>
    <row r="72" spans="1:18" s="82" customFormat="1" ht="28.8" customHeight="1" thickBot="1" x14ac:dyDescent="0.3">
      <c r="A72" s="275"/>
      <c r="B72" s="64" t="s">
        <v>641</v>
      </c>
      <c r="C72" s="65" t="s">
        <v>705</v>
      </c>
      <c r="D72" s="65" t="s">
        <v>6</v>
      </c>
      <c r="E72" s="113">
        <v>10</v>
      </c>
      <c r="F72" s="113" t="s">
        <v>77</v>
      </c>
      <c r="G72" s="66">
        <f t="shared" si="5"/>
        <v>374257.1</v>
      </c>
      <c r="H72" s="198">
        <v>0.8</v>
      </c>
      <c r="I72" s="67">
        <v>0.2</v>
      </c>
      <c r="J72" s="113" t="s">
        <v>57</v>
      </c>
      <c r="K72" s="113" t="s">
        <v>6</v>
      </c>
      <c r="L72" s="68" t="s">
        <v>256</v>
      </c>
      <c r="M72" s="68" t="s">
        <v>255</v>
      </c>
      <c r="N72" s="113" t="s">
        <v>61</v>
      </c>
      <c r="O72" s="68" t="s">
        <v>78</v>
      </c>
      <c r="P72" s="199" t="s">
        <v>2</v>
      </c>
      <c r="Q72" s="81"/>
      <c r="R72" s="66">
        <v>1422177</v>
      </c>
    </row>
    <row r="73" spans="1:18" s="82" customFormat="1" ht="20.100000000000001" customHeight="1" x14ac:dyDescent="0.25">
      <c r="A73" s="261" t="s">
        <v>76</v>
      </c>
      <c r="B73" s="19" t="s">
        <v>706</v>
      </c>
      <c r="C73" s="190" t="s">
        <v>563</v>
      </c>
      <c r="D73" s="190" t="s">
        <v>6</v>
      </c>
      <c r="E73" s="109">
        <v>2</v>
      </c>
      <c r="F73" s="109" t="s">
        <v>77</v>
      </c>
      <c r="G73" s="191">
        <f t="shared" si="5"/>
        <v>1399539.47</v>
      </c>
      <c r="H73" s="192">
        <v>1</v>
      </c>
      <c r="I73" s="193">
        <v>0</v>
      </c>
      <c r="J73" s="109" t="s">
        <v>57</v>
      </c>
      <c r="K73" s="109" t="s">
        <v>6</v>
      </c>
      <c r="L73" s="194" t="s">
        <v>273</v>
      </c>
      <c r="M73" s="194" t="s">
        <v>263</v>
      </c>
      <c r="N73" s="109" t="s">
        <v>61</v>
      </c>
      <c r="O73" s="194" t="s">
        <v>78</v>
      </c>
      <c r="P73" s="195" t="s">
        <v>2</v>
      </c>
      <c r="Q73" s="81"/>
      <c r="R73" s="75">
        <v>5318250</v>
      </c>
    </row>
    <row r="74" spans="1:18" s="82" customFormat="1" ht="20.100000000000001" customHeight="1" x14ac:dyDescent="0.25">
      <c r="A74" s="262"/>
      <c r="B74" s="35" t="s">
        <v>543</v>
      </c>
      <c r="C74" s="74" t="s">
        <v>564</v>
      </c>
      <c r="D74" s="74" t="s">
        <v>6</v>
      </c>
      <c r="E74" s="72">
        <v>2</v>
      </c>
      <c r="F74" s="72" t="s">
        <v>77</v>
      </c>
      <c r="G74" s="75">
        <f t="shared" si="5"/>
        <v>1074325.49</v>
      </c>
      <c r="H74" s="76">
        <v>1</v>
      </c>
      <c r="I74" s="77">
        <v>0</v>
      </c>
      <c r="J74" s="72" t="s">
        <v>57</v>
      </c>
      <c r="K74" s="72" t="s">
        <v>6</v>
      </c>
      <c r="L74" s="87" t="s">
        <v>98</v>
      </c>
      <c r="M74" s="87" t="s">
        <v>285</v>
      </c>
      <c r="N74" s="72" t="s">
        <v>61</v>
      </c>
      <c r="O74" s="87" t="s">
        <v>78</v>
      </c>
      <c r="P74" s="134" t="s">
        <v>2</v>
      </c>
      <c r="Q74" s="81"/>
      <c r="R74" s="75">
        <v>4082436.87</v>
      </c>
    </row>
    <row r="75" spans="1:18" s="82" customFormat="1" ht="20.100000000000001" customHeight="1" x14ac:dyDescent="0.25">
      <c r="A75" s="262"/>
      <c r="B75" s="35" t="s">
        <v>543</v>
      </c>
      <c r="C75" s="74" t="s">
        <v>565</v>
      </c>
      <c r="D75" s="74" t="s">
        <v>6</v>
      </c>
      <c r="E75" s="72">
        <v>2</v>
      </c>
      <c r="F75" s="72" t="s">
        <v>77</v>
      </c>
      <c r="G75" s="75">
        <f t="shared" si="5"/>
        <v>1074325.49</v>
      </c>
      <c r="H75" s="76">
        <v>1</v>
      </c>
      <c r="I75" s="77">
        <v>0</v>
      </c>
      <c r="J75" s="72" t="s">
        <v>57</v>
      </c>
      <c r="K75" s="72" t="s">
        <v>6</v>
      </c>
      <c r="L75" s="87" t="s">
        <v>101</v>
      </c>
      <c r="M75" s="87" t="s">
        <v>286</v>
      </c>
      <c r="N75" s="72" t="s">
        <v>61</v>
      </c>
      <c r="O75" s="87" t="s">
        <v>78</v>
      </c>
      <c r="P75" s="134" t="s">
        <v>2</v>
      </c>
      <c r="Q75" s="81"/>
      <c r="R75" s="75">
        <v>4082436.87</v>
      </c>
    </row>
    <row r="76" spans="1:18" s="197" customFormat="1" ht="20.100000000000001" customHeight="1" thickBot="1" x14ac:dyDescent="0.3">
      <c r="A76" s="275"/>
      <c r="B76" s="97" t="s">
        <v>543</v>
      </c>
      <c r="C76" s="69" t="s">
        <v>566</v>
      </c>
      <c r="D76" s="69" t="s">
        <v>6</v>
      </c>
      <c r="E76" s="88">
        <v>2</v>
      </c>
      <c r="F76" s="88" t="s">
        <v>77</v>
      </c>
      <c r="G76" s="89">
        <f t="shared" si="5"/>
        <v>1074325.49</v>
      </c>
      <c r="H76" s="90">
        <v>1</v>
      </c>
      <c r="I76" s="91">
        <v>0</v>
      </c>
      <c r="J76" s="88" t="s">
        <v>57</v>
      </c>
      <c r="K76" s="88" t="s">
        <v>6</v>
      </c>
      <c r="L76" s="92" t="s">
        <v>118</v>
      </c>
      <c r="M76" s="92" t="s">
        <v>287</v>
      </c>
      <c r="N76" s="88" t="s">
        <v>61</v>
      </c>
      <c r="O76" s="92" t="s">
        <v>78</v>
      </c>
      <c r="P76" s="131" t="s">
        <v>2</v>
      </c>
      <c r="Q76" s="196"/>
      <c r="R76" s="89">
        <v>4082436.87</v>
      </c>
    </row>
    <row r="77" spans="1:18" s="197" customFormat="1" ht="20.100000000000001" customHeight="1" x14ac:dyDescent="0.25">
      <c r="A77" s="261"/>
      <c r="B77" s="35" t="s">
        <v>142</v>
      </c>
      <c r="C77" s="33" t="s">
        <v>145</v>
      </c>
      <c r="D77" s="33" t="s">
        <v>6</v>
      </c>
      <c r="E77" s="107">
        <v>4</v>
      </c>
      <c r="F77" s="107" t="s">
        <v>299</v>
      </c>
      <c r="G77" s="36">
        <f t="shared" ref="G77" si="10">TRUNC(R77/R$13,2)</f>
        <v>489115.1</v>
      </c>
      <c r="H77" s="42">
        <v>1</v>
      </c>
      <c r="I77" s="34">
        <v>0</v>
      </c>
      <c r="J77" s="107" t="s">
        <v>59</v>
      </c>
      <c r="K77" s="107" t="s">
        <v>6</v>
      </c>
      <c r="L77" s="37" t="s">
        <v>174</v>
      </c>
      <c r="M77" s="37" t="s">
        <v>175</v>
      </c>
      <c r="N77" s="107" t="s">
        <v>61</v>
      </c>
      <c r="O77" s="37" t="s">
        <v>78</v>
      </c>
      <c r="P77" s="127" t="s">
        <v>15</v>
      </c>
      <c r="Q77" s="206"/>
      <c r="R77" s="36">
        <v>1858637.4</v>
      </c>
    </row>
    <row r="78" spans="1:18" s="197" customFormat="1" ht="28.8" customHeight="1" x14ac:dyDescent="0.25">
      <c r="A78" s="262"/>
      <c r="B78" s="98" t="s">
        <v>707</v>
      </c>
      <c r="C78" s="7" t="s">
        <v>708</v>
      </c>
      <c r="D78" s="7" t="s">
        <v>6</v>
      </c>
      <c r="E78" s="80">
        <v>8</v>
      </c>
      <c r="F78" s="80" t="s">
        <v>298</v>
      </c>
      <c r="G78" s="84">
        <f t="shared" si="5"/>
        <v>487199.47</v>
      </c>
      <c r="H78" s="85">
        <v>1</v>
      </c>
      <c r="I78" s="86">
        <v>0</v>
      </c>
      <c r="J78" s="80" t="s">
        <v>59</v>
      </c>
      <c r="K78" s="80" t="s">
        <v>6</v>
      </c>
      <c r="L78" s="17" t="s">
        <v>172</v>
      </c>
      <c r="M78" s="17" t="s">
        <v>173</v>
      </c>
      <c r="N78" s="80" t="s">
        <v>61</v>
      </c>
      <c r="O78" s="17" t="s">
        <v>78</v>
      </c>
      <c r="P78" s="128" t="s">
        <v>15</v>
      </c>
      <c r="Q78" s="196"/>
      <c r="R78" s="84">
        <f>1543976.81+307381.2</f>
        <v>1851358.01</v>
      </c>
    </row>
    <row r="79" spans="1:18" s="207" customFormat="1" ht="28.8" customHeight="1" x14ac:dyDescent="0.25">
      <c r="A79" s="262"/>
      <c r="B79" s="35" t="s">
        <v>709</v>
      </c>
      <c r="C79" s="33" t="s">
        <v>710</v>
      </c>
      <c r="D79" s="33" t="s">
        <v>6</v>
      </c>
      <c r="E79" s="107">
        <v>7</v>
      </c>
      <c r="F79" s="107" t="s">
        <v>295</v>
      </c>
      <c r="G79" s="36">
        <f t="shared" si="5"/>
        <v>1691120.88</v>
      </c>
      <c r="H79" s="42">
        <v>1</v>
      </c>
      <c r="I79" s="34">
        <v>0</v>
      </c>
      <c r="J79" s="107" t="s">
        <v>59</v>
      </c>
      <c r="K79" s="107" t="s">
        <v>6</v>
      </c>
      <c r="L79" s="37" t="s">
        <v>165</v>
      </c>
      <c r="M79" s="37" t="s">
        <v>166</v>
      </c>
      <c r="N79" s="107" t="s">
        <v>61</v>
      </c>
      <c r="O79" s="37" t="s">
        <v>78</v>
      </c>
      <c r="P79" s="127" t="s">
        <v>15</v>
      </c>
      <c r="Q79" s="206"/>
      <c r="R79" s="36">
        <f>4042962.4+613226.89+281979.09+1488090.99</f>
        <v>6426259.3700000001</v>
      </c>
    </row>
    <row r="80" spans="1:18" s="207" customFormat="1" ht="33.15" customHeight="1" x14ac:dyDescent="0.25">
      <c r="A80" s="262"/>
      <c r="B80" s="35" t="s">
        <v>711</v>
      </c>
      <c r="C80" s="33" t="s">
        <v>712</v>
      </c>
      <c r="D80" s="33" t="s">
        <v>6</v>
      </c>
      <c r="E80" s="107">
        <v>12</v>
      </c>
      <c r="F80" s="107" t="s">
        <v>296</v>
      </c>
      <c r="G80" s="36">
        <f t="shared" ref="G80:G135" si="11">TRUNC(R80/R$13,2)</f>
        <v>1594825.52</v>
      </c>
      <c r="H80" s="42">
        <v>1</v>
      </c>
      <c r="I80" s="34">
        <v>0</v>
      </c>
      <c r="J80" s="107" t="s">
        <v>59</v>
      </c>
      <c r="K80" s="107" t="s">
        <v>6</v>
      </c>
      <c r="L80" s="37" t="s">
        <v>169</v>
      </c>
      <c r="M80" s="37" t="s">
        <v>170</v>
      </c>
      <c r="N80" s="107" t="s">
        <v>61</v>
      </c>
      <c r="O80" s="37" t="s">
        <v>78</v>
      </c>
      <c r="P80" s="127" t="s">
        <v>15</v>
      </c>
      <c r="Q80" s="206"/>
      <c r="R80" s="36">
        <f>123228.5+20648.01+4460934.84+1371531.3+83994.34</f>
        <v>6060336.9899999993</v>
      </c>
    </row>
    <row r="81" spans="1:18" s="207" customFormat="1" ht="20.25" customHeight="1" x14ac:dyDescent="0.25">
      <c r="A81" s="262"/>
      <c r="B81" s="35" t="s">
        <v>713</v>
      </c>
      <c r="C81" s="33" t="s">
        <v>643</v>
      </c>
      <c r="D81" s="33" t="s">
        <v>6</v>
      </c>
      <c r="E81" s="107">
        <v>7</v>
      </c>
      <c r="F81" s="107" t="s">
        <v>842</v>
      </c>
      <c r="G81" s="36">
        <f t="shared" si="11"/>
        <v>0</v>
      </c>
      <c r="H81" s="42">
        <v>1</v>
      </c>
      <c r="I81" s="34">
        <v>0</v>
      </c>
      <c r="J81" s="107" t="s">
        <v>59</v>
      </c>
      <c r="K81" s="107" t="s">
        <v>6</v>
      </c>
      <c r="L81" s="37" t="s">
        <v>167</v>
      </c>
      <c r="M81" s="37" t="s">
        <v>644</v>
      </c>
      <c r="N81" s="107" t="s">
        <v>61</v>
      </c>
      <c r="O81" s="37" t="s">
        <v>78</v>
      </c>
      <c r="P81" s="186" t="s">
        <v>12</v>
      </c>
      <c r="Q81" s="206"/>
      <c r="R81" s="227"/>
    </row>
    <row r="82" spans="1:18" s="207" customFormat="1" ht="31.35" customHeight="1" x14ac:dyDescent="0.25">
      <c r="A82" s="262"/>
      <c r="B82" s="35" t="s">
        <v>714</v>
      </c>
      <c r="C82" s="33" t="s">
        <v>715</v>
      </c>
      <c r="D82" s="33" t="s">
        <v>6</v>
      </c>
      <c r="E82" s="107">
        <v>7</v>
      </c>
      <c r="F82" s="107" t="s">
        <v>842</v>
      </c>
      <c r="G82" s="36">
        <f t="shared" si="11"/>
        <v>645804.9</v>
      </c>
      <c r="H82" s="42">
        <v>1</v>
      </c>
      <c r="I82" s="34">
        <v>0</v>
      </c>
      <c r="J82" s="107" t="s">
        <v>59</v>
      </c>
      <c r="K82" s="107" t="s">
        <v>6</v>
      </c>
      <c r="L82" s="37" t="s">
        <v>167</v>
      </c>
      <c r="M82" s="37" t="s">
        <v>644</v>
      </c>
      <c r="N82" s="107" t="s">
        <v>61</v>
      </c>
      <c r="O82" s="37" t="s">
        <v>78</v>
      </c>
      <c r="P82" s="176" t="s">
        <v>14</v>
      </c>
      <c r="Q82" s="206"/>
      <c r="R82" s="36">
        <f>895554.07+891589.56+666915</f>
        <v>2454058.63</v>
      </c>
    </row>
    <row r="83" spans="1:18" s="207" customFormat="1" ht="20.25" customHeight="1" x14ac:dyDescent="0.25">
      <c r="A83" s="262"/>
      <c r="B83" s="35" t="s">
        <v>143</v>
      </c>
      <c r="C83" s="33" t="s">
        <v>752</v>
      </c>
      <c r="D83" s="33" t="s">
        <v>6</v>
      </c>
      <c r="E83" s="107">
        <v>2</v>
      </c>
      <c r="F83" s="107" t="s">
        <v>290</v>
      </c>
      <c r="G83" s="36">
        <f t="shared" si="11"/>
        <v>1405174.91</v>
      </c>
      <c r="H83" s="42">
        <v>1</v>
      </c>
      <c r="I83" s="34">
        <v>0</v>
      </c>
      <c r="J83" s="107" t="s">
        <v>59</v>
      </c>
      <c r="K83" s="107" t="s">
        <v>6</v>
      </c>
      <c r="L83" s="37" t="s">
        <v>158</v>
      </c>
      <c r="M83" s="37" t="s">
        <v>159</v>
      </c>
      <c r="N83" s="107" t="s">
        <v>61</v>
      </c>
      <c r="O83" s="37" t="s">
        <v>78</v>
      </c>
      <c r="P83" s="127" t="s">
        <v>15</v>
      </c>
      <c r="Q83" s="206"/>
      <c r="R83" s="36">
        <v>5339664.68</v>
      </c>
    </row>
    <row r="84" spans="1:18" s="207" customFormat="1" ht="20.25" customHeight="1" x14ac:dyDescent="0.25">
      <c r="A84" s="262"/>
      <c r="B84" s="35" t="s">
        <v>716</v>
      </c>
      <c r="C84" s="33" t="s">
        <v>753</v>
      </c>
      <c r="D84" s="33" t="s">
        <v>6</v>
      </c>
      <c r="E84" s="107">
        <v>2</v>
      </c>
      <c r="F84" s="107" t="s">
        <v>291</v>
      </c>
      <c r="G84" s="36">
        <f t="shared" si="11"/>
        <v>1294626.07</v>
      </c>
      <c r="H84" s="42">
        <v>1</v>
      </c>
      <c r="I84" s="34">
        <v>0</v>
      </c>
      <c r="J84" s="107" t="s">
        <v>59</v>
      </c>
      <c r="K84" s="107" t="s">
        <v>6</v>
      </c>
      <c r="L84" s="37" t="s">
        <v>160</v>
      </c>
      <c r="M84" s="37" t="s">
        <v>159</v>
      </c>
      <c r="N84" s="107" t="s">
        <v>61</v>
      </c>
      <c r="O84" s="37" t="s">
        <v>78</v>
      </c>
      <c r="P84" s="127" t="s">
        <v>15</v>
      </c>
      <c r="Q84" s="209"/>
      <c r="R84" s="36">
        <v>4919579.08</v>
      </c>
    </row>
    <row r="85" spans="1:18" s="207" customFormat="1" ht="20.25" customHeight="1" x14ac:dyDescent="0.25">
      <c r="A85" s="262"/>
      <c r="B85" s="35" t="s">
        <v>717</v>
      </c>
      <c r="C85" s="33" t="s">
        <v>754</v>
      </c>
      <c r="D85" s="33" t="s">
        <v>6</v>
      </c>
      <c r="E85" s="107">
        <v>2</v>
      </c>
      <c r="F85" s="107" t="s">
        <v>289</v>
      </c>
      <c r="G85" s="36">
        <f t="shared" si="11"/>
        <v>796961.76</v>
      </c>
      <c r="H85" s="42">
        <v>1</v>
      </c>
      <c r="I85" s="34">
        <v>0</v>
      </c>
      <c r="J85" s="107" t="s">
        <v>59</v>
      </c>
      <c r="K85" s="107" t="s">
        <v>6</v>
      </c>
      <c r="L85" s="37" t="s">
        <v>156</v>
      </c>
      <c r="M85" s="37" t="s">
        <v>157</v>
      </c>
      <c r="N85" s="107" t="s">
        <v>61</v>
      </c>
      <c r="O85" s="37" t="s">
        <v>78</v>
      </c>
      <c r="P85" s="127" t="s">
        <v>15</v>
      </c>
      <c r="Q85" s="206"/>
      <c r="R85" s="36">
        <v>3028454.71</v>
      </c>
    </row>
    <row r="86" spans="1:18" s="207" customFormat="1" ht="20.25" customHeight="1" x14ac:dyDescent="0.25">
      <c r="A86" s="262"/>
      <c r="B86" s="35" t="s">
        <v>718</v>
      </c>
      <c r="C86" s="33" t="s">
        <v>719</v>
      </c>
      <c r="D86" s="33" t="s">
        <v>6</v>
      </c>
      <c r="E86" s="107">
        <v>4</v>
      </c>
      <c r="F86" s="107" t="s">
        <v>307</v>
      </c>
      <c r="G86" s="36">
        <f t="shared" ref="G86" si="12">TRUNC(R86/R$13,2)</f>
        <v>608767.80000000005</v>
      </c>
      <c r="H86" s="42">
        <v>1</v>
      </c>
      <c r="I86" s="34">
        <v>0</v>
      </c>
      <c r="J86" s="107" t="s">
        <v>59</v>
      </c>
      <c r="K86" s="107" t="s">
        <v>6</v>
      </c>
      <c r="L86" s="37" t="s">
        <v>184</v>
      </c>
      <c r="M86" s="37" t="s">
        <v>185</v>
      </c>
      <c r="N86" s="107" t="s">
        <v>61</v>
      </c>
      <c r="O86" s="37" t="s">
        <v>78</v>
      </c>
      <c r="P86" s="127" t="s">
        <v>15</v>
      </c>
      <c r="Q86" s="206"/>
      <c r="R86" s="36">
        <f>108758.82+39992.92+605725.95+1558839.95</f>
        <v>2313317.6399999997</v>
      </c>
    </row>
    <row r="87" spans="1:18" s="207" customFormat="1" ht="27.6" customHeight="1" x14ac:dyDescent="0.25">
      <c r="A87" s="262"/>
      <c r="B87" s="35" t="s">
        <v>654</v>
      </c>
      <c r="C87" s="33" t="s">
        <v>720</v>
      </c>
      <c r="D87" s="33" t="s">
        <v>6</v>
      </c>
      <c r="E87" s="107">
        <v>8</v>
      </c>
      <c r="F87" s="107" t="s">
        <v>306</v>
      </c>
      <c r="G87" s="36">
        <f t="shared" si="11"/>
        <v>619959.51</v>
      </c>
      <c r="H87" s="42">
        <v>1</v>
      </c>
      <c r="I87" s="34">
        <v>0</v>
      </c>
      <c r="J87" s="107" t="s">
        <v>59</v>
      </c>
      <c r="K87" s="107" t="s">
        <v>6</v>
      </c>
      <c r="L87" s="37" t="s">
        <v>182</v>
      </c>
      <c r="M87" s="37" t="s">
        <v>183</v>
      </c>
      <c r="N87" s="107" t="s">
        <v>61</v>
      </c>
      <c r="O87" s="37" t="s">
        <v>78</v>
      </c>
      <c r="P87" s="127" t="s">
        <v>15</v>
      </c>
      <c r="Q87" s="206"/>
      <c r="R87" s="36">
        <f>2319936.15+35910</f>
        <v>2355846.15</v>
      </c>
    </row>
    <row r="88" spans="1:18" s="207" customFormat="1" ht="28.8" customHeight="1" x14ac:dyDescent="0.25">
      <c r="A88" s="262"/>
      <c r="B88" s="35" t="s">
        <v>721</v>
      </c>
      <c r="C88" s="33" t="s">
        <v>722</v>
      </c>
      <c r="D88" s="33" t="s">
        <v>6</v>
      </c>
      <c r="E88" s="107">
        <v>6</v>
      </c>
      <c r="F88" s="107" t="s">
        <v>308</v>
      </c>
      <c r="G88" s="36">
        <f t="shared" si="11"/>
        <v>789655.41</v>
      </c>
      <c r="H88" s="42">
        <v>1</v>
      </c>
      <c r="I88" s="34">
        <v>0</v>
      </c>
      <c r="J88" s="107" t="s">
        <v>59</v>
      </c>
      <c r="K88" s="107" t="s">
        <v>6</v>
      </c>
      <c r="L88" s="37" t="s">
        <v>186</v>
      </c>
      <c r="M88" s="37" t="s">
        <v>187</v>
      </c>
      <c r="N88" s="107" t="s">
        <v>61</v>
      </c>
      <c r="O88" s="37" t="s">
        <v>78</v>
      </c>
      <c r="P88" s="127" t="s">
        <v>15</v>
      </c>
      <c r="Q88" s="206"/>
      <c r="R88" s="36">
        <f>223499.52+1482831.2+603839.6+690520.26</f>
        <v>3000690.58</v>
      </c>
    </row>
    <row r="89" spans="1:18" s="207" customFormat="1" ht="20.25" customHeight="1" x14ac:dyDescent="0.25">
      <c r="A89" s="262"/>
      <c r="B89" s="35" t="s">
        <v>144</v>
      </c>
      <c r="C89" s="33" t="s">
        <v>755</v>
      </c>
      <c r="D89" s="33" t="s">
        <v>6</v>
      </c>
      <c r="E89" s="107">
        <v>8</v>
      </c>
      <c r="F89" s="107" t="s">
        <v>305</v>
      </c>
      <c r="G89" s="36">
        <f t="shared" si="11"/>
        <v>789129.81</v>
      </c>
      <c r="H89" s="42">
        <v>1</v>
      </c>
      <c r="I89" s="34">
        <v>0</v>
      </c>
      <c r="J89" s="107" t="s">
        <v>59</v>
      </c>
      <c r="K89" s="107" t="s">
        <v>6</v>
      </c>
      <c r="L89" s="37" t="s">
        <v>157</v>
      </c>
      <c r="M89" s="37" t="s">
        <v>181</v>
      </c>
      <c r="N89" s="107" t="s">
        <v>61</v>
      </c>
      <c r="O89" s="37" t="s">
        <v>78</v>
      </c>
      <c r="P89" s="127" t="s">
        <v>15</v>
      </c>
      <c r="Q89" s="206"/>
      <c r="R89" s="36">
        <v>2998693.3</v>
      </c>
    </row>
    <row r="90" spans="1:18" s="207" customFormat="1" ht="28.2" customHeight="1" x14ac:dyDescent="0.25">
      <c r="A90" s="262"/>
      <c r="B90" s="35" t="s">
        <v>645</v>
      </c>
      <c r="C90" s="33" t="s">
        <v>723</v>
      </c>
      <c r="D90" s="33" t="s">
        <v>6</v>
      </c>
      <c r="E90" s="107">
        <v>13</v>
      </c>
      <c r="F90" s="107" t="s">
        <v>300</v>
      </c>
      <c r="G90" s="36">
        <f t="shared" si="11"/>
        <v>644838.36</v>
      </c>
      <c r="H90" s="42">
        <v>1</v>
      </c>
      <c r="I90" s="34">
        <v>0</v>
      </c>
      <c r="J90" s="107" t="s">
        <v>59</v>
      </c>
      <c r="K90" s="107" t="s">
        <v>6</v>
      </c>
      <c r="L90" s="37" t="s">
        <v>176</v>
      </c>
      <c r="M90" s="37" t="s">
        <v>127</v>
      </c>
      <c r="N90" s="107" t="s">
        <v>61</v>
      </c>
      <c r="O90" s="37" t="s">
        <v>78</v>
      </c>
      <c r="P90" s="127" t="s">
        <v>15</v>
      </c>
      <c r="Q90" s="206"/>
      <c r="R90" s="36">
        <f>307250.72+589776+355499.73+702497.67+296551.03+198810.64</f>
        <v>2450385.7900000005</v>
      </c>
    </row>
    <row r="91" spans="1:18" s="207" customFormat="1" ht="42" customHeight="1" x14ac:dyDescent="0.25">
      <c r="A91" s="262"/>
      <c r="B91" s="35" t="s">
        <v>646</v>
      </c>
      <c r="C91" s="33" t="s">
        <v>724</v>
      </c>
      <c r="D91" s="33" t="s">
        <v>6</v>
      </c>
      <c r="E91" s="107">
        <v>23</v>
      </c>
      <c r="F91" s="107" t="s">
        <v>301</v>
      </c>
      <c r="G91" s="36">
        <f t="shared" si="11"/>
        <v>699386.36</v>
      </c>
      <c r="H91" s="42">
        <v>1</v>
      </c>
      <c r="I91" s="34">
        <v>0</v>
      </c>
      <c r="J91" s="107" t="s">
        <v>59</v>
      </c>
      <c r="K91" s="107" t="s">
        <v>6</v>
      </c>
      <c r="L91" s="37" t="s">
        <v>176</v>
      </c>
      <c r="M91" s="37" t="s">
        <v>127</v>
      </c>
      <c r="N91" s="107" t="s">
        <v>61</v>
      </c>
      <c r="O91" s="37" t="s">
        <v>78</v>
      </c>
      <c r="P91" s="127" t="s">
        <v>15</v>
      </c>
      <c r="Q91" s="206"/>
      <c r="R91" s="36">
        <f>169907.73+71500+94999.91+205599.33+558823.93+566571.47+43366.78+946899.03</f>
        <v>2657668.1799999997</v>
      </c>
    </row>
    <row r="92" spans="1:18" s="207" customFormat="1" ht="28.2" customHeight="1" x14ac:dyDescent="0.25">
      <c r="A92" s="262"/>
      <c r="B92" s="35" t="s">
        <v>725</v>
      </c>
      <c r="C92" s="33" t="s">
        <v>726</v>
      </c>
      <c r="D92" s="33" t="s">
        <v>6</v>
      </c>
      <c r="E92" s="107">
        <v>17</v>
      </c>
      <c r="F92" s="107" t="s">
        <v>302</v>
      </c>
      <c r="G92" s="36">
        <f t="shared" si="11"/>
        <v>423434.97</v>
      </c>
      <c r="H92" s="42">
        <v>1</v>
      </c>
      <c r="I92" s="34">
        <v>0</v>
      </c>
      <c r="J92" s="107" t="s">
        <v>59</v>
      </c>
      <c r="K92" s="107" t="s">
        <v>6</v>
      </c>
      <c r="L92" s="37" t="s">
        <v>177</v>
      </c>
      <c r="M92" s="37" t="s">
        <v>92</v>
      </c>
      <c r="N92" s="107" t="s">
        <v>61</v>
      </c>
      <c r="O92" s="37" t="s">
        <v>78</v>
      </c>
      <c r="P92" s="127" t="s">
        <v>15</v>
      </c>
      <c r="Q92" s="206"/>
      <c r="R92" s="36">
        <f>438682.17+1170370.72</f>
        <v>1609052.89</v>
      </c>
    </row>
    <row r="93" spans="1:18" s="207" customFormat="1" ht="28.8" customHeight="1" x14ac:dyDescent="0.25">
      <c r="A93" s="262"/>
      <c r="B93" s="35" t="s">
        <v>727</v>
      </c>
      <c r="C93" s="33" t="s">
        <v>728</v>
      </c>
      <c r="D93" s="33" t="s">
        <v>6</v>
      </c>
      <c r="E93" s="107">
        <v>11</v>
      </c>
      <c r="F93" s="107" t="s">
        <v>304</v>
      </c>
      <c r="G93" s="36">
        <f t="shared" si="11"/>
        <v>407900.84</v>
      </c>
      <c r="H93" s="42">
        <v>1</v>
      </c>
      <c r="I93" s="34">
        <v>0</v>
      </c>
      <c r="J93" s="107" t="s">
        <v>59</v>
      </c>
      <c r="K93" s="107" t="s">
        <v>6</v>
      </c>
      <c r="L93" s="37" t="s">
        <v>178</v>
      </c>
      <c r="M93" s="37" t="s">
        <v>180</v>
      </c>
      <c r="N93" s="107" t="s">
        <v>61</v>
      </c>
      <c r="O93" s="37" t="s">
        <v>78</v>
      </c>
      <c r="P93" s="127" t="s">
        <v>15</v>
      </c>
      <c r="Q93" s="206"/>
      <c r="R93" s="36">
        <f>20389.32+208999.99+66998.02+670838.79+349418.93+161878.16+71500</f>
        <v>1550023.21</v>
      </c>
    </row>
    <row r="94" spans="1:18" s="207" customFormat="1" ht="28.8" customHeight="1" x14ac:dyDescent="0.25">
      <c r="A94" s="262"/>
      <c r="B94" s="35" t="s">
        <v>729</v>
      </c>
      <c r="C94" s="33" t="s">
        <v>730</v>
      </c>
      <c r="D94" s="33" t="s">
        <v>6</v>
      </c>
      <c r="E94" s="107">
        <v>11</v>
      </c>
      <c r="F94" s="107" t="s">
        <v>303</v>
      </c>
      <c r="G94" s="36">
        <f t="shared" si="11"/>
        <v>295318.17</v>
      </c>
      <c r="H94" s="42">
        <v>1</v>
      </c>
      <c r="I94" s="34">
        <v>0</v>
      </c>
      <c r="J94" s="107" t="s">
        <v>59</v>
      </c>
      <c r="K94" s="107" t="s">
        <v>6</v>
      </c>
      <c r="L94" s="37" t="s">
        <v>178</v>
      </c>
      <c r="M94" s="37" t="s">
        <v>179</v>
      </c>
      <c r="N94" s="107" t="s">
        <v>61</v>
      </c>
      <c r="O94" s="37" t="s">
        <v>78</v>
      </c>
      <c r="P94" s="127" t="s">
        <v>15</v>
      </c>
      <c r="Q94" s="206"/>
      <c r="R94" s="36">
        <f>623510.65+195800+302898.43</f>
        <v>1122209.08</v>
      </c>
    </row>
    <row r="95" spans="1:18" s="207" customFormat="1" ht="20.25" customHeight="1" x14ac:dyDescent="0.25">
      <c r="A95" s="262"/>
      <c r="B95" s="35" t="s">
        <v>845</v>
      </c>
      <c r="C95" s="33" t="s">
        <v>837</v>
      </c>
      <c r="D95" s="33" t="s">
        <v>6</v>
      </c>
      <c r="E95" s="107">
        <v>8</v>
      </c>
      <c r="F95" s="107" t="s">
        <v>606</v>
      </c>
      <c r="G95" s="36">
        <f t="shared" si="11"/>
        <v>0</v>
      </c>
      <c r="H95" s="42">
        <v>1</v>
      </c>
      <c r="I95" s="34">
        <v>0</v>
      </c>
      <c r="J95" s="107" t="s">
        <v>59</v>
      </c>
      <c r="K95" s="107" t="s">
        <v>6</v>
      </c>
      <c r="L95" s="37" t="s">
        <v>170</v>
      </c>
      <c r="M95" s="37" t="s">
        <v>607</v>
      </c>
      <c r="N95" s="107" t="s">
        <v>61</v>
      </c>
      <c r="O95" s="37" t="s">
        <v>78</v>
      </c>
      <c r="P95" s="186" t="s">
        <v>12</v>
      </c>
      <c r="Q95" s="206"/>
      <c r="R95" s="227"/>
    </row>
    <row r="96" spans="1:18" s="207" customFormat="1" ht="28.2" customHeight="1" x14ac:dyDescent="0.25">
      <c r="A96" s="262"/>
      <c r="B96" s="35" t="s">
        <v>846</v>
      </c>
      <c r="C96" s="33" t="s">
        <v>731</v>
      </c>
      <c r="D96" s="33" t="s">
        <v>6</v>
      </c>
      <c r="E96" s="107">
        <v>8</v>
      </c>
      <c r="F96" s="107" t="s">
        <v>606</v>
      </c>
      <c r="G96" s="36">
        <f t="shared" si="11"/>
        <v>110109.97</v>
      </c>
      <c r="H96" s="42">
        <v>1</v>
      </c>
      <c r="I96" s="34">
        <v>0</v>
      </c>
      <c r="J96" s="107" t="s">
        <v>59</v>
      </c>
      <c r="K96" s="107" t="s">
        <v>6</v>
      </c>
      <c r="L96" s="37" t="s">
        <v>170</v>
      </c>
      <c r="M96" s="37" t="s">
        <v>607</v>
      </c>
      <c r="N96" s="107" t="s">
        <v>61</v>
      </c>
      <c r="O96" s="37" t="s">
        <v>78</v>
      </c>
      <c r="P96" s="127" t="s">
        <v>15</v>
      </c>
      <c r="Q96" s="206"/>
      <c r="R96" s="36">
        <f>235218+138700+44499.9</f>
        <v>418417.9</v>
      </c>
    </row>
    <row r="97" spans="1:21" s="207" customFormat="1" ht="20.25" customHeight="1" x14ac:dyDescent="0.25">
      <c r="A97" s="262"/>
      <c r="B97" s="35" t="s">
        <v>732</v>
      </c>
      <c r="C97" s="33" t="s">
        <v>838</v>
      </c>
      <c r="D97" s="33" t="s">
        <v>6</v>
      </c>
      <c r="E97" s="107">
        <v>2</v>
      </c>
      <c r="F97" s="107" t="s">
        <v>294</v>
      </c>
      <c r="G97" s="36">
        <f t="shared" si="11"/>
        <v>1693630.75</v>
      </c>
      <c r="H97" s="42">
        <v>1</v>
      </c>
      <c r="I97" s="34">
        <v>0</v>
      </c>
      <c r="J97" s="107" t="s">
        <v>59</v>
      </c>
      <c r="K97" s="107" t="s">
        <v>6</v>
      </c>
      <c r="L97" s="37" t="s">
        <v>161</v>
      </c>
      <c r="M97" s="37" t="s">
        <v>110</v>
      </c>
      <c r="N97" s="107" t="s">
        <v>61</v>
      </c>
      <c r="O97" s="37" t="s">
        <v>78</v>
      </c>
      <c r="P97" s="176" t="s">
        <v>14</v>
      </c>
      <c r="Q97" s="206"/>
      <c r="R97" s="36">
        <v>6435796.8700000001</v>
      </c>
    </row>
    <row r="98" spans="1:21" s="207" customFormat="1" ht="20.25" customHeight="1" x14ac:dyDescent="0.25">
      <c r="A98" s="262"/>
      <c r="B98" s="35" t="s">
        <v>733</v>
      </c>
      <c r="C98" s="33" t="s">
        <v>839</v>
      </c>
      <c r="D98" s="33" t="s">
        <v>6</v>
      </c>
      <c r="E98" s="107">
        <v>2</v>
      </c>
      <c r="F98" s="107" t="s">
        <v>292</v>
      </c>
      <c r="G98" s="36">
        <f t="shared" si="11"/>
        <v>1069823.31</v>
      </c>
      <c r="H98" s="42">
        <v>1</v>
      </c>
      <c r="I98" s="34">
        <v>0</v>
      </c>
      <c r="J98" s="107" t="s">
        <v>59</v>
      </c>
      <c r="K98" s="107" t="s">
        <v>6</v>
      </c>
      <c r="L98" s="37" t="s">
        <v>161</v>
      </c>
      <c r="M98" s="37" t="s">
        <v>162</v>
      </c>
      <c r="N98" s="107" t="s">
        <v>61</v>
      </c>
      <c r="O98" s="37" t="s">
        <v>78</v>
      </c>
      <c r="P98" s="176" t="s">
        <v>14</v>
      </c>
      <c r="Q98" s="206"/>
      <c r="R98" s="36">
        <v>4065328.6</v>
      </c>
    </row>
    <row r="99" spans="1:21" s="218" customFormat="1" ht="20.25" customHeight="1" x14ac:dyDescent="0.25">
      <c r="A99" s="262"/>
      <c r="B99" s="35" t="s">
        <v>734</v>
      </c>
      <c r="C99" s="33" t="s">
        <v>840</v>
      </c>
      <c r="D99" s="33" t="s">
        <v>6</v>
      </c>
      <c r="E99" s="107">
        <v>2</v>
      </c>
      <c r="F99" s="107" t="s">
        <v>293</v>
      </c>
      <c r="G99" s="36">
        <f t="shared" si="11"/>
        <v>1928413.27</v>
      </c>
      <c r="H99" s="42">
        <v>1</v>
      </c>
      <c r="I99" s="34">
        <v>0</v>
      </c>
      <c r="J99" s="107" t="s">
        <v>59</v>
      </c>
      <c r="K99" s="107" t="s">
        <v>6</v>
      </c>
      <c r="L99" s="37" t="s">
        <v>163</v>
      </c>
      <c r="M99" s="37" t="s">
        <v>164</v>
      </c>
      <c r="N99" s="107" t="s">
        <v>61</v>
      </c>
      <c r="O99" s="37" t="s">
        <v>78</v>
      </c>
      <c r="P99" s="176" t="s">
        <v>14</v>
      </c>
      <c r="Q99" s="206"/>
      <c r="R99" s="36">
        <v>7327970.4500000002</v>
      </c>
      <c r="S99" s="219"/>
      <c r="T99" s="221"/>
      <c r="U99" s="219"/>
    </row>
    <row r="100" spans="1:21" s="218" customFormat="1" ht="20.25" customHeight="1" x14ac:dyDescent="0.25">
      <c r="A100" s="262"/>
      <c r="B100" s="35" t="s">
        <v>735</v>
      </c>
      <c r="C100" s="33" t="s">
        <v>841</v>
      </c>
      <c r="D100" s="33" t="s">
        <v>6</v>
      </c>
      <c r="E100" s="107">
        <v>2</v>
      </c>
      <c r="F100" s="107" t="s">
        <v>320</v>
      </c>
      <c r="G100" s="36">
        <f t="shared" si="11"/>
        <v>410207.67</v>
      </c>
      <c r="H100" s="42">
        <v>1</v>
      </c>
      <c r="I100" s="34">
        <v>0</v>
      </c>
      <c r="J100" s="107" t="s">
        <v>59</v>
      </c>
      <c r="K100" s="107" t="s">
        <v>6</v>
      </c>
      <c r="L100" s="37" t="s">
        <v>202</v>
      </c>
      <c r="M100" s="37" t="s">
        <v>203</v>
      </c>
      <c r="N100" s="107" t="s">
        <v>61</v>
      </c>
      <c r="O100" s="37" t="s">
        <v>78</v>
      </c>
      <c r="P100" s="176" t="s">
        <v>14</v>
      </c>
      <c r="Q100" s="206"/>
      <c r="R100" s="36">
        <v>1558789.15</v>
      </c>
      <c r="S100" s="219"/>
      <c r="T100" s="221"/>
      <c r="U100" s="219"/>
    </row>
    <row r="101" spans="1:21" s="218" customFormat="1" ht="28.2" customHeight="1" x14ac:dyDescent="0.25">
      <c r="A101" s="262"/>
      <c r="B101" s="35" t="s">
        <v>647</v>
      </c>
      <c r="C101" s="33" t="s">
        <v>736</v>
      </c>
      <c r="D101" s="33" t="s">
        <v>6</v>
      </c>
      <c r="E101" s="107">
        <v>4</v>
      </c>
      <c r="F101" s="107" t="s">
        <v>310</v>
      </c>
      <c r="G101" s="36">
        <f t="shared" ref="G101" si="13">TRUNC(R101/R$13,2)</f>
        <v>1152795.77</v>
      </c>
      <c r="H101" s="42">
        <v>1</v>
      </c>
      <c r="I101" s="34">
        <v>0</v>
      </c>
      <c r="J101" s="107" t="s">
        <v>59</v>
      </c>
      <c r="K101" s="107" t="s">
        <v>6</v>
      </c>
      <c r="L101" s="37" t="s">
        <v>190</v>
      </c>
      <c r="M101" s="37" t="s">
        <v>191</v>
      </c>
      <c r="N101" s="107" t="s">
        <v>61</v>
      </c>
      <c r="O101" s="37" t="s">
        <v>78</v>
      </c>
      <c r="P101" s="176" t="s">
        <v>14</v>
      </c>
      <c r="Q101" s="206"/>
      <c r="R101" s="36">
        <f>179975.76+61649+1362999.56+2775999.61</f>
        <v>4380623.93</v>
      </c>
      <c r="S101" s="219"/>
      <c r="T101" s="221"/>
      <c r="U101" s="219"/>
    </row>
    <row r="102" spans="1:21" s="218" customFormat="1" ht="20.25" customHeight="1" x14ac:dyDescent="0.25">
      <c r="A102" s="262"/>
      <c r="B102" s="35" t="s">
        <v>737</v>
      </c>
      <c r="C102" s="33" t="s">
        <v>751</v>
      </c>
      <c r="D102" s="33" t="s">
        <v>6</v>
      </c>
      <c r="E102" s="107">
        <v>2</v>
      </c>
      <c r="F102" s="107" t="s">
        <v>318</v>
      </c>
      <c r="G102" s="36">
        <f t="shared" ref="G102:G106" si="14">TRUNC(R102/R$13,2)</f>
        <v>978128.69</v>
      </c>
      <c r="H102" s="42">
        <v>1</v>
      </c>
      <c r="I102" s="34">
        <v>0</v>
      </c>
      <c r="J102" s="107" t="s">
        <v>59</v>
      </c>
      <c r="K102" s="107" t="s">
        <v>6</v>
      </c>
      <c r="L102" s="37" t="s">
        <v>190</v>
      </c>
      <c r="M102" s="37" t="s">
        <v>164</v>
      </c>
      <c r="N102" s="107" t="s">
        <v>61</v>
      </c>
      <c r="O102" s="37" t="s">
        <v>78</v>
      </c>
      <c r="P102" s="176" t="s">
        <v>14</v>
      </c>
      <c r="Q102" s="206"/>
      <c r="R102" s="36">
        <v>3716889.05</v>
      </c>
      <c r="S102" s="219"/>
      <c r="T102" s="221"/>
      <c r="U102" s="219"/>
    </row>
    <row r="103" spans="1:21" s="218" customFormat="1" ht="27.6" customHeight="1" x14ac:dyDescent="0.25">
      <c r="A103" s="262"/>
      <c r="B103" s="35" t="s">
        <v>738</v>
      </c>
      <c r="C103" s="33" t="s">
        <v>739</v>
      </c>
      <c r="D103" s="33" t="s">
        <v>6</v>
      </c>
      <c r="E103" s="107">
        <v>4</v>
      </c>
      <c r="F103" s="107" t="s">
        <v>309</v>
      </c>
      <c r="G103" s="36">
        <f t="shared" si="14"/>
        <v>650613.04</v>
      </c>
      <c r="H103" s="42">
        <v>1</v>
      </c>
      <c r="I103" s="34">
        <v>0</v>
      </c>
      <c r="J103" s="107" t="s">
        <v>59</v>
      </c>
      <c r="K103" s="107" t="s">
        <v>6</v>
      </c>
      <c r="L103" s="37" t="s">
        <v>188</v>
      </c>
      <c r="M103" s="37" t="s">
        <v>189</v>
      </c>
      <c r="N103" s="107" t="s">
        <v>61</v>
      </c>
      <c r="O103" s="37" t="s">
        <v>78</v>
      </c>
      <c r="P103" s="176" t="s">
        <v>14</v>
      </c>
      <c r="Q103" s="206"/>
      <c r="R103" s="36">
        <f>86730.13+30000+765600+1589999.43</f>
        <v>2472329.56</v>
      </c>
      <c r="S103" s="219"/>
      <c r="T103" s="221"/>
      <c r="U103" s="219"/>
    </row>
    <row r="104" spans="1:21" s="218" customFormat="1" ht="20.25" customHeight="1" x14ac:dyDescent="0.25">
      <c r="A104" s="262"/>
      <c r="B104" s="35" t="s">
        <v>740</v>
      </c>
      <c r="C104" s="33" t="s">
        <v>664</v>
      </c>
      <c r="D104" s="33" t="s">
        <v>6</v>
      </c>
      <c r="E104" s="107">
        <v>2</v>
      </c>
      <c r="F104" s="107" t="s">
        <v>665</v>
      </c>
      <c r="G104" s="36">
        <f t="shared" si="14"/>
        <v>0</v>
      </c>
      <c r="H104" s="42">
        <v>1</v>
      </c>
      <c r="I104" s="34">
        <v>0</v>
      </c>
      <c r="J104" s="107" t="s">
        <v>59</v>
      </c>
      <c r="K104" s="107" t="s">
        <v>6</v>
      </c>
      <c r="L104" s="37" t="s">
        <v>666</v>
      </c>
      <c r="M104" s="37" t="s">
        <v>667</v>
      </c>
      <c r="N104" s="107" t="s">
        <v>61</v>
      </c>
      <c r="O104" s="37" t="s">
        <v>78</v>
      </c>
      <c r="P104" s="186" t="s">
        <v>12</v>
      </c>
      <c r="Q104" s="206"/>
      <c r="R104" s="227"/>
      <c r="S104" s="219"/>
      <c r="T104" s="221"/>
      <c r="U104" s="219"/>
    </row>
    <row r="105" spans="1:21" s="218" customFormat="1" ht="28.2" customHeight="1" x14ac:dyDescent="0.25">
      <c r="A105" s="262"/>
      <c r="B105" s="35" t="s">
        <v>773</v>
      </c>
      <c r="C105" s="33" t="s">
        <v>774</v>
      </c>
      <c r="D105" s="33" t="s">
        <v>6</v>
      </c>
      <c r="E105" s="107">
        <v>4</v>
      </c>
      <c r="F105" s="107" t="s">
        <v>771</v>
      </c>
      <c r="G105" s="36">
        <f t="shared" si="14"/>
        <v>1200784.3700000001</v>
      </c>
      <c r="H105" s="42">
        <v>1</v>
      </c>
      <c r="I105" s="34">
        <v>0</v>
      </c>
      <c r="J105" s="107" t="s">
        <v>59</v>
      </c>
      <c r="K105" s="107" t="s">
        <v>6</v>
      </c>
      <c r="L105" s="37" t="s">
        <v>769</v>
      </c>
      <c r="M105" s="37" t="s">
        <v>772</v>
      </c>
      <c r="N105" s="107" t="s">
        <v>61</v>
      </c>
      <c r="O105" s="37" t="s">
        <v>78</v>
      </c>
      <c r="P105" s="176" t="s">
        <v>14</v>
      </c>
      <c r="Q105" s="206"/>
      <c r="R105" s="36">
        <f>1062554.6+3500426.04</f>
        <v>4562980.6400000006</v>
      </c>
      <c r="S105" s="219"/>
      <c r="T105" s="221"/>
      <c r="U105" s="219"/>
    </row>
    <row r="106" spans="1:21" s="218" customFormat="1" ht="30" customHeight="1" x14ac:dyDescent="0.25">
      <c r="A106" s="262"/>
      <c r="B106" s="35" t="s">
        <v>776</v>
      </c>
      <c r="C106" s="33" t="s">
        <v>775</v>
      </c>
      <c r="D106" s="33" t="s">
        <v>6</v>
      </c>
      <c r="E106" s="107">
        <v>4</v>
      </c>
      <c r="F106" s="107" t="s">
        <v>777</v>
      </c>
      <c r="G106" s="36">
        <f t="shared" si="14"/>
        <v>977615.41</v>
      </c>
      <c r="H106" s="42">
        <v>1</v>
      </c>
      <c r="I106" s="34">
        <v>0</v>
      </c>
      <c r="J106" s="107" t="s">
        <v>59</v>
      </c>
      <c r="K106" s="107" t="s">
        <v>6</v>
      </c>
      <c r="L106" s="37" t="s">
        <v>770</v>
      </c>
      <c r="M106" s="37" t="s">
        <v>778</v>
      </c>
      <c r="N106" s="107" t="s">
        <v>61</v>
      </c>
      <c r="O106" s="37" t="s">
        <v>78</v>
      </c>
      <c r="P106" s="176" t="s">
        <v>14</v>
      </c>
      <c r="Q106" s="206"/>
      <c r="R106" s="36">
        <f>917142+2797796.57</f>
        <v>3714938.57</v>
      </c>
      <c r="S106" s="219"/>
      <c r="T106" s="221"/>
      <c r="U106" s="219"/>
    </row>
    <row r="107" spans="1:21" s="218" customFormat="1" ht="20.25" customHeight="1" x14ac:dyDescent="0.25">
      <c r="A107" s="262"/>
      <c r="B107" s="35" t="s">
        <v>779</v>
      </c>
      <c r="C107" s="33" t="s">
        <v>668</v>
      </c>
      <c r="D107" s="33" t="s">
        <v>6</v>
      </c>
      <c r="E107" s="107">
        <v>2</v>
      </c>
      <c r="F107" s="107" t="s">
        <v>663</v>
      </c>
      <c r="G107" s="36">
        <f>TRUNC(R107/R$13,2)</f>
        <v>0</v>
      </c>
      <c r="H107" s="42">
        <v>1</v>
      </c>
      <c r="I107" s="34">
        <v>0</v>
      </c>
      <c r="J107" s="107" t="s">
        <v>59</v>
      </c>
      <c r="K107" s="107" t="s">
        <v>6</v>
      </c>
      <c r="L107" s="37" t="s">
        <v>669</v>
      </c>
      <c r="M107" s="37" t="s">
        <v>670</v>
      </c>
      <c r="N107" s="107" t="s">
        <v>61</v>
      </c>
      <c r="O107" s="37" t="s">
        <v>78</v>
      </c>
      <c r="P107" s="186" t="s">
        <v>12</v>
      </c>
      <c r="Q107" s="206"/>
      <c r="R107" s="227"/>
      <c r="S107" s="219"/>
      <c r="T107" s="221"/>
      <c r="U107" s="219"/>
    </row>
    <row r="108" spans="1:21" s="218" customFormat="1" ht="20.25" customHeight="1" x14ac:dyDescent="0.25">
      <c r="A108" s="262"/>
      <c r="B108" s="35" t="s">
        <v>741</v>
      </c>
      <c r="C108" s="33" t="s">
        <v>744</v>
      </c>
      <c r="D108" s="33" t="s">
        <v>6</v>
      </c>
      <c r="E108" s="107">
        <v>2</v>
      </c>
      <c r="F108" s="107" t="s">
        <v>311</v>
      </c>
      <c r="G108" s="36">
        <f t="shared" si="11"/>
        <v>0</v>
      </c>
      <c r="H108" s="42">
        <v>1</v>
      </c>
      <c r="I108" s="34">
        <v>0</v>
      </c>
      <c r="J108" s="107" t="s">
        <v>59</v>
      </c>
      <c r="K108" s="107" t="s">
        <v>6</v>
      </c>
      <c r="L108" s="37" t="s">
        <v>192</v>
      </c>
      <c r="M108" s="37" t="s">
        <v>648</v>
      </c>
      <c r="N108" s="107" t="s">
        <v>61</v>
      </c>
      <c r="O108" s="37" t="s">
        <v>78</v>
      </c>
      <c r="P108" s="186" t="s">
        <v>12</v>
      </c>
      <c r="Q108" s="206"/>
      <c r="R108" s="227"/>
      <c r="S108" s="219"/>
      <c r="T108" s="221"/>
      <c r="U108" s="219"/>
    </row>
    <row r="109" spans="1:21" s="218" customFormat="1" ht="20.25" customHeight="1" x14ac:dyDescent="0.25">
      <c r="A109" s="262"/>
      <c r="B109" s="35" t="s">
        <v>780</v>
      </c>
      <c r="C109" s="33" t="s">
        <v>750</v>
      </c>
      <c r="D109" s="33" t="s">
        <v>6</v>
      </c>
      <c r="E109" s="107">
        <v>4</v>
      </c>
      <c r="F109" s="107" t="s">
        <v>323</v>
      </c>
      <c r="G109" s="36">
        <f>TRUNC(R109/R$13,2)</f>
        <v>252151.93</v>
      </c>
      <c r="H109" s="42">
        <v>1</v>
      </c>
      <c r="I109" s="34">
        <v>0</v>
      </c>
      <c r="J109" s="107" t="s">
        <v>59</v>
      </c>
      <c r="K109" s="107" t="s">
        <v>6</v>
      </c>
      <c r="L109" s="37" t="s">
        <v>192</v>
      </c>
      <c r="M109" s="37" t="s">
        <v>168</v>
      </c>
      <c r="N109" s="107" t="s">
        <v>61</v>
      </c>
      <c r="O109" s="37" t="s">
        <v>78</v>
      </c>
      <c r="P109" s="176" t="s">
        <v>14</v>
      </c>
      <c r="Q109" s="206"/>
      <c r="R109" s="36">
        <f>417499.77+222899.92+317777.65</f>
        <v>958177.34000000008</v>
      </c>
      <c r="S109" s="219"/>
      <c r="T109" s="221"/>
      <c r="U109" s="219"/>
    </row>
    <row r="110" spans="1:21" s="218" customFormat="1" ht="20.25" customHeight="1" x14ac:dyDescent="0.25">
      <c r="A110" s="262"/>
      <c r="B110" s="35" t="s">
        <v>652</v>
      </c>
      <c r="C110" s="33" t="s">
        <v>659</v>
      </c>
      <c r="D110" s="33" t="s">
        <v>6</v>
      </c>
      <c r="E110" s="107">
        <v>10</v>
      </c>
      <c r="F110" s="107" t="s">
        <v>319</v>
      </c>
      <c r="G110" s="36">
        <f t="shared" ref="G110:G113" si="15">TRUNC(R110/R$13,2)</f>
        <v>0</v>
      </c>
      <c r="H110" s="42">
        <v>1</v>
      </c>
      <c r="I110" s="34">
        <v>0</v>
      </c>
      <c r="J110" s="107" t="s">
        <v>59</v>
      </c>
      <c r="K110" s="107" t="s">
        <v>6</v>
      </c>
      <c r="L110" s="37" t="s">
        <v>164</v>
      </c>
      <c r="M110" s="37" t="s">
        <v>104</v>
      </c>
      <c r="N110" s="107" t="s">
        <v>61</v>
      </c>
      <c r="O110" s="37" t="s">
        <v>78</v>
      </c>
      <c r="P110" s="186" t="s">
        <v>12</v>
      </c>
      <c r="Q110" s="206"/>
      <c r="R110" s="227"/>
      <c r="S110" s="219"/>
      <c r="T110" s="221"/>
      <c r="U110" s="219"/>
    </row>
    <row r="111" spans="1:21" s="218" customFormat="1" ht="28.2" customHeight="1" x14ac:dyDescent="0.25">
      <c r="A111" s="262"/>
      <c r="B111" s="35" t="s">
        <v>781</v>
      </c>
      <c r="C111" s="33" t="s">
        <v>742</v>
      </c>
      <c r="D111" s="33" t="s">
        <v>6</v>
      </c>
      <c r="E111" s="107">
        <v>10</v>
      </c>
      <c r="F111" s="107" t="s">
        <v>319</v>
      </c>
      <c r="G111" s="36">
        <f t="shared" si="15"/>
        <v>1462291.13</v>
      </c>
      <c r="H111" s="42">
        <v>1</v>
      </c>
      <c r="I111" s="34">
        <v>0</v>
      </c>
      <c r="J111" s="107" t="s">
        <v>59</v>
      </c>
      <c r="K111" s="107" t="s">
        <v>6</v>
      </c>
      <c r="L111" s="37" t="s">
        <v>164</v>
      </c>
      <c r="M111" s="37" t="s">
        <v>104</v>
      </c>
      <c r="N111" s="107" t="s">
        <v>61</v>
      </c>
      <c r="O111" s="37" t="s">
        <v>78</v>
      </c>
      <c r="P111" s="176" t="s">
        <v>14</v>
      </c>
      <c r="Q111" s="206"/>
      <c r="R111" s="36">
        <f>5187731.04+368975.27</f>
        <v>5556706.3100000005</v>
      </c>
      <c r="S111" s="219"/>
      <c r="T111" s="221"/>
      <c r="U111" s="219"/>
    </row>
    <row r="112" spans="1:21" s="218" customFormat="1" ht="20.25" customHeight="1" x14ac:dyDescent="0.25">
      <c r="A112" s="262"/>
      <c r="B112" s="35" t="s">
        <v>782</v>
      </c>
      <c r="C112" s="33" t="s">
        <v>743</v>
      </c>
      <c r="D112" s="33" t="s">
        <v>6</v>
      </c>
      <c r="E112" s="107">
        <v>5</v>
      </c>
      <c r="F112" s="107" t="s">
        <v>321</v>
      </c>
      <c r="G112" s="36">
        <f t="shared" si="15"/>
        <v>1214723.49</v>
      </c>
      <c r="H112" s="42">
        <v>1</v>
      </c>
      <c r="I112" s="34">
        <v>0</v>
      </c>
      <c r="J112" s="107" t="s">
        <v>59</v>
      </c>
      <c r="K112" s="107" t="s">
        <v>6</v>
      </c>
      <c r="L112" s="37" t="s">
        <v>204</v>
      </c>
      <c r="M112" s="37" t="s">
        <v>651</v>
      </c>
      <c r="N112" s="107" t="s">
        <v>61</v>
      </c>
      <c r="O112" s="37" t="s">
        <v>78</v>
      </c>
      <c r="P112" s="176" t="s">
        <v>14</v>
      </c>
      <c r="Q112" s="206"/>
      <c r="R112" s="36">
        <f>56013.5+346207.86+(2468323.87+810854.99)+934549.07</f>
        <v>4615949.29</v>
      </c>
      <c r="S112" s="219"/>
      <c r="T112" s="221"/>
      <c r="U112" s="219"/>
    </row>
    <row r="113" spans="1:21" s="218" customFormat="1" ht="20.25" customHeight="1" x14ac:dyDescent="0.25">
      <c r="A113" s="262"/>
      <c r="B113" s="35" t="s">
        <v>749</v>
      </c>
      <c r="C113" s="33" t="s">
        <v>791</v>
      </c>
      <c r="D113" s="33" t="s">
        <v>6</v>
      </c>
      <c r="E113" s="107">
        <v>4</v>
      </c>
      <c r="F113" s="107" t="s">
        <v>792</v>
      </c>
      <c r="G113" s="36">
        <f t="shared" si="15"/>
        <v>0</v>
      </c>
      <c r="H113" s="42">
        <v>1</v>
      </c>
      <c r="I113" s="34">
        <v>0</v>
      </c>
      <c r="J113" s="107" t="s">
        <v>59</v>
      </c>
      <c r="K113" s="107" t="s">
        <v>6</v>
      </c>
      <c r="L113" s="37" t="s">
        <v>793</v>
      </c>
      <c r="M113" s="37" t="s">
        <v>132</v>
      </c>
      <c r="N113" s="107" t="s">
        <v>61</v>
      </c>
      <c r="O113" s="37" t="s">
        <v>78</v>
      </c>
      <c r="P113" s="186" t="s">
        <v>12</v>
      </c>
      <c r="Q113" s="206"/>
      <c r="R113" s="36"/>
      <c r="S113" s="219"/>
      <c r="T113" s="221"/>
      <c r="U113" s="219"/>
    </row>
    <row r="114" spans="1:21" s="218" customFormat="1" ht="20.100000000000001" customHeight="1" x14ac:dyDescent="0.25">
      <c r="A114" s="262"/>
      <c r="B114" s="35" t="s">
        <v>783</v>
      </c>
      <c r="C114" s="33" t="s">
        <v>745</v>
      </c>
      <c r="D114" s="33" t="s">
        <v>6</v>
      </c>
      <c r="E114" s="107">
        <v>12</v>
      </c>
      <c r="F114" s="107" t="s">
        <v>639</v>
      </c>
      <c r="G114" s="36">
        <f t="shared" ref="G114" si="16">TRUNC(R114/R$13,2)</f>
        <v>0</v>
      </c>
      <c r="H114" s="42">
        <v>1</v>
      </c>
      <c r="I114" s="34">
        <v>0</v>
      </c>
      <c r="J114" s="107" t="s">
        <v>59</v>
      </c>
      <c r="K114" s="107" t="s">
        <v>6</v>
      </c>
      <c r="L114" s="37" t="s">
        <v>640</v>
      </c>
      <c r="M114" s="37" t="s">
        <v>129</v>
      </c>
      <c r="N114" s="107" t="s">
        <v>61</v>
      </c>
      <c r="O114" s="37" t="s">
        <v>642</v>
      </c>
      <c r="P114" s="186" t="s">
        <v>12</v>
      </c>
      <c r="Q114" s="206"/>
      <c r="R114" s="227"/>
      <c r="S114" s="219"/>
      <c r="T114" s="221"/>
      <c r="U114" s="219"/>
    </row>
    <row r="115" spans="1:21" s="218" customFormat="1" ht="20.100000000000001" customHeight="1" x14ac:dyDescent="0.25">
      <c r="A115" s="262"/>
      <c r="B115" s="35" t="s">
        <v>146</v>
      </c>
      <c r="C115" s="33" t="s">
        <v>746</v>
      </c>
      <c r="D115" s="33" t="s">
        <v>6</v>
      </c>
      <c r="E115" s="107">
        <v>12</v>
      </c>
      <c r="F115" s="107" t="s">
        <v>639</v>
      </c>
      <c r="G115" s="36">
        <f t="shared" si="11"/>
        <v>26332.1</v>
      </c>
      <c r="H115" s="42">
        <v>1</v>
      </c>
      <c r="I115" s="34">
        <v>0</v>
      </c>
      <c r="J115" s="107" t="s">
        <v>59</v>
      </c>
      <c r="K115" s="107" t="s">
        <v>6</v>
      </c>
      <c r="L115" s="37" t="s">
        <v>640</v>
      </c>
      <c r="M115" s="37" t="s">
        <v>129</v>
      </c>
      <c r="N115" s="107" t="s">
        <v>61</v>
      </c>
      <c r="O115" s="37" t="s">
        <v>642</v>
      </c>
      <c r="P115" s="176" t="s">
        <v>14</v>
      </c>
      <c r="Q115" s="206"/>
      <c r="R115" s="36">
        <v>100062</v>
      </c>
      <c r="S115" s="219"/>
      <c r="T115" s="221"/>
      <c r="U115" s="219"/>
    </row>
    <row r="116" spans="1:21" s="218" customFormat="1" ht="20.25" customHeight="1" x14ac:dyDescent="0.25">
      <c r="A116" s="262"/>
      <c r="B116" s="35" t="s">
        <v>784</v>
      </c>
      <c r="C116" s="33" t="s">
        <v>747</v>
      </c>
      <c r="D116" s="33" t="s">
        <v>6</v>
      </c>
      <c r="E116" s="107">
        <v>10</v>
      </c>
      <c r="F116" s="107" t="s">
        <v>316</v>
      </c>
      <c r="G116" s="36">
        <f t="shared" ref="G116:G117" si="17">TRUNC(R116/R$13,2)</f>
        <v>0</v>
      </c>
      <c r="H116" s="42">
        <v>1</v>
      </c>
      <c r="I116" s="34">
        <v>0</v>
      </c>
      <c r="J116" s="107" t="s">
        <v>59</v>
      </c>
      <c r="K116" s="107" t="s">
        <v>6</v>
      </c>
      <c r="L116" s="37" t="s">
        <v>198</v>
      </c>
      <c r="M116" s="37" t="s">
        <v>199</v>
      </c>
      <c r="N116" s="107" t="s">
        <v>61</v>
      </c>
      <c r="O116" s="37" t="s">
        <v>78</v>
      </c>
      <c r="P116" s="186" t="s">
        <v>12</v>
      </c>
      <c r="Q116" s="206"/>
      <c r="R116" s="227"/>
      <c r="S116" s="219"/>
      <c r="T116" s="221"/>
      <c r="U116" s="219"/>
    </row>
    <row r="117" spans="1:21" s="218" customFormat="1" ht="20.25" customHeight="1" x14ac:dyDescent="0.25">
      <c r="A117" s="262"/>
      <c r="B117" s="103" t="s">
        <v>794</v>
      </c>
      <c r="C117" s="200" t="s">
        <v>748</v>
      </c>
      <c r="D117" s="200" t="s">
        <v>6</v>
      </c>
      <c r="E117" s="110">
        <v>10</v>
      </c>
      <c r="F117" s="110" t="s">
        <v>316</v>
      </c>
      <c r="G117" s="201">
        <f t="shared" si="17"/>
        <v>76342.960000000006</v>
      </c>
      <c r="H117" s="202">
        <v>1</v>
      </c>
      <c r="I117" s="203">
        <v>0</v>
      </c>
      <c r="J117" s="110" t="s">
        <v>59</v>
      </c>
      <c r="K117" s="110" t="s">
        <v>6</v>
      </c>
      <c r="L117" s="204" t="s">
        <v>198</v>
      </c>
      <c r="M117" s="204" t="s">
        <v>199</v>
      </c>
      <c r="N117" s="110" t="s">
        <v>61</v>
      </c>
      <c r="O117" s="204" t="s">
        <v>78</v>
      </c>
      <c r="P117" s="205" t="s">
        <v>14</v>
      </c>
      <c r="Q117" s="81"/>
      <c r="R117" s="36">
        <f>72526.93+217576.32</f>
        <v>290103.25</v>
      </c>
      <c r="S117" s="219"/>
      <c r="T117" s="221"/>
      <c r="U117" s="219"/>
    </row>
    <row r="118" spans="1:21" s="218" customFormat="1" ht="20.25" customHeight="1" x14ac:dyDescent="0.25">
      <c r="A118" s="262"/>
      <c r="B118" s="35" t="s">
        <v>662</v>
      </c>
      <c r="C118" s="33" t="s">
        <v>660</v>
      </c>
      <c r="D118" s="33" t="s">
        <v>6</v>
      </c>
      <c r="E118" s="107">
        <v>20</v>
      </c>
      <c r="F118" s="107" t="s">
        <v>312</v>
      </c>
      <c r="G118" s="36">
        <f t="shared" si="11"/>
        <v>0</v>
      </c>
      <c r="H118" s="42">
        <v>1</v>
      </c>
      <c r="I118" s="34">
        <v>0</v>
      </c>
      <c r="J118" s="107" t="s">
        <v>59</v>
      </c>
      <c r="K118" s="107" t="s">
        <v>6</v>
      </c>
      <c r="L118" s="37" t="s">
        <v>193</v>
      </c>
      <c r="M118" s="37" t="s">
        <v>129</v>
      </c>
      <c r="N118" s="107" t="s">
        <v>61</v>
      </c>
      <c r="O118" s="37" t="s">
        <v>78</v>
      </c>
      <c r="P118" s="186" t="s">
        <v>12</v>
      </c>
      <c r="Q118" s="206"/>
      <c r="R118" s="227"/>
      <c r="S118" s="219"/>
      <c r="T118" s="221"/>
      <c r="U118" s="219"/>
    </row>
    <row r="119" spans="1:21" s="218" customFormat="1" ht="28.2" customHeight="1" x14ac:dyDescent="0.25">
      <c r="A119" s="262"/>
      <c r="B119" s="35" t="s">
        <v>795</v>
      </c>
      <c r="C119" s="33" t="s">
        <v>756</v>
      </c>
      <c r="D119" s="33" t="s">
        <v>6</v>
      </c>
      <c r="E119" s="107">
        <v>20</v>
      </c>
      <c r="F119" s="107" t="s">
        <v>312</v>
      </c>
      <c r="G119" s="36">
        <f t="shared" si="11"/>
        <v>514383.84</v>
      </c>
      <c r="H119" s="42">
        <v>1</v>
      </c>
      <c r="I119" s="34">
        <v>0</v>
      </c>
      <c r="J119" s="107" t="s">
        <v>59</v>
      </c>
      <c r="K119" s="107" t="s">
        <v>6</v>
      </c>
      <c r="L119" s="37" t="s">
        <v>193</v>
      </c>
      <c r="M119" s="37" t="s">
        <v>129</v>
      </c>
      <c r="N119" s="107" t="s">
        <v>61</v>
      </c>
      <c r="O119" s="37" t="s">
        <v>78</v>
      </c>
      <c r="P119" s="176" t="s">
        <v>14</v>
      </c>
      <c r="Q119" s="206"/>
      <c r="R119" s="36">
        <f>616715.99+22753+199416+703655.71+68698.84+93368+250051.08</f>
        <v>1954658.62</v>
      </c>
      <c r="S119" s="219"/>
      <c r="T119" s="221"/>
      <c r="U119" s="219"/>
    </row>
    <row r="120" spans="1:21" s="218" customFormat="1" ht="28.2" customHeight="1" x14ac:dyDescent="0.25">
      <c r="A120" s="262"/>
      <c r="B120" s="103" t="s">
        <v>760</v>
      </c>
      <c r="C120" s="200" t="s">
        <v>757</v>
      </c>
      <c r="D120" s="200" t="s">
        <v>6</v>
      </c>
      <c r="E120" s="110">
        <v>11</v>
      </c>
      <c r="F120" s="110" t="s">
        <v>317</v>
      </c>
      <c r="G120" s="201">
        <f t="shared" ref="G120" si="18">TRUNC(R120/R$13,2)</f>
        <v>306967.33</v>
      </c>
      <c r="H120" s="202">
        <v>1</v>
      </c>
      <c r="I120" s="203">
        <v>0</v>
      </c>
      <c r="J120" s="110" t="s">
        <v>59</v>
      </c>
      <c r="K120" s="110" t="s">
        <v>6</v>
      </c>
      <c r="L120" s="204" t="s">
        <v>200</v>
      </c>
      <c r="M120" s="204" t="s">
        <v>201</v>
      </c>
      <c r="N120" s="110" t="s">
        <v>61</v>
      </c>
      <c r="O120" s="204" t="s">
        <v>78</v>
      </c>
      <c r="P120" s="205" t="s">
        <v>14</v>
      </c>
      <c r="Q120" s="81"/>
      <c r="R120" s="36">
        <f>108053.93+1058421.96</f>
        <v>1166475.8899999999</v>
      </c>
      <c r="S120" s="219"/>
      <c r="T120" s="221"/>
      <c r="U120" s="219"/>
    </row>
    <row r="121" spans="1:21" s="218" customFormat="1" ht="40.65" customHeight="1" x14ac:dyDescent="0.25">
      <c r="A121" s="262"/>
      <c r="B121" s="35" t="s">
        <v>796</v>
      </c>
      <c r="C121" s="33" t="s">
        <v>758</v>
      </c>
      <c r="D121" s="33" t="s">
        <v>6</v>
      </c>
      <c r="E121" s="107">
        <v>21</v>
      </c>
      <c r="F121" s="107" t="s">
        <v>313</v>
      </c>
      <c r="G121" s="36">
        <f t="shared" si="11"/>
        <v>826760.13</v>
      </c>
      <c r="H121" s="42">
        <v>1</v>
      </c>
      <c r="I121" s="34">
        <v>0</v>
      </c>
      <c r="J121" s="107" t="s">
        <v>59</v>
      </c>
      <c r="K121" s="107" t="s">
        <v>6</v>
      </c>
      <c r="L121" s="37" t="s">
        <v>194</v>
      </c>
      <c r="M121" s="37" t="s">
        <v>195</v>
      </c>
      <c r="N121" s="107" t="s">
        <v>61</v>
      </c>
      <c r="O121" s="37" t="s">
        <v>78</v>
      </c>
      <c r="P121" s="176" t="s">
        <v>14</v>
      </c>
      <c r="Q121" s="206"/>
      <c r="R121" s="36">
        <f>930836.78+1516405.38+111719.22+192211.64+76045.52+314469.99</f>
        <v>3141688.5300000003</v>
      </c>
      <c r="S121" s="219"/>
      <c r="T121" s="221"/>
      <c r="U121" s="219"/>
    </row>
    <row r="122" spans="1:21" s="207" customFormat="1" ht="20.25" customHeight="1" x14ac:dyDescent="0.25">
      <c r="A122" s="262"/>
      <c r="B122" s="35" t="s">
        <v>785</v>
      </c>
      <c r="C122" s="33" t="s">
        <v>661</v>
      </c>
      <c r="D122" s="33" t="s">
        <v>6</v>
      </c>
      <c r="E122" s="107">
        <v>15</v>
      </c>
      <c r="F122" s="107" t="s">
        <v>315</v>
      </c>
      <c r="G122" s="36">
        <f t="shared" si="11"/>
        <v>0</v>
      </c>
      <c r="H122" s="42">
        <v>1</v>
      </c>
      <c r="I122" s="34">
        <v>0</v>
      </c>
      <c r="J122" s="107" t="s">
        <v>59</v>
      </c>
      <c r="K122" s="107" t="s">
        <v>6</v>
      </c>
      <c r="L122" s="37" t="s">
        <v>197</v>
      </c>
      <c r="M122" s="37" t="s">
        <v>609</v>
      </c>
      <c r="N122" s="107" t="s">
        <v>61</v>
      </c>
      <c r="O122" s="37" t="s">
        <v>78</v>
      </c>
      <c r="P122" s="186" t="s">
        <v>12</v>
      </c>
      <c r="Q122" s="206"/>
      <c r="R122" s="227"/>
    </row>
    <row r="123" spans="1:21" s="178" customFormat="1" ht="20.25" customHeight="1" x14ac:dyDescent="0.25">
      <c r="A123" s="262"/>
      <c r="B123" s="103" t="s">
        <v>763</v>
      </c>
      <c r="C123" s="200" t="s">
        <v>759</v>
      </c>
      <c r="D123" s="200" t="s">
        <v>6</v>
      </c>
      <c r="E123" s="110">
        <v>15</v>
      </c>
      <c r="F123" s="110" t="s">
        <v>315</v>
      </c>
      <c r="G123" s="201">
        <f t="shared" si="11"/>
        <v>686.22</v>
      </c>
      <c r="H123" s="202">
        <v>1</v>
      </c>
      <c r="I123" s="203">
        <v>0</v>
      </c>
      <c r="J123" s="110" t="s">
        <v>59</v>
      </c>
      <c r="K123" s="110" t="s">
        <v>6</v>
      </c>
      <c r="L123" s="204" t="s">
        <v>197</v>
      </c>
      <c r="M123" s="204" t="s">
        <v>651</v>
      </c>
      <c r="N123" s="110" t="s">
        <v>61</v>
      </c>
      <c r="O123" s="204" t="s">
        <v>78</v>
      </c>
      <c r="P123" s="205" t="s">
        <v>14</v>
      </c>
      <c r="Q123" s="81"/>
      <c r="R123" s="36">
        <v>2607.64</v>
      </c>
    </row>
    <row r="124" spans="1:21" s="178" customFormat="1" ht="20.25" customHeight="1" x14ac:dyDescent="0.25">
      <c r="A124" s="262"/>
      <c r="B124" s="35" t="s">
        <v>765</v>
      </c>
      <c r="C124" s="33" t="s">
        <v>655</v>
      </c>
      <c r="D124" s="33" t="s">
        <v>6</v>
      </c>
      <c r="E124" s="107">
        <v>5</v>
      </c>
      <c r="F124" s="107" t="s">
        <v>297</v>
      </c>
      <c r="G124" s="36">
        <f t="shared" ref="G124:G127" si="19">TRUNC(R124/R$13,2)</f>
        <v>0</v>
      </c>
      <c r="H124" s="42">
        <v>1</v>
      </c>
      <c r="I124" s="34">
        <v>0</v>
      </c>
      <c r="J124" s="107" t="s">
        <v>59</v>
      </c>
      <c r="K124" s="107" t="s">
        <v>6</v>
      </c>
      <c r="L124" s="37" t="s">
        <v>171</v>
      </c>
      <c r="M124" s="37" t="s">
        <v>656</v>
      </c>
      <c r="N124" s="107" t="s">
        <v>61</v>
      </c>
      <c r="O124" s="37" t="s">
        <v>78</v>
      </c>
      <c r="P124" s="186" t="s">
        <v>12</v>
      </c>
      <c r="Q124" s="206"/>
      <c r="R124" s="227"/>
    </row>
    <row r="125" spans="1:21" s="207" customFormat="1" ht="20.25" customHeight="1" x14ac:dyDescent="0.25">
      <c r="A125" s="262"/>
      <c r="B125" s="35" t="s">
        <v>786</v>
      </c>
      <c r="C125" s="33" t="s">
        <v>761</v>
      </c>
      <c r="D125" s="33" t="s">
        <v>6</v>
      </c>
      <c r="E125" s="107">
        <v>5</v>
      </c>
      <c r="F125" s="107" t="s">
        <v>297</v>
      </c>
      <c r="G125" s="36">
        <f t="shared" si="19"/>
        <v>1274444.0900000001</v>
      </c>
      <c r="H125" s="42">
        <v>1</v>
      </c>
      <c r="I125" s="34">
        <v>0</v>
      </c>
      <c r="J125" s="107" t="s">
        <v>59</v>
      </c>
      <c r="K125" s="107" t="s">
        <v>6</v>
      </c>
      <c r="L125" s="37" t="s">
        <v>171</v>
      </c>
      <c r="M125" s="37" t="s">
        <v>648</v>
      </c>
      <c r="N125" s="107" t="s">
        <v>61</v>
      </c>
      <c r="O125" s="37" t="s">
        <v>78</v>
      </c>
      <c r="P125" s="176" t="s">
        <v>14</v>
      </c>
      <c r="Q125" s="206"/>
      <c r="R125" s="36">
        <f>3751007.55+1091880</f>
        <v>4842887.55</v>
      </c>
    </row>
    <row r="126" spans="1:21" s="178" customFormat="1" ht="20.25" customHeight="1" x14ac:dyDescent="0.25">
      <c r="A126" s="262"/>
      <c r="B126" s="35" t="s">
        <v>767</v>
      </c>
      <c r="C126" s="33" t="s">
        <v>653</v>
      </c>
      <c r="D126" s="33" t="s">
        <v>6</v>
      </c>
      <c r="E126" s="107">
        <v>10</v>
      </c>
      <c r="F126" s="107" t="s">
        <v>322</v>
      </c>
      <c r="G126" s="36">
        <f t="shared" si="19"/>
        <v>0</v>
      </c>
      <c r="H126" s="42">
        <v>1</v>
      </c>
      <c r="I126" s="34">
        <v>0</v>
      </c>
      <c r="J126" s="107" t="s">
        <v>59</v>
      </c>
      <c r="K126" s="107" t="s">
        <v>6</v>
      </c>
      <c r="L126" s="37" t="s">
        <v>132</v>
      </c>
      <c r="M126" s="37" t="s">
        <v>608</v>
      </c>
      <c r="N126" s="107" t="s">
        <v>61</v>
      </c>
      <c r="O126" s="37" t="s">
        <v>78</v>
      </c>
      <c r="P126" s="186" t="s">
        <v>12</v>
      </c>
      <c r="Q126" s="206"/>
      <c r="R126" s="227"/>
    </row>
    <row r="127" spans="1:21" s="213" customFormat="1" ht="20.25" customHeight="1" x14ac:dyDescent="0.25">
      <c r="A127" s="262"/>
      <c r="B127" s="35" t="s">
        <v>797</v>
      </c>
      <c r="C127" s="33" t="s">
        <v>762</v>
      </c>
      <c r="D127" s="33" t="s">
        <v>6</v>
      </c>
      <c r="E127" s="107">
        <v>10</v>
      </c>
      <c r="F127" s="107" t="s">
        <v>322</v>
      </c>
      <c r="G127" s="36">
        <f t="shared" si="19"/>
        <v>525070.84</v>
      </c>
      <c r="H127" s="42">
        <v>1</v>
      </c>
      <c r="I127" s="34">
        <v>0</v>
      </c>
      <c r="J127" s="107" t="s">
        <v>59</v>
      </c>
      <c r="K127" s="107" t="s">
        <v>6</v>
      </c>
      <c r="L127" s="37" t="s">
        <v>132</v>
      </c>
      <c r="M127" s="37" t="s">
        <v>651</v>
      </c>
      <c r="N127" s="107" t="s">
        <v>61</v>
      </c>
      <c r="O127" s="37" t="s">
        <v>78</v>
      </c>
      <c r="P127" s="176" t="s">
        <v>14</v>
      </c>
      <c r="Q127" s="206"/>
      <c r="R127" s="36">
        <f>1761318+233951.2</f>
        <v>1995269.2</v>
      </c>
    </row>
    <row r="128" spans="1:21" s="213" customFormat="1" ht="20.25" customHeight="1" x14ac:dyDescent="0.25">
      <c r="A128" s="262"/>
      <c r="B128" s="35" t="s">
        <v>798</v>
      </c>
      <c r="C128" s="33" t="s">
        <v>764</v>
      </c>
      <c r="D128" s="33" t="s">
        <v>6</v>
      </c>
      <c r="E128" s="107">
        <v>2</v>
      </c>
      <c r="F128" s="107" t="s">
        <v>649</v>
      </c>
      <c r="G128" s="36">
        <f t="shared" ref="G128" si="20">TRUNC(R128/R$13,2)</f>
        <v>565233.56999999995</v>
      </c>
      <c r="H128" s="42">
        <v>1</v>
      </c>
      <c r="I128" s="34">
        <v>0</v>
      </c>
      <c r="J128" s="107" t="s">
        <v>59</v>
      </c>
      <c r="K128" s="107" t="s">
        <v>6</v>
      </c>
      <c r="L128" s="37" t="s">
        <v>131</v>
      </c>
      <c r="M128" s="37" t="s">
        <v>650</v>
      </c>
      <c r="N128" s="107" t="s">
        <v>61</v>
      </c>
      <c r="O128" s="37" t="s">
        <v>78</v>
      </c>
      <c r="P128" s="176" t="s">
        <v>14</v>
      </c>
      <c r="Q128" s="206"/>
      <c r="R128" s="36">
        <v>2147887.6</v>
      </c>
    </row>
    <row r="129" spans="1:19" s="207" customFormat="1" ht="20.25" customHeight="1" x14ac:dyDescent="0.25">
      <c r="A129" s="262"/>
      <c r="B129" s="103" t="s">
        <v>787</v>
      </c>
      <c r="C129" s="200" t="s">
        <v>766</v>
      </c>
      <c r="D129" s="200" t="s">
        <v>6</v>
      </c>
      <c r="E129" s="110">
        <v>2</v>
      </c>
      <c r="F129" s="110" t="s">
        <v>314</v>
      </c>
      <c r="G129" s="201">
        <f t="shared" si="11"/>
        <v>336126.31</v>
      </c>
      <c r="H129" s="202">
        <v>1</v>
      </c>
      <c r="I129" s="203">
        <v>0</v>
      </c>
      <c r="J129" s="110" t="s">
        <v>59</v>
      </c>
      <c r="K129" s="110" t="s">
        <v>6</v>
      </c>
      <c r="L129" s="204" t="s">
        <v>196</v>
      </c>
      <c r="M129" s="204" t="s">
        <v>256</v>
      </c>
      <c r="N129" s="110" t="s">
        <v>61</v>
      </c>
      <c r="O129" s="204" t="s">
        <v>78</v>
      </c>
      <c r="P129" s="179" t="s">
        <v>9</v>
      </c>
      <c r="Q129" s="206"/>
      <c r="R129" s="36">
        <v>1277280</v>
      </c>
    </row>
    <row r="130" spans="1:19" s="178" customFormat="1" ht="20.25" customHeight="1" x14ac:dyDescent="0.25">
      <c r="A130" s="262"/>
      <c r="B130" s="35" t="s">
        <v>788</v>
      </c>
      <c r="C130" s="33" t="s">
        <v>768</v>
      </c>
      <c r="D130" s="33" t="s">
        <v>6</v>
      </c>
      <c r="E130" s="107">
        <v>14</v>
      </c>
      <c r="F130" s="107" t="s">
        <v>604</v>
      </c>
      <c r="G130" s="36">
        <f t="shared" si="11"/>
        <v>714298.12</v>
      </c>
      <c r="H130" s="42">
        <v>1</v>
      </c>
      <c r="I130" s="34">
        <v>0</v>
      </c>
      <c r="J130" s="107" t="s">
        <v>59</v>
      </c>
      <c r="K130" s="107" t="s">
        <v>6</v>
      </c>
      <c r="L130" s="37" t="s">
        <v>256</v>
      </c>
      <c r="M130" s="37" t="s">
        <v>274</v>
      </c>
      <c r="N130" s="107" t="s">
        <v>61</v>
      </c>
      <c r="O130" s="37" t="s">
        <v>78</v>
      </c>
      <c r="P130" s="130" t="s">
        <v>2</v>
      </c>
      <c r="Q130" s="81"/>
      <c r="R130" s="36">
        <v>2714332.86</v>
      </c>
    </row>
    <row r="131" spans="1:19" s="178" customFormat="1" ht="20.25" customHeight="1" x14ac:dyDescent="0.25">
      <c r="A131" s="262"/>
      <c r="B131" s="35" t="s">
        <v>799</v>
      </c>
      <c r="C131" s="33" t="s">
        <v>657</v>
      </c>
      <c r="D131" s="33" t="s">
        <v>6</v>
      </c>
      <c r="E131" s="107">
        <v>8</v>
      </c>
      <c r="F131" s="107" t="s">
        <v>605</v>
      </c>
      <c r="G131" s="36">
        <f t="shared" si="11"/>
        <v>256420.71</v>
      </c>
      <c r="H131" s="42">
        <v>1</v>
      </c>
      <c r="I131" s="34">
        <v>0</v>
      </c>
      <c r="J131" s="107" t="s">
        <v>59</v>
      </c>
      <c r="K131" s="107" t="s">
        <v>6</v>
      </c>
      <c r="L131" s="37" t="s">
        <v>256</v>
      </c>
      <c r="M131" s="37" t="s">
        <v>274</v>
      </c>
      <c r="N131" s="107" t="s">
        <v>61</v>
      </c>
      <c r="O131" s="37" t="s">
        <v>78</v>
      </c>
      <c r="P131" s="130" t="s">
        <v>2</v>
      </c>
      <c r="Q131" s="81"/>
      <c r="R131" s="36">
        <v>974398.71</v>
      </c>
    </row>
    <row r="132" spans="1:19" s="178" customFormat="1" ht="20.25" customHeight="1" x14ac:dyDescent="0.25">
      <c r="A132" s="262"/>
      <c r="B132" s="35" t="s">
        <v>537</v>
      </c>
      <c r="C132" s="33" t="s">
        <v>789</v>
      </c>
      <c r="D132" s="33" t="s">
        <v>6</v>
      </c>
      <c r="E132" s="107">
        <v>4</v>
      </c>
      <c r="F132" s="107" t="s">
        <v>790</v>
      </c>
      <c r="G132" s="36">
        <f t="shared" si="11"/>
        <v>432522.63</v>
      </c>
      <c r="H132" s="42">
        <v>1</v>
      </c>
      <c r="I132" s="34">
        <v>0</v>
      </c>
      <c r="J132" s="107" t="s">
        <v>59</v>
      </c>
      <c r="K132" s="107" t="s">
        <v>6</v>
      </c>
      <c r="L132" s="37" t="s">
        <v>256</v>
      </c>
      <c r="M132" s="37" t="s">
        <v>274</v>
      </c>
      <c r="N132" s="107" t="s">
        <v>61</v>
      </c>
      <c r="O132" s="37" t="s">
        <v>78</v>
      </c>
      <c r="P132" s="130" t="s">
        <v>2</v>
      </c>
      <c r="Q132" s="81"/>
      <c r="R132" s="36">
        <v>1643586</v>
      </c>
    </row>
    <row r="133" spans="1:19" s="178" customFormat="1" ht="29.4" customHeight="1" x14ac:dyDescent="0.25">
      <c r="A133" s="262"/>
      <c r="B133" s="35" t="s">
        <v>537</v>
      </c>
      <c r="C133" s="33" t="s">
        <v>800</v>
      </c>
      <c r="D133" s="33" t="s">
        <v>6</v>
      </c>
      <c r="E133" s="107">
        <v>4</v>
      </c>
      <c r="F133" s="107" t="s">
        <v>77</v>
      </c>
      <c r="G133" s="36">
        <f t="shared" si="11"/>
        <v>83226.31</v>
      </c>
      <c r="H133" s="42">
        <v>1</v>
      </c>
      <c r="I133" s="34">
        <v>0</v>
      </c>
      <c r="J133" s="107" t="s">
        <v>59</v>
      </c>
      <c r="K133" s="107" t="s">
        <v>6</v>
      </c>
      <c r="L133" s="37" t="s">
        <v>256</v>
      </c>
      <c r="M133" s="37" t="s">
        <v>273</v>
      </c>
      <c r="N133" s="107" t="s">
        <v>61</v>
      </c>
      <c r="O133" s="37" t="s">
        <v>78</v>
      </c>
      <c r="P133" s="130" t="s">
        <v>2</v>
      </c>
      <c r="Q133" s="81"/>
      <c r="R133" s="36">
        <v>316260</v>
      </c>
    </row>
    <row r="134" spans="1:19" s="178" customFormat="1" ht="20.25" customHeight="1" x14ac:dyDescent="0.25">
      <c r="A134" s="262"/>
      <c r="B134" s="35" t="s">
        <v>537</v>
      </c>
      <c r="C134" s="33" t="s">
        <v>801</v>
      </c>
      <c r="D134" s="33" t="s">
        <v>6</v>
      </c>
      <c r="E134" s="107">
        <v>6</v>
      </c>
      <c r="F134" s="107" t="s">
        <v>77</v>
      </c>
      <c r="G134" s="36">
        <f t="shared" si="11"/>
        <v>517469.87</v>
      </c>
      <c r="H134" s="42">
        <v>1</v>
      </c>
      <c r="I134" s="34">
        <v>0</v>
      </c>
      <c r="J134" s="107" t="s">
        <v>59</v>
      </c>
      <c r="K134" s="107" t="s">
        <v>6</v>
      </c>
      <c r="L134" s="37" t="s">
        <v>256</v>
      </c>
      <c r="M134" s="37" t="s">
        <v>273</v>
      </c>
      <c r="N134" s="107" t="s">
        <v>61</v>
      </c>
      <c r="O134" s="37" t="s">
        <v>78</v>
      </c>
      <c r="P134" s="130" t="s">
        <v>2</v>
      </c>
      <c r="Q134" s="81"/>
      <c r="R134" s="36">
        <v>1966385.52</v>
      </c>
    </row>
    <row r="135" spans="1:19" s="178" customFormat="1" ht="20.25" customHeight="1" x14ac:dyDescent="0.25">
      <c r="A135" s="262"/>
      <c r="B135" s="35" t="s">
        <v>537</v>
      </c>
      <c r="C135" s="33" t="s">
        <v>802</v>
      </c>
      <c r="D135" s="33" t="s">
        <v>6</v>
      </c>
      <c r="E135" s="107" t="s">
        <v>80</v>
      </c>
      <c r="F135" s="107" t="s">
        <v>77</v>
      </c>
      <c r="G135" s="36">
        <f t="shared" si="11"/>
        <v>420161.46</v>
      </c>
      <c r="H135" s="42">
        <v>1</v>
      </c>
      <c r="I135" s="34">
        <v>0</v>
      </c>
      <c r="J135" s="107" t="s">
        <v>59</v>
      </c>
      <c r="K135" s="107" t="s">
        <v>6</v>
      </c>
      <c r="L135" s="37" t="s">
        <v>256</v>
      </c>
      <c r="M135" s="37" t="s">
        <v>264</v>
      </c>
      <c r="N135" s="107" t="s">
        <v>61</v>
      </c>
      <c r="O135" s="37" t="s">
        <v>78</v>
      </c>
      <c r="P135" s="130" t="s">
        <v>2</v>
      </c>
      <c r="Q135" s="81"/>
      <c r="R135" s="36">
        <v>1596613.55</v>
      </c>
    </row>
    <row r="136" spans="1:19" ht="20.25" customHeight="1" x14ac:dyDescent="0.25">
      <c r="A136" s="262"/>
      <c r="B136" s="35" t="s">
        <v>537</v>
      </c>
      <c r="C136" s="33" t="s">
        <v>593</v>
      </c>
      <c r="D136" s="33" t="s">
        <v>6</v>
      </c>
      <c r="E136" s="107" t="s">
        <v>80</v>
      </c>
      <c r="F136" s="107" t="s">
        <v>77</v>
      </c>
      <c r="G136" s="36">
        <f>TRUNC(R136/R$13,2)</f>
        <v>71315.78</v>
      </c>
      <c r="H136" s="42">
        <v>1</v>
      </c>
      <c r="I136" s="34">
        <v>0</v>
      </c>
      <c r="J136" s="107" t="s">
        <v>59</v>
      </c>
      <c r="K136" s="107" t="s">
        <v>6</v>
      </c>
      <c r="L136" s="37" t="s">
        <v>274</v>
      </c>
      <c r="M136" s="37" t="s">
        <v>264</v>
      </c>
      <c r="N136" s="107" t="s">
        <v>61</v>
      </c>
      <c r="O136" s="37" t="s">
        <v>78</v>
      </c>
      <c r="P136" s="130" t="s">
        <v>2</v>
      </c>
      <c r="Q136" s="81"/>
      <c r="R136" s="36">
        <v>271000</v>
      </c>
      <c r="S136" s="82"/>
    </row>
    <row r="137" spans="1:19" ht="20.25" customHeight="1" x14ac:dyDescent="0.25">
      <c r="A137" s="262"/>
      <c r="B137" s="35" t="s">
        <v>537</v>
      </c>
      <c r="C137" s="33" t="s">
        <v>552</v>
      </c>
      <c r="D137" s="33" t="s">
        <v>6</v>
      </c>
      <c r="E137" s="182" t="s">
        <v>80</v>
      </c>
      <c r="F137" s="107" t="s">
        <v>77</v>
      </c>
      <c r="G137" s="36">
        <f t="shared" ref="G137:G139" si="21">TRUNC(R137/R$13,2)</f>
        <v>589473.68000000005</v>
      </c>
      <c r="H137" s="42">
        <v>1</v>
      </c>
      <c r="I137" s="34">
        <v>0</v>
      </c>
      <c r="J137" s="107" t="s">
        <v>59</v>
      </c>
      <c r="K137" s="107" t="s">
        <v>6</v>
      </c>
      <c r="L137" s="37" t="s">
        <v>274</v>
      </c>
      <c r="M137" s="37" t="s">
        <v>264</v>
      </c>
      <c r="N137" s="107" t="s">
        <v>61</v>
      </c>
      <c r="O137" s="37" t="s">
        <v>78</v>
      </c>
      <c r="P137" s="130" t="s">
        <v>2</v>
      </c>
      <c r="Q137" s="183"/>
      <c r="R137" s="36">
        <v>2240000</v>
      </c>
      <c r="S137" s="82"/>
    </row>
    <row r="138" spans="1:19" ht="20.25" customHeight="1" x14ac:dyDescent="0.25">
      <c r="A138" s="262"/>
      <c r="B138" s="35" t="s">
        <v>537</v>
      </c>
      <c r="C138" s="33" t="s">
        <v>594</v>
      </c>
      <c r="D138" s="33" t="s">
        <v>6</v>
      </c>
      <c r="E138" s="182" t="s">
        <v>80</v>
      </c>
      <c r="F138" s="107" t="s">
        <v>77</v>
      </c>
      <c r="G138" s="36">
        <f t="shared" si="21"/>
        <v>1524736.84</v>
      </c>
      <c r="H138" s="42">
        <v>1</v>
      </c>
      <c r="I138" s="34">
        <v>0</v>
      </c>
      <c r="J138" s="107" t="s">
        <v>59</v>
      </c>
      <c r="K138" s="107" t="s">
        <v>6</v>
      </c>
      <c r="L138" s="37" t="s">
        <v>274</v>
      </c>
      <c r="M138" s="37" t="s">
        <v>264</v>
      </c>
      <c r="N138" s="107" t="s">
        <v>61</v>
      </c>
      <c r="O138" s="37" t="s">
        <v>78</v>
      </c>
      <c r="P138" s="130" t="s">
        <v>2</v>
      </c>
      <c r="Q138" s="183"/>
      <c r="R138" s="36">
        <v>5794000</v>
      </c>
      <c r="S138" s="82"/>
    </row>
    <row r="139" spans="1:19" ht="20.25" customHeight="1" x14ac:dyDescent="0.25">
      <c r="A139" s="262"/>
      <c r="B139" s="35" t="s">
        <v>537</v>
      </c>
      <c r="C139" s="33" t="s">
        <v>240</v>
      </c>
      <c r="D139" s="33" t="s">
        <v>6</v>
      </c>
      <c r="E139" s="107" t="s">
        <v>80</v>
      </c>
      <c r="F139" s="107" t="s">
        <v>77</v>
      </c>
      <c r="G139" s="36">
        <f t="shared" si="21"/>
        <v>2473684.21</v>
      </c>
      <c r="H139" s="42">
        <v>1</v>
      </c>
      <c r="I139" s="34">
        <v>0</v>
      </c>
      <c r="J139" s="107" t="s">
        <v>59</v>
      </c>
      <c r="K139" s="107" t="s">
        <v>6</v>
      </c>
      <c r="L139" s="37" t="s">
        <v>274</v>
      </c>
      <c r="M139" s="37" t="s">
        <v>264</v>
      </c>
      <c r="N139" s="107" t="s">
        <v>61</v>
      </c>
      <c r="O139" s="37" t="s">
        <v>78</v>
      </c>
      <c r="P139" s="130" t="s">
        <v>2</v>
      </c>
      <c r="Q139" s="81"/>
      <c r="R139" s="36">
        <v>9400000</v>
      </c>
      <c r="S139" s="82"/>
    </row>
    <row r="140" spans="1:19" s="82" customFormat="1" ht="20.25" customHeight="1" x14ac:dyDescent="0.25">
      <c r="A140" s="262"/>
      <c r="B140" s="35" t="s">
        <v>537</v>
      </c>
      <c r="C140" s="33" t="s">
        <v>147</v>
      </c>
      <c r="D140" s="33" t="s">
        <v>6</v>
      </c>
      <c r="E140" s="107" t="s">
        <v>80</v>
      </c>
      <c r="F140" s="107" t="s">
        <v>77</v>
      </c>
      <c r="G140" s="36">
        <f t="shared" ref="G140:G183" si="22">TRUNC(R140/R$13,2)</f>
        <v>4473684.21</v>
      </c>
      <c r="H140" s="42">
        <v>1</v>
      </c>
      <c r="I140" s="34">
        <v>0</v>
      </c>
      <c r="J140" s="107" t="s">
        <v>59</v>
      </c>
      <c r="K140" s="107" t="s">
        <v>6</v>
      </c>
      <c r="L140" s="37" t="s">
        <v>257</v>
      </c>
      <c r="M140" s="37" t="s">
        <v>264</v>
      </c>
      <c r="N140" s="107" t="s">
        <v>61</v>
      </c>
      <c r="O140" s="37" t="s">
        <v>78</v>
      </c>
      <c r="P140" s="130" t="s">
        <v>2</v>
      </c>
      <c r="Q140" s="81"/>
      <c r="R140" s="36">
        <v>17000000</v>
      </c>
    </row>
    <row r="141" spans="1:19" s="82" customFormat="1" ht="20.25" customHeight="1" x14ac:dyDescent="0.25">
      <c r="A141" s="262"/>
      <c r="B141" s="35" t="s">
        <v>537</v>
      </c>
      <c r="C141" s="33" t="s">
        <v>148</v>
      </c>
      <c r="D141" s="33" t="s">
        <v>6</v>
      </c>
      <c r="E141" s="107" t="s">
        <v>80</v>
      </c>
      <c r="F141" s="107" t="s">
        <v>77</v>
      </c>
      <c r="G141" s="36">
        <f t="shared" si="22"/>
        <v>1710526.31</v>
      </c>
      <c r="H141" s="42">
        <v>1</v>
      </c>
      <c r="I141" s="34">
        <v>0</v>
      </c>
      <c r="J141" s="107" t="s">
        <v>59</v>
      </c>
      <c r="K141" s="107" t="s">
        <v>6</v>
      </c>
      <c r="L141" s="37" t="s">
        <v>255</v>
      </c>
      <c r="M141" s="37" t="s">
        <v>273</v>
      </c>
      <c r="N141" s="107" t="s">
        <v>61</v>
      </c>
      <c r="O141" s="37" t="s">
        <v>78</v>
      </c>
      <c r="P141" s="130" t="s">
        <v>2</v>
      </c>
      <c r="Q141" s="81"/>
      <c r="R141" s="36">
        <v>6500000</v>
      </c>
    </row>
    <row r="142" spans="1:19" s="82" customFormat="1" ht="20.25" customHeight="1" x14ac:dyDescent="0.25">
      <c r="A142" s="262"/>
      <c r="B142" s="35" t="s">
        <v>537</v>
      </c>
      <c r="C142" s="33" t="s">
        <v>149</v>
      </c>
      <c r="D142" s="33" t="s">
        <v>6</v>
      </c>
      <c r="E142" s="107" t="s">
        <v>80</v>
      </c>
      <c r="F142" s="107" t="s">
        <v>77</v>
      </c>
      <c r="G142" s="36">
        <f t="shared" si="22"/>
        <v>4736842.0999999996</v>
      </c>
      <c r="H142" s="42">
        <v>1</v>
      </c>
      <c r="I142" s="34">
        <v>0</v>
      </c>
      <c r="J142" s="107" t="s">
        <v>59</v>
      </c>
      <c r="K142" s="107" t="s">
        <v>6</v>
      </c>
      <c r="L142" s="37" t="s">
        <v>255</v>
      </c>
      <c r="M142" s="37" t="s">
        <v>273</v>
      </c>
      <c r="N142" s="107" t="s">
        <v>61</v>
      </c>
      <c r="O142" s="37" t="s">
        <v>78</v>
      </c>
      <c r="P142" s="130" t="s">
        <v>2</v>
      </c>
      <c r="Q142" s="81"/>
      <c r="R142" s="36">
        <v>18000000</v>
      </c>
    </row>
    <row r="143" spans="1:19" s="82" customFormat="1" ht="20.25" customHeight="1" x14ac:dyDescent="0.25">
      <c r="A143" s="262"/>
      <c r="B143" s="35" t="s">
        <v>537</v>
      </c>
      <c r="C143" s="33" t="s">
        <v>150</v>
      </c>
      <c r="D143" s="33" t="s">
        <v>6</v>
      </c>
      <c r="E143" s="107" t="s">
        <v>80</v>
      </c>
      <c r="F143" s="107" t="s">
        <v>77</v>
      </c>
      <c r="G143" s="36">
        <f t="shared" si="22"/>
        <v>2368421.0499999998</v>
      </c>
      <c r="H143" s="42">
        <v>1</v>
      </c>
      <c r="I143" s="34">
        <v>0</v>
      </c>
      <c r="J143" s="107" t="s">
        <v>59</v>
      </c>
      <c r="K143" s="107" t="s">
        <v>6</v>
      </c>
      <c r="L143" s="37" t="s">
        <v>257</v>
      </c>
      <c r="M143" s="37" t="s">
        <v>258</v>
      </c>
      <c r="N143" s="107" t="s">
        <v>61</v>
      </c>
      <c r="O143" s="37" t="s">
        <v>78</v>
      </c>
      <c r="P143" s="130" t="s">
        <v>2</v>
      </c>
      <c r="Q143" s="81"/>
      <c r="R143" s="36">
        <v>9000000</v>
      </c>
    </row>
    <row r="144" spans="1:19" s="82" customFormat="1" ht="20.25" customHeight="1" x14ac:dyDescent="0.25">
      <c r="A144" s="262"/>
      <c r="B144" s="35" t="s">
        <v>537</v>
      </c>
      <c r="C144" s="33" t="s">
        <v>151</v>
      </c>
      <c r="D144" s="33" t="s">
        <v>6</v>
      </c>
      <c r="E144" s="107" t="s">
        <v>80</v>
      </c>
      <c r="F144" s="107" t="s">
        <v>77</v>
      </c>
      <c r="G144" s="36">
        <f t="shared" si="22"/>
        <v>578947.36</v>
      </c>
      <c r="H144" s="42">
        <v>1</v>
      </c>
      <c r="I144" s="34">
        <v>0</v>
      </c>
      <c r="J144" s="107" t="s">
        <v>59</v>
      </c>
      <c r="K144" s="107" t="s">
        <v>6</v>
      </c>
      <c r="L144" s="37" t="s">
        <v>274</v>
      </c>
      <c r="M144" s="37" t="s">
        <v>264</v>
      </c>
      <c r="N144" s="107" t="s">
        <v>61</v>
      </c>
      <c r="O144" s="37" t="s">
        <v>78</v>
      </c>
      <c r="P144" s="130" t="s">
        <v>2</v>
      </c>
      <c r="Q144" s="81"/>
      <c r="R144" s="36">
        <v>2200000</v>
      </c>
    </row>
    <row r="145" spans="1:18" s="82" customFormat="1" ht="20.25" customHeight="1" x14ac:dyDescent="0.25">
      <c r="A145" s="262"/>
      <c r="B145" s="35" t="s">
        <v>537</v>
      </c>
      <c r="C145" s="33" t="s">
        <v>152</v>
      </c>
      <c r="D145" s="33" t="s">
        <v>6</v>
      </c>
      <c r="E145" s="107" t="s">
        <v>80</v>
      </c>
      <c r="F145" s="107" t="s">
        <v>77</v>
      </c>
      <c r="G145" s="36">
        <f t="shared" si="22"/>
        <v>315789.46999999997</v>
      </c>
      <c r="H145" s="42">
        <v>1</v>
      </c>
      <c r="I145" s="34">
        <v>0</v>
      </c>
      <c r="J145" s="107" t="s">
        <v>59</v>
      </c>
      <c r="K145" s="107" t="s">
        <v>6</v>
      </c>
      <c r="L145" s="37" t="s">
        <v>255</v>
      </c>
      <c r="M145" s="37" t="s">
        <v>273</v>
      </c>
      <c r="N145" s="107" t="s">
        <v>61</v>
      </c>
      <c r="O145" s="37" t="s">
        <v>78</v>
      </c>
      <c r="P145" s="130" t="s">
        <v>2</v>
      </c>
      <c r="Q145" s="81"/>
      <c r="R145" s="36">
        <v>1200000</v>
      </c>
    </row>
    <row r="146" spans="1:18" s="82" customFormat="1" ht="20.25" customHeight="1" x14ac:dyDescent="0.25">
      <c r="A146" s="262"/>
      <c r="B146" s="35" t="s">
        <v>537</v>
      </c>
      <c r="C146" s="33" t="s">
        <v>153</v>
      </c>
      <c r="D146" s="33" t="s">
        <v>6</v>
      </c>
      <c r="E146" s="107" t="s">
        <v>80</v>
      </c>
      <c r="F146" s="107" t="s">
        <v>77</v>
      </c>
      <c r="G146" s="36">
        <f t="shared" si="22"/>
        <v>1184210.52</v>
      </c>
      <c r="H146" s="42">
        <v>1</v>
      </c>
      <c r="I146" s="34">
        <v>0</v>
      </c>
      <c r="J146" s="107" t="s">
        <v>59</v>
      </c>
      <c r="K146" s="107" t="s">
        <v>6</v>
      </c>
      <c r="L146" s="37" t="s">
        <v>255</v>
      </c>
      <c r="M146" s="37" t="s">
        <v>273</v>
      </c>
      <c r="N146" s="107" t="s">
        <v>61</v>
      </c>
      <c r="O146" s="37" t="s">
        <v>78</v>
      </c>
      <c r="P146" s="130" t="s">
        <v>2</v>
      </c>
      <c r="Q146" s="81"/>
      <c r="R146" s="36">
        <v>4500000</v>
      </c>
    </row>
    <row r="147" spans="1:18" s="82" customFormat="1" ht="20.25" customHeight="1" x14ac:dyDescent="0.25">
      <c r="A147" s="262"/>
      <c r="B147" s="35" t="s">
        <v>537</v>
      </c>
      <c r="C147" s="33" t="s">
        <v>154</v>
      </c>
      <c r="D147" s="33" t="s">
        <v>6</v>
      </c>
      <c r="E147" s="107" t="s">
        <v>80</v>
      </c>
      <c r="F147" s="107" t="s">
        <v>77</v>
      </c>
      <c r="G147" s="36">
        <f t="shared" si="22"/>
        <v>1315789.47</v>
      </c>
      <c r="H147" s="42">
        <v>1</v>
      </c>
      <c r="I147" s="34">
        <v>0</v>
      </c>
      <c r="J147" s="107" t="s">
        <v>59</v>
      </c>
      <c r="K147" s="107" t="s">
        <v>6</v>
      </c>
      <c r="L147" s="37" t="s">
        <v>274</v>
      </c>
      <c r="M147" s="37" t="s">
        <v>264</v>
      </c>
      <c r="N147" s="107" t="s">
        <v>61</v>
      </c>
      <c r="O147" s="37" t="s">
        <v>78</v>
      </c>
      <c r="P147" s="130" t="s">
        <v>2</v>
      </c>
      <c r="Q147" s="81"/>
      <c r="R147" s="36">
        <v>5000000</v>
      </c>
    </row>
    <row r="148" spans="1:18" s="82" customFormat="1" ht="20.25" customHeight="1" x14ac:dyDescent="0.25">
      <c r="A148" s="262"/>
      <c r="B148" s="35" t="s">
        <v>537</v>
      </c>
      <c r="C148" s="33" t="s">
        <v>155</v>
      </c>
      <c r="D148" s="33" t="s">
        <v>6</v>
      </c>
      <c r="E148" s="107" t="s">
        <v>80</v>
      </c>
      <c r="F148" s="107" t="s">
        <v>77</v>
      </c>
      <c r="G148" s="36">
        <f t="shared" ref="G148:G159" si="23">TRUNC(R148/R$13,2)</f>
        <v>3421052.63</v>
      </c>
      <c r="H148" s="42">
        <v>1</v>
      </c>
      <c r="I148" s="34">
        <v>0</v>
      </c>
      <c r="J148" s="107" t="s">
        <v>59</v>
      </c>
      <c r="K148" s="107" t="s">
        <v>6</v>
      </c>
      <c r="L148" s="37" t="s">
        <v>274</v>
      </c>
      <c r="M148" s="37" t="s">
        <v>264</v>
      </c>
      <c r="N148" s="107" t="s">
        <v>61</v>
      </c>
      <c r="O148" s="37" t="s">
        <v>78</v>
      </c>
      <c r="P148" s="130" t="s">
        <v>2</v>
      </c>
      <c r="Q148" s="81"/>
      <c r="R148" s="36">
        <v>13000000</v>
      </c>
    </row>
    <row r="149" spans="1:18" s="82" customFormat="1" ht="20.25" customHeight="1" x14ac:dyDescent="0.25">
      <c r="A149" s="262"/>
      <c r="B149" s="35" t="s">
        <v>537</v>
      </c>
      <c r="C149" s="33" t="s">
        <v>593</v>
      </c>
      <c r="D149" s="33" t="s">
        <v>6</v>
      </c>
      <c r="E149" s="107" t="s">
        <v>80</v>
      </c>
      <c r="F149" s="107" t="s">
        <v>77</v>
      </c>
      <c r="G149" s="36">
        <f t="shared" si="23"/>
        <v>27473.68</v>
      </c>
      <c r="H149" s="42">
        <v>1</v>
      </c>
      <c r="I149" s="34">
        <v>0</v>
      </c>
      <c r="J149" s="107" t="s">
        <v>59</v>
      </c>
      <c r="K149" s="107" t="s">
        <v>6</v>
      </c>
      <c r="L149" s="37" t="s">
        <v>553</v>
      </c>
      <c r="M149" s="37" t="s">
        <v>554</v>
      </c>
      <c r="N149" s="107" t="s">
        <v>61</v>
      </c>
      <c r="O149" s="37" t="s">
        <v>78</v>
      </c>
      <c r="P149" s="130" t="s">
        <v>2</v>
      </c>
      <c r="Q149" s="81"/>
      <c r="R149" s="36">
        <v>104400</v>
      </c>
    </row>
    <row r="150" spans="1:18" s="82" customFormat="1" ht="20.25" customHeight="1" x14ac:dyDescent="0.25">
      <c r="A150" s="262"/>
      <c r="B150" s="35" t="s">
        <v>537</v>
      </c>
      <c r="C150" s="33" t="s">
        <v>552</v>
      </c>
      <c r="D150" s="33" t="s">
        <v>6</v>
      </c>
      <c r="E150" s="107" t="s">
        <v>80</v>
      </c>
      <c r="F150" s="107" t="s">
        <v>77</v>
      </c>
      <c r="G150" s="36">
        <f t="shared" si="23"/>
        <v>478947.36</v>
      </c>
      <c r="H150" s="42">
        <v>1</v>
      </c>
      <c r="I150" s="34">
        <v>0</v>
      </c>
      <c r="J150" s="107" t="s">
        <v>59</v>
      </c>
      <c r="K150" s="107" t="s">
        <v>6</v>
      </c>
      <c r="L150" s="37" t="s">
        <v>553</v>
      </c>
      <c r="M150" s="37" t="s">
        <v>554</v>
      </c>
      <c r="N150" s="107" t="s">
        <v>61</v>
      </c>
      <c r="O150" s="37" t="s">
        <v>78</v>
      </c>
      <c r="P150" s="130" t="s">
        <v>2</v>
      </c>
      <c r="Q150" s="81"/>
      <c r="R150" s="36">
        <v>1820000</v>
      </c>
    </row>
    <row r="151" spans="1:18" s="82" customFormat="1" ht="20.25" customHeight="1" x14ac:dyDescent="0.25">
      <c r="A151" s="262"/>
      <c r="B151" s="35" t="s">
        <v>537</v>
      </c>
      <c r="C151" s="33" t="s">
        <v>594</v>
      </c>
      <c r="D151" s="33" t="s">
        <v>6</v>
      </c>
      <c r="E151" s="107" t="s">
        <v>80</v>
      </c>
      <c r="F151" s="107" t="s">
        <v>77</v>
      </c>
      <c r="G151" s="36">
        <f t="shared" si="23"/>
        <v>1378421.05</v>
      </c>
      <c r="H151" s="42">
        <v>1</v>
      </c>
      <c r="I151" s="34">
        <v>0</v>
      </c>
      <c r="J151" s="107" t="s">
        <v>59</v>
      </c>
      <c r="K151" s="107" t="s">
        <v>6</v>
      </c>
      <c r="L151" s="37" t="s">
        <v>553</v>
      </c>
      <c r="M151" s="37" t="s">
        <v>554</v>
      </c>
      <c r="N151" s="107" t="s">
        <v>61</v>
      </c>
      <c r="O151" s="37" t="s">
        <v>78</v>
      </c>
      <c r="P151" s="130" t="s">
        <v>2</v>
      </c>
      <c r="Q151" s="81"/>
      <c r="R151" s="36">
        <v>5238000</v>
      </c>
    </row>
    <row r="152" spans="1:18" s="82" customFormat="1" ht="20.25" customHeight="1" x14ac:dyDescent="0.25">
      <c r="A152" s="262"/>
      <c r="B152" s="35" t="s">
        <v>537</v>
      </c>
      <c r="C152" s="33" t="s">
        <v>240</v>
      </c>
      <c r="D152" s="33" t="s">
        <v>6</v>
      </c>
      <c r="E152" s="107" t="s">
        <v>80</v>
      </c>
      <c r="F152" s="107" t="s">
        <v>77</v>
      </c>
      <c r="G152" s="36">
        <f t="shared" si="23"/>
        <v>2115000</v>
      </c>
      <c r="H152" s="42">
        <v>1</v>
      </c>
      <c r="I152" s="34">
        <v>0</v>
      </c>
      <c r="J152" s="107" t="s">
        <v>59</v>
      </c>
      <c r="K152" s="107" t="s">
        <v>6</v>
      </c>
      <c r="L152" s="37" t="s">
        <v>553</v>
      </c>
      <c r="M152" s="37" t="s">
        <v>554</v>
      </c>
      <c r="N152" s="107" t="s">
        <v>61</v>
      </c>
      <c r="O152" s="37" t="s">
        <v>78</v>
      </c>
      <c r="P152" s="130" t="s">
        <v>2</v>
      </c>
      <c r="Q152" s="81"/>
      <c r="R152" s="36">
        <v>8037000</v>
      </c>
    </row>
    <row r="153" spans="1:18" s="82" customFormat="1" ht="20.25" customHeight="1" x14ac:dyDescent="0.25">
      <c r="A153" s="262"/>
      <c r="B153" s="35" t="s">
        <v>537</v>
      </c>
      <c r="C153" s="33" t="s">
        <v>147</v>
      </c>
      <c r="D153" s="33" t="s">
        <v>6</v>
      </c>
      <c r="E153" s="107" t="s">
        <v>80</v>
      </c>
      <c r="F153" s="107" t="s">
        <v>77</v>
      </c>
      <c r="G153" s="36">
        <f t="shared" si="23"/>
        <v>2763157.89</v>
      </c>
      <c r="H153" s="42">
        <v>1</v>
      </c>
      <c r="I153" s="34">
        <v>0</v>
      </c>
      <c r="J153" s="107" t="s">
        <v>59</v>
      </c>
      <c r="K153" s="107" t="s">
        <v>6</v>
      </c>
      <c r="L153" s="37" t="s">
        <v>553</v>
      </c>
      <c r="M153" s="37" t="s">
        <v>555</v>
      </c>
      <c r="N153" s="107" t="s">
        <v>61</v>
      </c>
      <c r="O153" s="37" t="s">
        <v>78</v>
      </c>
      <c r="P153" s="130" t="s">
        <v>2</v>
      </c>
      <c r="Q153" s="81"/>
      <c r="R153" s="36">
        <v>10500000</v>
      </c>
    </row>
    <row r="154" spans="1:18" s="82" customFormat="1" ht="28.8" customHeight="1" x14ac:dyDescent="0.25">
      <c r="A154" s="262"/>
      <c r="B154" s="35" t="s">
        <v>537</v>
      </c>
      <c r="C154" s="33" t="s">
        <v>148</v>
      </c>
      <c r="D154" s="33" t="s">
        <v>26</v>
      </c>
      <c r="E154" s="107" t="s">
        <v>80</v>
      </c>
      <c r="F154" s="107" t="s">
        <v>77</v>
      </c>
      <c r="G154" s="36">
        <f t="shared" si="23"/>
        <v>6025000</v>
      </c>
      <c r="H154" s="42">
        <v>1</v>
      </c>
      <c r="I154" s="34">
        <v>0</v>
      </c>
      <c r="J154" s="107" t="s">
        <v>59</v>
      </c>
      <c r="K154" s="107" t="s">
        <v>8</v>
      </c>
      <c r="L154" s="37" t="s">
        <v>553</v>
      </c>
      <c r="M154" s="37" t="s">
        <v>555</v>
      </c>
      <c r="N154" s="107"/>
      <c r="O154" s="37" t="s">
        <v>78</v>
      </c>
      <c r="P154" s="130" t="s">
        <v>2</v>
      </c>
      <c r="Q154" s="81"/>
      <c r="R154" s="36">
        <v>22895000</v>
      </c>
    </row>
    <row r="155" spans="1:18" s="82" customFormat="1" ht="20.25" customHeight="1" x14ac:dyDescent="0.25">
      <c r="A155" s="262"/>
      <c r="B155" s="35" t="s">
        <v>537</v>
      </c>
      <c r="C155" s="33" t="s">
        <v>150</v>
      </c>
      <c r="D155" s="33" t="s">
        <v>6</v>
      </c>
      <c r="E155" s="107" t="s">
        <v>80</v>
      </c>
      <c r="F155" s="107" t="s">
        <v>77</v>
      </c>
      <c r="G155" s="36">
        <f t="shared" si="23"/>
        <v>1278947.3600000001</v>
      </c>
      <c r="H155" s="42">
        <v>1</v>
      </c>
      <c r="I155" s="34">
        <v>0</v>
      </c>
      <c r="J155" s="107" t="s">
        <v>59</v>
      </c>
      <c r="K155" s="107" t="s">
        <v>6</v>
      </c>
      <c r="L155" s="37" t="s">
        <v>553</v>
      </c>
      <c r="M155" s="37" t="s">
        <v>556</v>
      </c>
      <c r="N155" s="107" t="s">
        <v>61</v>
      </c>
      <c r="O155" s="37" t="s">
        <v>78</v>
      </c>
      <c r="P155" s="130" t="s">
        <v>2</v>
      </c>
      <c r="Q155" s="81"/>
      <c r="R155" s="36">
        <v>4860000</v>
      </c>
    </row>
    <row r="156" spans="1:18" s="82" customFormat="1" ht="20.25" customHeight="1" x14ac:dyDescent="0.25">
      <c r="A156" s="262"/>
      <c r="B156" s="35" t="s">
        <v>537</v>
      </c>
      <c r="C156" s="33" t="s">
        <v>593</v>
      </c>
      <c r="D156" s="33" t="s">
        <v>6</v>
      </c>
      <c r="E156" s="107" t="s">
        <v>80</v>
      </c>
      <c r="F156" s="107" t="s">
        <v>77</v>
      </c>
      <c r="G156" s="36">
        <f t="shared" si="23"/>
        <v>27473.68</v>
      </c>
      <c r="H156" s="42">
        <v>1</v>
      </c>
      <c r="I156" s="34">
        <v>0</v>
      </c>
      <c r="J156" s="107" t="s">
        <v>59</v>
      </c>
      <c r="K156" s="107" t="s">
        <v>6</v>
      </c>
      <c r="L156" s="37" t="s">
        <v>558</v>
      </c>
      <c r="M156" s="37" t="s">
        <v>114</v>
      </c>
      <c r="N156" s="107" t="s">
        <v>61</v>
      </c>
      <c r="O156" s="37" t="s">
        <v>78</v>
      </c>
      <c r="P156" s="130" t="s">
        <v>2</v>
      </c>
      <c r="Q156" s="81"/>
      <c r="R156" s="36">
        <v>104400</v>
      </c>
    </row>
    <row r="157" spans="1:18" s="82" customFormat="1" ht="20.25" customHeight="1" x14ac:dyDescent="0.25">
      <c r="A157" s="262"/>
      <c r="B157" s="35" t="s">
        <v>537</v>
      </c>
      <c r="C157" s="33" t="s">
        <v>552</v>
      </c>
      <c r="D157" s="33" t="s">
        <v>6</v>
      </c>
      <c r="E157" s="107" t="s">
        <v>80</v>
      </c>
      <c r="F157" s="107" t="s">
        <v>77</v>
      </c>
      <c r="G157" s="36">
        <f t="shared" si="23"/>
        <v>460526.31</v>
      </c>
      <c r="H157" s="42">
        <v>1</v>
      </c>
      <c r="I157" s="34">
        <v>0</v>
      </c>
      <c r="J157" s="107" t="s">
        <v>59</v>
      </c>
      <c r="K157" s="107" t="s">
        <v>6</v>
      </c>
      <c r="L157" s="37" t="s">
        <v>558</v>
      </c>
      <c r="M157" s="37" t="s">
        <v>114</v>
      </c>
      <c r="N157" s="107" t="s">
        <v>61</v>
      </c>
      <c r="O157" s="37" t="s">
        <v>78</v>
      </c>
      <c r="P157" s="130" t="s">
        <v>2</v>
      </c>
      <c r="Q157" s="81"/>
      <c r="R157" s="36">
        <v>1750000</v>
      </c>
    </row>
    <row r="158" spans="1:18" s="82" customFormat="1" ht="20.25" customHeight="1" x14ac:dyDescent="0.25">
      <c r="A158" s="262"/>
      <c r="B158" s="35" t="s">
        <v>537</v>
      </c>
      <c r="C158" s="33" t="s">
        <v>594</v>
      </c>
      <c r="D158" s="33" t="s">
        <v>6</v>
      </c>
      <c r="E158" s="107" t="s">
        <v>80</v>
      </c>
      <c r="F158" s="107" t="s">
        <v>77</v>
      </c>
      <c r="G158" s="36">
        <f t="shared" si="23"/>
        <v>1378421.05</v>
      </c>
      <c r="H158" s="42">
        <v>1</v>
      </c>
      <c r="I158" s="34">
        <v>0</v>
      </c>
      <c r="J158" s="107" t="s">
        <v>59</v>
      </c>
      <c r="K158" s="107" t="s">
        <v>6</v>
      </c>
      <c r="L158" s="37" t="s">
        <v>558</v>
      </c>
      <c r="M158" s="37" t="s">
        <v>114</v>
      </c>
      <c r="N158" s="107" t="s">
        <v>61</v>
      </c>
      <c r="O158" s="37" t="s">
        <v>78</v>
      </c>
      <c r="P158" s="130" t="s">
        <v>2</v>
      </c>
      <c r="Q158" s="81"/>
      <c r="R158" s="36">
        <v>5238000</v>
      </c>
    </row>
    <row r="159" spans="1:18" s="82" customFormat="1" ht="20.25" customHeight="1" thickBot="1" x14ac:dyDescent="0.3">
      <c r="A159" s="275"/>
      <c r="B159" s="64" t="s">
        <v>537</v>
      </c>
      <c r="C159" s="65" t="s">
        <v>240</v>
      </c>
      <c r="D159" s="65" t="s">
        <v>6</v>
      </c>
      <c r="E159" s="113" t="s">
        <v>80</v>
      </c>
      <c r="F159" s="113" t="s">
        <v>77</v>
      </c>
      <c r="G159" s="66">
        <f t="shared" si="23"/>
        <v>2100000</v>
      </c>
      <c r="H159" s="198">
        <v>1</v>
      </c>
      <c r="I159" s="67">
        <v>0</v>
      </c>
      <c r="J159" s="113" t="s">
        <v>59</v>
      </c>
      <c r="K159" s="113" t="s">
        <v>6</v>
      </c>
      <c r="L159" s="68" t="s">
        <v>558</v>
      </c>
      <c r="M159" s="68" t="s">
        <v>114</v>
      </c>
      <c r="N159" s="113" t="s">
        <v>61</v>
      </c>
      <c r="O159" s="68" t="s">
        <v>78</v>
      </c>
      <c r="P159" s="131" t="s">
        <v>2</v>
      </c>
      <c r="Q159" s="81"/>
      <c r="R159" s="66">
        <v>7980000</v>
      </c>
    </row>
    <row r="160" spans="1:18" ht="20.25" customHeight="1" x14ac:dyDescent="0.25">
      <c r="A160" s="262" t="s">
        <v>76</v>
      </c>
      <c r="B160" s="19" t="s">
        <v>804</v>
      </c>
      <c r="C160" s="7" t="s">
        <v>569</v>
      </c>
      <c r="D160" s="7" t="s">
        <v>6</v>
      </c>
      <c r="E160" s="80">
        <v>14</v>
      </c>
      <c r="F160" s="80" t="s">
        <v>324</v>
      </c>
      <c r="G160" s="84">
        <f t="shared" si="22"/>
        <v>2193444.19</v>
      </c>
      <c r="H160" s="85">
        <v>1</v>
      </c>
      <c r="I160" s="86">
        <v>0</v>
      </c>
      <c r="J160" s="80" t="s">
        <v>59</v>
      </c>
      <c r="K160" s="80" t="s">
        <v>6</v>
      </c>
      <c r="L160" s="17" t="s">
        <v>207</v>
      </c>
      <c r="M160" s="17" t="s">
        <v>123</v>
      </c>
      <c r="N160" s="80" t="s">
        <v>61</v>
      </c>
      <c r="O160" s="17" t="s">
        <v>78</v>
      </c>
      <c r="P160" s="128" t="s">
        <v>15</v>
      </c>
      <c r="Q160" s="82"/>
      <c r="R160" s="84">
        <v>8335087.9400000004</v>
      </c>
    </row>
    <row r="161" spans="1:18" ht="20.25" customHeight="1" x14ac:dyDescent="0.25">
      <c r="A161" s="262"/>
      <c r="B161" s="35" t="s">
        <v>805</v>
      </c>
      <c r="C161" s="7" t="s">
        <v>570</v>
      </c>
      <c r="D161" s="7" t="s">
        <v>6</v>
      </c>
      <c r="E161" s="80">
        <v>19</v>
      </c>
      <c r="F161" s="80" t="s">
        <v>325</v>
      </c>
      <c r="G161" s="84">
        <f t="shared" si="22"/>
        <v>2813486.65</v>
      </c>
      <c r="H161" s="85">
        <v>1</v>
      </c>
      <c r="I161" s="86">
        <v>0</v>
      </c>
      <c r="J161" s="80" t="s">
        <v>59</v>
      </c>
      <c r="K161" s="80" t="s">
        <v>6</v>
      </c>
      <c r="L161" s="17" t="s">
        <v>208</v>
      </c>
      <c r="M161" s="17" t="s">
        <v>209</v>
      </c>
      <c r="N161" s="107" t="s">
        <v>61</v>
      </c>
      <c r="O161" s="17" t="s">
        <v>78</v>
      </c>
      <c r="P161" s="128" t="s">
        <v>15</v>
      </c>
      <c r="Q161" s="82"/>
      <c r="R161" s="84">
        <v>10691249.27</v>
      </c>
    </row>
    <row r="162" spans="1:18" ht="20.25" customHeight="1" x14ac:dyDescent="0.25">
      <c r="A162" s="262"/>
      <c r="B162" s="35" t="s">
        <v>806</v>
      </c>
      <c r="C162" s="7" t="s">
        <v>807</v>
      </c>
      <c r="D162" s="7" t="s">
        <v>6</v>
      </c>
      <c r="E162" s="80">
        <v>6</v>
      </c>
      <c r="F162" s="80" t="s">
        <v>326</v>
      </c>
      <c r="G162" s="84">
        <f t="shared" si="22"/>
        <v>0</v>
      </c>
      <c r="H162" s="85">
        <v>1</v>
      </c>
      <c r="I162" s="86">
        <v>0</v>
      </c>
      <c r="J162" s="80" t="s">
        <v>59</v>
      </c>
      <c r="K162" s="80" t="s">
        <v>6</v>
      </c>
      <c r="L162" s="17" t="s">
        <v>179</v>
      </c>
      <c r="M162" s="17" t="s">
        <v>209</v>
      </c>
      <c r="N162" s="107" t="s">
        <v>61</v>
      </c>
      <c r="O162" s="17" t="s">
        <v>78</v>
      </c>
      <c r="P162" s="186" t="s">
        <v>12</v>
      </c>
      <c r="Q162" s="81"/>
      <c r="R162" s="232"/>
    </row>
    <row r="163" spans="1:18" ht="20.25" customHeight="1" x14ac:dyDescent="0.25">
      <c r="A163" s="262"/>
      <c r="B163" s="35" t="s">
        <v>808</v>
      </c>
      <c r="C163" s="7" t="s">
        <v>571</v>
      </c>
      <c r="D163" s="7" t="s">
        <v>6</v>
      </c>
      <c r="E163" s="80">
        <v>6</v>
      </c>
      <c r="F163" s="80" t="s">
        <v>326</v>
      </c>
      <c r="G163" s="84">
        <f t="shared" si="22"/>
        <v>2944246.41</v>
      </c>
      <c r="H163" s="85">
        <v>1</v>
      </c>
      <c r="I163" s="86">
        <v>0</v>
      </c>
      <c r="J163" s="80" t="s">
        <v>59</v>
      </c>
      <c r="K163" s="80" t="s">
        <v>6</v>
      </c>
      <c r="L163" s="17" t="s">
        <v>179</v>
      </c>
      <c r="M163" s="17" t="s">
        <v>809</v>
      </c>
      <c r="N163" s="107" t="s">
        <v>61</v>
      </c>
      <c r="O163" s="17" t="s">
        <v>78</v>
      </c>
      <c r="P163" s="127" t="s">
        <v>15</v>
      </c>
      <c r="Q163" s="81"/>
      <c r="R163" s="84">
        <v>11188136.380000001</v>
      </c>
    </row>
    <row r="164" spans="1:18" ht="20.25" customHeight="1" x14ac:dyDescent="0.25">
      <c r="A164" s="262"/>
      <c r="B164" s="35" t="s">
        <v>810</v>
      </c>
      <c r="C164" s="7" t="s">
        <v>572</v>
      </c>
      <c r="D164" s="7" t="s">
        <v>6</v>
      </c>
      <c r="E164" s="107">
        <v>3</v>
      </c>
      <c r="F164" s="107" t="s">
        <v>327</v>
      </c>
      <c r="G164" s="36">
        <f t="shared" si="22"/>
        <v>93026.09</v>
      </c>
      <c r="H164" s="42">
        <v>1</v>
      </c>
      <c r="I164" s="34">
        <v>0</v>
      </c>
      <c r="J164" s="107" t="s">
        <v>59</v>
      </c>
      <c r="K164" s="107" t="s">
        <v>6</v>
      </c>
      <c r="L164" s="37" t="s">
        <v>125</v>
      </c>
      <c r="M164" s="37" t="s">
        <v>210</v>
      </c>
      <c r="N164" s="107" t="s">
        <v>61</v>
      </c>
      <c r="O164" s="37" t="s">
        <v>78</v>
      </c>
      <c r="P164" s="127" t="s">
        <v>15</v>
      </c>
      <c r="Q164" s="81"/>
      <c r="R164" s="36">
        <v>353499.15</v>
      </c>
    </row>
    <row r="165" spans="1:18" ht="28.8" customHeight="1" x14ac:dyDescent="0.25">
      <c r="A165" s="262"/>
      <c r="B165" s="35" t="s">
        <v>812</v>
      </c>
      <c r="C165" s="7" t="s">
        <v>811</v>
      </c>
      <c r="D165" s="7" t="s">
        <v>6</v>
      </c>
      <c r="E165" s="107">
        <v>26</v>
      </c>
      <c r="F165" s="107" t="s">
        <v>328</v>
      </c>
      <c r="G165" s="36">
        <f t="shared" si="22"/>
        <v>0</v>
      </c>
      <c r="H165" s="42">
        <v>1</v>
      </c>
      <c r="I165" s="34">
        <v>0</v>
      </c>
      <c r="J165" s="107" t="s">
        <v>59</v>
      </c>
      <c r="K165" s="107" t="s">
        <v>6</v>
      </c>
      <c r="L165" s="37" t="s">
        <v>125</v>
      </c>
      <c r="M165" s="37" t="s">
        <v>210</v>
      </c>
      <c r="N165" s="107" t="s">
        <v>61</v>
      </c>
      <c r="O165" s="37" t="s">
        <v>78</v>
      </c>
      <c r="P165" s="186" t="s">
        <v>14</v>
      </c>
      <c r="Q165" s="81"/>
      <c r="R165" s="227"/>
    </row>
    <row r="166" spans="1:18" ht="20.25" customHeight="1" x14ac:dyDescent="0.25">
      <c r="A166" s="262"/>
      <c r="B166" s="35" t="s">
        <v>813</v>
      </c>
      <c r="C166" s="7" t="s">
        <v>573</v>
      </c>
      <c r="D166" s="7" t="s">
        <v>6</v>
      </c>
      <c r="E166" s="107">
        <v>26</v>
      </c>
      <c r="F166" s="107" t="s">
        <v>328</v>
      </c>
      <c r="G166" s="36">
        <f t="shared" si="22"/>
        <v>3853269.77</v>
      </c>
      <c r="H166" s="42">
        <v>1</v>
      </c>
      <c r="I166" s="34">
        <v>0</v>
      </c>
      <c r="J166" s="107" t="s">
        <v>59</v>
      </c>
      <c r="K166" s="72" t="s">
        <v>6</v>
      </c>
      <c r="L166" s="37" t="s">
        <v>125</v>
      </c>
      <c r="M166" s="87" t="s">
        <v>210</v>
      </c>
      <c r="N166" s="107" t="s">
        <v>61</v>
      </c>
      <c r="O166" s="37" t="s">
        <v>78</v>
      </c>
      <c r="P166" s="176" t="s">
        <v>14</v>
      </c>
      <c r="Q166" s="81"/>
      <c r="R166" s="36">
        <v>14642425.16</v>
      </c>
    </row>
    <row r="167" spans="1:18" ht="20.25" customHeight="1" x14ac:dyDescent="0.25">
      <c r="A167" s="262"/>
      <c r="B167" s="35" t="s">
        <v>814</v>
      </c>
      <c r="C167" s="7" t="s">
        <v>574</v>
      </c>
      <c r="D167" s="7" t="s">
        <v>6</v>
      </c>
      <c r="E167" s="107">
        <v>10</v>
      </c>
      <c r="F167" s="72" t="s">
        <v>540</v>
      </c>
      <c r="G167" s="36">
        <f t="shared" si="22"/>
        <v>340843.95</v>
      </c>
      <c r="H167" s="42">
        <v>1</v>
      </c>
      <c r="I167" s="34">
        <v>0</v>
      </c>
      <c r="J167" s="107" t="s">
        <v>59</v>
      </c>
      <c r="K167" s="72" t="s">
        <v>6</v>
      </c>
      <c r="L167" s="87" t="s">
        <v>586</v>
      </c>
      <c r="M167" s="87" t="s">
        <v>257</v>
      </c>
      <c r="N167" s="107" t="s">
        <v>61</v>
      </c>
      <c r="O167" s="37" t="s">
        <v>78</v>
      </c>
      <c r="P167" s="179" t="s">
        <v>9</v>
      </c>
      <c r="Q167" s="81"/>
      <c r="R167" s="36">
        <v>1295207.04</v>
      </c>
    </row>
    <row r="168" spans="1:18" ht="20.25" customHeight="1" x14ac:dyDescent="0.25">
      <c r="A168" s="262"/>
      <c r="B168" s="35" t="s">
        <v>815</v>
      </c>
      <c r="C168" s="7" t="s">
        <v>575</v>
      </c>
      <c r="D168" s="7" t="s">
        <v>6</v>
      </c>
      <c r="E168" s="107">
        <v>9</v>
      </c>
      <c r="F168" s="72" t="s">
        <v>541</v>
      </c>
      <c r="G168" s="36">
        <f t="shared" si="22"/>
        <v>131525.47</v>
      </c>
      <c r="H168" s="42">
        <v>1</v>
      </c>
      <c r="I168" s="34">
        <v>0</v>
      </c>
      <c r="J168" s="107" t="s">
        <v>59</v>
      </c>
      <c r="K168" s="72" t="s">
        <v>6</v>
      </c>
      <c r="L168" s="87" t="s">
        <v>585</v>
      </c>
      <c r="M168" s="87" t="s">
        <v>257</v>
      </c>
      <c r="N168" s="107" t="s">
        <v>61</v>
      </c>
      <c r="O168" s="37" t="s">
        <v>78</v>
      </c>
      <c r="P168" s="179" t="s">
        <v>9</v>
      </c>
      <c r="Q168" s="81"/>
      <c r="R168" s="36">
        <v>499796.8</v>
      </c>
    </row>
    <row r="169" spans="1:18" ht="20.25" customHeight="1" x14ac:dyDescent="0.25">
      <c r="A169" s="262"/>
      <c r="B169" s="35" t="s">
        <v>803</v>
      </c>
      <c r="C169" s="7" t="s">
        <v>576</v>
      </c>
      <c r="D169" s="7" t="s">
        <v>6</v>
      </c>
      <c r="E169" s="107" t="s">
        <v>80</v>
      </c>
      <c r="F169" s="72" t="s">
        <v>542</v>
      </c>
      <c r="G169" s="36">
        <f t="shared" si="22"/>
        <v>346187.05</v>
      </c>
      <c r="H169" s="42">
        <v>1</v>
      </c>
      <c r="I169" s="34">
        <v>0</v>
      </c>
      <c r="J169" s="107" t="s">
        <v>59</v>
      </c>
      <c r="K169" s="72" t="s">
        <v>6</v>
      </c>
      <c r="L169" s="87" t="s">
        <v>256</v>
      </c>
      <c r="M169" s="87" t="s">
        <v>255</v>
      </c>
      <c r="N169" s="107" t="s">
        <v>61</v>
      </c>
      <c r="O169" s="37" t="s">
        <v>78</v>
      </c>
      <c r="P169" s="130" t="s">
        <v>2</v>
      </c>
      <c r="Q169" s="81"/>
      <c r="R169" s="36">
        <v>1315510.8</v>
      </c>
    </row>
    <row r="170" spans="1:18" ht="20.25" customHeight="1" x14ac:dyDescent="0.25">
      <c r="A170" s="262"/>
      <c r="B170" s="35" t="s">
        <v>803</v>
      </c>
      <c r="C170" s="33" t="s">
        <v>577</v>
      </c>
      <c r="D170" s="200" t="s">
        <v>20</v>
      </c>
      <c r="E170" s="110" t="s">
        <v>80</v>
      </c>
      <c r="F170" s="72" t="s">
        <v>77</v>
      </c>
      <c r="G170" s="75">
        <f t="shared" ref="G170:G173" si="24">TRUNC(R170/R$13,2)</f>
        <v>5079369.42</v>
      </c>
      <c r="H170" s="76">
        <v>1</v>
      </c>
      <c r="I170" s="77">
        <v>0</v>
      </c>
      <c r="J170" s="72" t="s">
        <v>59</v>
      </c>
      <c r="K170" s="72" t="s">
        <v>8</v>
      </c>
      <c r="L170" s="87" t="s">
        <v>255</v>
      </c>
      <c r="M170" s="87" t="s">
        <v>275</v>
      </c>
      <c r="N170" s="72"/>
      <c r="O170" s="87" t="s">
        <v>78</v>
      </c>
      <c r="P170" s="130" t="s">
        <v>2</v>
      </c>
      <c r="Q170" s="81"/>
      <c r="R170" s="36">
        <v>19301603.800000001</v>
      </c>
    </row>
    <row r="171" spans="1:18" ht="20.25" customHeight="1" x14ac:dyDescent="0.25">
      <c r="A171" s="262"/>
      <c r="B171" s="35" t="s">
        <v>803</v>
      </c>
      <c r="C171" s="33" t="s">
        <v>578</v>
      </c>
      <c r="D171" s="33" t="s">
        <v>20</v>
      </c>
      <c r="E171" s="107" t="s">
        <v>80</v>
      </c>
      <c r="F171" s="72" t="s">
        <v>77</v>
      </c>
      <c r="G171" s="75">
        <f t="shared" si="24"/>
        <v>8000000</v>
      </c>
      <c r="H171" s="76">
        <v>1</v>
      </c>
      <c r="I171" s="77">
        <v>0</v>
      </c>
      <c r="J171" s="72" t="s">
        <v>59</v>
      </c>
      <c r="K171" s="72" t="s">
        <v>7</v>
      </c>
      <c r="L171" s="87" t="s">
        <v>259</v>
      </c>
      <c r="M171" s="87" t="s">
        <v>557</v>
      </c>
      <c r="N171" s="72"/>
      <c r="O171" s="87" t="s">
        <v>78</v>
      </c>
      <c r="P171" s="130" t="s">
        <v>2</v>
      </c>
      <c r="Q171" s="81"/>
      <c r="R171" s="36">
        <f>8000000*3.8</f>
        <v>30400000</v>
      </c>
    </row>
    <row r="172" spans="1:18" ht="20.25" customHeight="1" x14ac:dyDescent="0.25">
      <c r="A172" s="262"/>
      <c r="B172" s="35" t="s">
        <v>803</v>
      </c>
      <c r="C172" s="33" t="s">
        <v>579</v>
      </c>
      <c r="D172" s="33" t="s">
        <v>20</v>
      </c>
      <c r="E172" s="107" t="s">
        <v>80</v>
      </c>
      <c r="F172" s="72" t="s">
        <v>77</v>
      </c>
      <c r="G172" s="75">
        <f t="shared" si="24"/>
        <v>8000000</v>
      </c>
      <c r="H172" s="76">
        <v>1</v>
      </c>
      <c r="I172" s="77">
        <v>0</v>
      </c>
      <c r="J172" s="72" t="s">
        <v>59</v>
      </c>
      <c r="K172" s="72" t="s">
        <v>7</v>
      </c>
      <c r="L172" s="87" t="s">
        <v>106</v>
      </c>
      <c r="M172" s="87" t="s">
        <v>581</v>
      </c>
      <c r="N172" s="72"/>
      <c r="O172" s="87" t="s">
        <v>78</v>
      </c>
      <c r="P172" s="130" t="s">
        <v>2</v>
      </c>
      <c r="Q172" s="81"/>
      <c r="R172" s="36">
        <f t="shared" ref="R172:R173" si="25">8000000*3.8</f>
        <v>30400000</v>
      </c>
    </row>
    <row r="173" spans="1:18" ht="20.25" customHeight="1" thickBot="1" x14ac:dyDescent="0.3">
      <c r="A173" s="262"/>
      <c r="B173" s="35" t="s">
        <v>803</v>
      </c>
      <c r="C173" s="200" t="s">
        <v>580</v>
      </c>
      <c r="D173" s="200" t="s">
        <v>20</v>
      </c>
      <c r="E173" s="110" t="s">
        <v>80</v>
      </c>
      <c r="F173" s="72" t="s">
        <v>77</v>
      </c>
      <c r="G173" s="75">
        <f t="shared" si="24"/>
        <v>8000000</v>
      </c>
      <c r="H173" s="76">
        <v>1</v>
      </c>
      <c r="I173" s="77">
        <v>0</v>
      </c>
      <c r="J173" s="72" t="s">
        <v>59</v>
      </c>
      <c r="K173" s="72" t="s">
        <v>7</v>
      </c>
      <c r="L173" s="87" t="s">
        <v>107</v>
      </c>
      <c r="M173" s="87" t="s">
        <v>582</v>
      </c>
      <c r="N173" s="72"/>
      <c r="O173" s="87" t="s">
        <v>78</v>
      </c>
      <c r="P173" s="130" t="s">
        <v>2</v>
      </c>
      <c r="Q173" s="81"/>
      <c r="R173" s="36">
        <f t="shared" si="25"/>
        <v>30400000</v>
      </c>
    </row>
    <row r="174" spans="1:18" s="82" customFormat="1" ht="20.25" customHeight="1" x14ac:dyDescent="0.25">
      <c r="A174" s="261" t="s">
        <v>76</v>
      </c>
      <c r="B174" s="19" t="s">
        <v>671</v>
      </c>
      <c r="C174" s="2" t="s">
        <v>221</v>
      </c>
      <c r="D174" s="2" t="s">
        <v>6</v>
      </c>
      <c r="E174" s="108">
        <v>4</v>
      </c>
      <c r="F174" s="108" t="s">
        <v>329</v>
      </c>
      <c r="G174" s="10">
        <f t="shared" si="22"/>
        <v>595919.44999999995</v>
      </c>
      <c r="H174" s="12">
        <v>0.8</v>
      </c>
      <c r="I174" s="11">
        <v>0.2</v>
      </c>
      <c r="J174" s="108" t="s">
        <v>60</v>
      </c>
      <c r="K174" s="108" t="s">
        <v>6</v>
      </c>
      <c r="L174" s="16" t="s">
        <v>123</v>
      </c>
      <c r="M174" s="16" t="s">
        <v>217</v>
      </c>
      <c r="N174" s="135" t="s">
        <v>61</v>
      </c>
      <c r="O174" s="16" t="s">
        <v>78</v>
      </c>
      <c r="P174" s="126" t="s">
        <v>15</v>
      </c>
      <c r="Q174" s="81"/>
      <c r="R174" s="10">
        <f>658497.92+1605996</f>
        <v>2264493.92</v>
      </c>
    </row>
    <row r="175" spans="1:18" s="82" customFormat="1" ht="20.25" customHeight="1" x14ac:dyDescent="0.25">
      <c r="A175" s="262"/>
      <c r="B175" s="35" t="s">
        <v>213</v>
      </c>
      <c r="C175" s="33" t="s">
        <v>220</v>
      </c>
      <c r="D175" s="33" t="s">
        <v>6</v>
      </c>
      <c r="E175" s="107" t="s">
        <v>80</v>
      </c>
      <c r="F175" s="107" t="s">
        <v>330</v>
      </c>
      <c r="G175" s="36">
        <f t="shared" si="22"/>
        <v>1134474.3</v>
      </c>
      <c r="H175" s="42">
        <v>0.8</v>
      </c>
      <c r="I175" s="34">
        <v>0.2</v>
      </c>
      <c r="J175" s="107" t="s">
        <v>60</v>
      </c>
      <c r="K175" s="107" t="s">
        <v>6</v>
      </c>
      <c r="L175" s="37" t="s">
        <v>218</v>
      </c>
      <c r="M175" s="37" t="s">
        <v>219</v>
      </c>
      <c r="N175" s="105" t="s">
        <v>61</v>
      </c>
      <c r="O175" s="37" t="s">
        <v>78</v>
      </c>
      <c r="P175" s="127" t="s">
        <v>15</v>
      </c>
      <c r="Q175" s="81"/>
      <c r="R175" s="36">
        <v>4311002.3600000003</v>
      </c>
    </row>
    <row r="176" spans="1:18" s="82" customFormat="1" ht="20.25" customHeight="1" x14ac:dyDescent="0.25">
      <c r="A176" s="262"/>
      <c r="B176" s="35" t="s">
        <v>214</v>
      </c>
      <c r="C176" s="33" t="s">
        <v>222</v>
      </c>
      <c r="D176" s="33" t="s">
        <v>6</v>
      </c>
      <c r="E176" s="107" t="s">
        <v>80</v>
      </c>
      <c r="F176" s="107" t="s">
        <v>331</v>
      </c>
      <c r="G176" s="36">
        <f t="shared" si="22"/>
        <v>551357.89</v>
      </c>
      <c r="H176" s="42">
        <v>0.8</v>
      </c>
      <c r="I176" s="34">
        <v>0.2</v>
      </c>
      <c r="J176" s="107" t="s">
        <v>60</v>
      </c>
      <c r="K176" s="107" t="s">
        <v>6</v>
      </c>
      <c r="L176" s="37" t="s">
        <v>226</v>
      </c>
      <c r="M176" s="37" t="s">
        <v>227</v>
      </c>
      <c r="N176" s="105" t="s">
        <v>61</v>
      </c>
      <c r="O176" s="37" t="s">
        <v>78</v>
      </c>
      <c r="P176" s="127" t="s">
        <v>15</v>
      </c>
      <c r="Q176" s="81"/>
      <c r="R176" s="36">
        <v>2095159.99</v>
      </c>
    </row>
    <row r="177" spans="1:18" s="82" customFormat="1" ht="19.95" customHeight="1" x14ac:dyDescent="0.25">
      <c r="A177" s="262"/>
      <c r="B177" s="35" t="s">
        <v>215</v>
      </c>
      <c r="C177" s="33" t="s">
        <v>223</v>
      </c>
      <c r="D177" s="33" t="s">
        <v>6</v>
      </c>
      <c r="E177" s="107" t="s">
        <v>80</v>
      </c>
      <c r="F177" s="107" t="s">
        <v>332</v>
      </c>
      <c r="G177" s="36">
        <f t="shared" si="22"/>
        <v>541842.1</v>
      </c>
      <c r="H177" s="42">
        <v>0.8</v>
      </c>
      <c r="I177" s="34">
        <v>0.2</v>
      </c>
      <c r="J177" s="107" t="s">
        <v>60</v>
      </c>
      <c r="K177" s="107" t="s">
        <v>6</v>
      </c>
      <c r="L177" s="37" t="s">
        <v>228</v>
      </c>
      <c r="M177" s="37" t="s">
        <v>229</v>
      </c>
      <c r="N177" s="105" t="s">
        <v>61</v>
      </c>
      <c r="O177" s="37" t="s">
        <v>78</v>
      </c>
      <c r="P177" s="127" t="s">
        <v>15</v>
      </c>
      <c r="Q177" s="81"/>
      <c r="R177" s="36">
        <v>2058999.99</v>
      </c>
    </row>
    <row r="178" spans="1:18" s="82" customFormat="1" ht="19.95" customHeight="1" x14ac:dyDescent="0.25">
      <c r="A178" s="262"/>
      <c r="B178" s="35" t="s">
        <v>216</v>
      </c>
      <c r="C178" s="33" t="s">
        <v>85</v>
      </c>
      <c r="D178" s="33" t="s">
        <v>6</v>
      </c>
      <c r="E178" s="107" t="s">
        <v>80</v>
      </c>
      <c r="F178" s="107" t="s">
        <v>333</v>
      </c>
      <c r="G178" s="36">
        <f t="shared" si="22"/>
        <v>552894.67000000004</v>
      </c>
      <c r="H178" s="42">
        <v>0.8</v>
      </c>
      <c r="I178" s="34">
        <v>0.2</v>
      </c>
      <c r="J178" s="107" t="s">
        <v>60</v>
      </c>
      <c r="K178" s="107" t="s">
        <v>6</v>
      </c>
      <c r="L178" s="37" t="s">
        <v>125</v>
      </c>
      <c r="M178" s="37" t="s">
        <v>164</v>
      </c>
      <c r="N178" s="105" t="s">
        <v>61</v>
      </c>
      <c r="O178" s="37" t="s">
        <v>78</v>
      </c>
      <c r="P178" s="176" t="s">
        <v>14</v>
      </c>
      <c r="Q178" s="81"/>
      <c r="R178" s="36">
        <v>2100999.75</v>
      </c>
    </row>
    <row r="179" spans="1:18" s="82" customFormat="1" ht="19.95" customHeight="1" x14ac:dyDescent="0.25">
      <c r="A179" s="262"/>
      <c r="B179" s="35" t="s">
        <v>816</v>
      </c>
      <c r="C179" s="33" t="s">
        <v>817</v>
      </c>
      <c r="D179" s="33" t="s">
        <v>6</v>
      </c>
      <c r="E179" s="107"/>
      <c r="F179" s="107" t="s">
        <v>818</v>
      </c>
      <c r="G179" s="36">
        <f t="shared" si="22"/>
        <v>951403.55</v>
      </c>
      <c r="H179" s="42">
        <v>0.8</v>
      </c>
      <c r="I179" s="34">
        <v>0.2</v>
      </c>
      <c r="J179" s="107" t="s">
        <v>60</v>
      </c>
      <c r="K179" s="107" t="s">
        <v>6</v>
      </c>
      <c r="L179" s="37" t="s">
        <v>104</v>
      </c>
      <c r="M179" s="37" t="s">
        <v>201</v>
      </c>
      <c r="N179" s="105" t="s">
        <v>61</v>
      </c>
      <c r="O179" s="37" t="s">
        <v>78</v>
      </c>
      <c r="P179" s="176" t="s">
        <v>14</v>
      </c>
      <c r="Q179" s="81"/>
      <c r="R179" s="36">
        <v>3615333.49</v>
      </c>
    </row>
    <row r="180" spans="1:18" s="82" customFormat="1" ht="19.95" customHeight="1" x14ac:dyDescent="0.25">
      <c r="A180" s="262"/>
      <c r="B180" s="35" t="s">
        <v>538</v>
      </c>
      <c r="C180" s="33" t="s">
        <v>84</v>
      </c>
      <c r="D180" s="33" t="s">
        <v>6</v>
      </c>
      <c r="E180" s="107" t="s">
        <v>80</v>
      </c>
      <c r="F180" s="107" t="s">
        <v>77</v>
      </c>
      <c r="G180" s="36">
        <f t="shared" ref="G180" si="26">TRUNC(R180/R$13,2)</f>
        <v>315789.46999999997</v>
      </c>
      <c r="H180" s="42">
        <v>0.8</v>
      </c>
      <c r="I180" s="34">
        <v>0.2</v>
      </c>
      <c r="J180" s="107" t="s">
        <v>60</v>
      </c>
      <c r="K180" s="107" t="s">
        <v>6</v>
      </c>
      <c r="L180" s="37" t="s">
        <v>256</v>
      </c>
      <c r="M180" s="37" t="s">
        <v>274</v>
      </c>
      <c r="N180" s="105" t="s">
        <v>61</v>
      </c>
      <c r="O180" s="37" t="s">
        <v>78</v>
      </c>
      <c r="P180" s="130" t="s">
        <v>2</v>
      </c>
      <c r="Q180" s="81"/>
      <c r="R180" s="36">
        <v>1200000</v>
      </c>
    </row>
    <row r="181" spans="1:18" s="82" customFormat="1" ht="20.25" customHeight="1" x14ac:dyDescent="0.25">
      <c r="A181" s="262"/>
      <c r="B181" s="35" t="s">
        <v>538</v>
      </c>
      <c r="C181" s="33" t="s">
        <v>86</v>
      </c>
      <c r="D181" s="33" t="s">
        <v>6</v>
      </c>
      <c r="E181" s="107" t="s">
        <v>80</v>
      </c>
      <c r="F181" s="107" t="s">
        <v>77</v>
      </c>
      <c r="G181" s="36">
        <f t="shared" si="22"/>
        <v>829052.63</v>
      </c>
      <c r="H181" s="42">
        <v>0.8</v>
      </c>
      <c r="I181" s="34">
        <v>0.2</v>
      </c>
      <c r="J181" s="107" t="s">
        <v>60</v>
      </c>
      <c r="K181" s="107" t="s">
        <v>6</v>
      </c>
      <c r="L181" s="37" t="s">
        <v>256</v>
      </c>
      <c r="M181" s="37" t="s">
        <v>274</v>
      </c>
      <c r="N181" s="105" t="s">
        <v>61</v>
      </c>
      <c r="O181" s="37" t="s">
        <v>78</v>
      </c>
      <c r="P181" s="130" t="s">
        <v>2</v>
      </c>
      <c r="Q181" s="136"/>
      <c r="R181" s="36">
        <v>3150400</v>
      </c>
    </row>
    <row r="182" spans="1:18" s="82" customFormat="1" ht="19.95" customHeight="1" x14ac:dyDescent="0.25">
      <c r="A182" s="262"/>
      <c r="B182" s="35" t="s">
        <v>538</v>
      </c>
      <c r="C182" s="33" t="s">
        <v>224</v>
      </c>
      <c r="D182" s="33" t="s">
        <v>6</v>
      </c>
      <c r="E182" s="107" t="s">
        <v>80</v>
      </c>
      <c r="F182" s="107" t="s">
        <v>77</v>
      </c>
      <c r="G182" s="36">
        <f t="shared" si="22"/>
        <v>65789.47</v>
      </c>
      <c r="H182" s="42">
        <v>0.8</v>
      </c>
      <c r="I182" s="34">
        <v>0.2</v>
      </c>
      <c r="J182" s="107" t="s">
        <v>60</v>
      </c>
      <c r="K182" s="107" t="s">
        <v>6</v>
      </c>
      <c r="L182" s="37" t="s">
        <v>273</v>
      </c>
      <c r="M182" s="37" t="s">
        <v>263</v>
      </c>
      <c r="N182" s="105" t="s">
        <v>61</v>
      </c>
      <c r="O182" s="37" t="s">
        <v>78</v>
      </c>
      <c r="P182" s="130" t="s">
        <v>2</v>
      </c>
      <c r="Q182" s="136"/>
      <c r="R182" s="36">
        <v>250000</v>
      </c>
    </row>
    <row r="183" spans="1:18" s="82" customFormat="1" ht="20.25" customHeight="1" thickBot="1" x14ac:dyDescent="0.3">
      <c r="A183" s="275"/>
      <c r="B183" s="97" t="s">
        <v>538</v>
      </c>
      <c r="C183" s="69" t="s">
        <v>225</v>
      </c>
      <c r="D183" s="69" t="s">
        <v>6</v>
      </c>
      <c r="E183" s="88" t="s">
        <v>80</v>
      </c>
      <c r="F183" s="88" t="s">
        <v>77</v>
      </c>
      <c r="G183" s="89">
        <f t="shared" si="22"/>
        <v>179530.81</v>
      </c>
      <c r="H183" s="90">
        <v>0.8</v>
      </c>
      <c r="I183" s="91">
        <v>0.2</v>
      </c>
      <c r="J183" s="88" t="s">
        <v>60</v>
      </c>
      <c r="K183" s="88" t="s">
        <v>6</v>
      </c>
      <c r="L183" s="92" t="s">
        <v>273</v>
      </c>
      <c r="M183" s="92" t="s">
        <v>263</v>
      </c>
      <c r="N183" s="106" t="s">
        <v>61</v>
      </c>
      <c r="O183" s="92" t="s">
        <v>78</v>
      </c>
      <c r="P183" s="131" t="s">
        <v>2</v>
      </c>
      <c r="Q183" s="81"/>
      <c r="R183" s="89">
        <v>682217.1</v>
      </c>
    </row>
    <row r="184" spans="1:18" ht="43.2" customHeight="1" thickBot="1" x14ac:dyDescent="0.3"/>
    <row r="185" spans="1:18" ht="20.25" customHeight="1" x14ac:dyDescent="0.3">
      <c r="A185" s="253" t="s">
        <v>48</v>
      </c>
      <c r="B185" s="254"/>
      <c r="C185" s="254"/>
      <c r="D185" s="254"/>
      <c r="E185" s="254"/>
      <c r="F185" s="254"/>
      <c r="G185" s="254"/>
      <c r="H185" s="254"/>
      <c r="I185" s="254"/>
      <c r="J185" s="254"/>
      <c r="K185" s="254"/>
      <c r="L185" s="254"/>
      <c r="M185" s="254"/>
      <c r="N185" s="254"/>
      <c r="O185" s="254"/>
      <c r="P185" s="255"/>
      <c r="Q185" s="25"/>
    </row>
    <row r="186" spans="1:18" ht="15" customHeight="1" x14ac:dyDescent="0.3">
      <c r="A186" s="249" t="s">
        <v>46</v>
      </c>
      <c r="B186" s="241" t="s">
        <v>134</v>
      </c>
      <c r="C186" s="241" t="s">
        <v>32</v>
      </c>
      <c r="D186" s="241" t="s">
        <v>47</v>
      </c>
      <c r="E186" s="241" t="s">
        <v>34</v>
      </c>
      <c r="F186" s="241" t="s">
        <v>35</v>
      </c>
      <c r="G186" s="247" t="s">
        <v>36</v>
      </c>
      <c r="H186" s="247"/>
      <c r="I186" s="247"/>
      <c r="J186" s="241" t="s">
        <v>37</v>
      </c>
      <c r="K186" s="241" t="s">
        <v>38</v>
      </c>
      <c r="L186" s="248" t="s">
        <v>1</v>
      </c>
      <c r="M186" s="248"/>
      <c r="N186" s="251" t="s">
        <v>39</v>
      </c>
      <c r="O186" s="241" t="s">
        <v>40</v>
      </c>
      <c r="P186" s="243" t="s">
        <v>3</v>
      </c>
      <c r="Q186" s="25"/>
    </row>
    <row r="187" spans="1:18" ht="42.15" customHeight="1" thickBot="1" x14ac:dyDescent="0.35">
      <c r="A187" s="250"/>
      <c r="B187" s="242"/>
      <c r="C187" s="242"/>
      <c r="D187" s="242"/>
      <c r="E187" s="242"/>
      <c r="F187" s="242"/>
      <c r="G187" s="57" t="s">
        <v>41</v>
      </c>
      <c r="H187" s="58" t="s">
        <v>42</v>
      </c>
      <c r="I187" s="58" t="s">
        <v>43</v>
      </c>
      <c r="J187" s="242"/>
      <c r="K187" s="242"/>
      <c r="L187" s="59" t="s">
        <v>49</v>
      </c>
      <c r="M187" s="59" t="s">
        <v>45</v>
      </c>
      <c r="N187" s="252"/>
      <c r="O187" s="242"/>
      <c r="P187" s="244"/>
      <c r="Q187" s="25"/>
      <c r="R187" s="114" t="s">
        <v>242</v>
      </c>
    </row>
    <row r="188" spans="1:18" s="231" customFormat="1" ht="36.299999999999997" customHeight="1" x14ac:dyDescent="0.25">
      <c r="A188" s="235" t="s">
        <v>74</v>
      </c>
      <c r="B188" s="19" t="s">
        <v>678</v>
      </c>
      <c r="C188" s="98" t="s">
        <v>672</v>
      </c>
      <c r="D188" s="7" t="s">
        <v>6</v>
      </c>
      <c r="E188" s="80">
        <v>51</v>
      </c>
      <c r="F188" s="80" t="s">
        <v>339</v>
      </c>
      <c r="G188" s="84">
        <f>TRUNC(R188/R$13,2)</f>
        <v>15407340.699999999</v>
      </c>
      <c r="H188" s="86">
        <v>0.6</v>
      </c>
      <c r="I188" s="86">
        <v>0.4</v>
      </c>
      <c r="J188" s="80" t="s">
        <v>59</v>
      </c>
      <c r="K188" s="80" t="s">
        <v>6</v>
      </c>
      <c r="L188" s="17" t="s">
        <v>534</v>
      </c>
      <c r="M188" s="17" t="s">
        <v>187</v>
      </c>
      <c r="N188" s="80" t="s">
        <v>90</v>
      </c>
      <c r="O188" s="17" t="s">
        <v>78</v>
      </c>
      <c r="P188" s="187" t="s">
        <v>14</v>
      </c>
      <c r="Q188" s="82"/>
      <c r="R188" s="10">
        <v>58547894.68</v>
      </c>
    </row>
    <row r="189" spans="1:18" ht="20.100000000000001" customHeight="1" x14ac:dyDescent="0.3">
      <c r="A189" s="262" t="s">
        <v>74</v>
      </c>
      <c r="B189" s="35" t="s">
        <v>658</v>
      </c>
      <c r="C189" s="33" t="s">
        <v>595</v>
      </c>
      <c r="D189" s="33" t="s">
        <v>6</v>
      </c>
      <c r="E189" s="107" t="s">
        <v>91</v>
      </c>
      <c r="F189" s="107" t="s">
        <v>843</v>
      </c>
      <c r="G189" s="36">
        <f t="shared" ref="G189" si="27">TRUNC(R189/R$13,2)</f>
        <v>121496.55</v>
      </c>
      <c r="H189" s="34">
        <v>0</v>
      </c>
      <c r="I189" s="34">
        <v>1</v>
      </c>
      <c r="J189" s="107" t="s">
        <v>59</v>
      </c>
      <c r="K189" s="107" t="s">
        <v>6</v>
      </c>
      <c r="L189" s="37" t="s">
        <v>599</v>
      </c>
      <c r="M189" s="37" t="s">
        <v>597</v>
      </c>
      <c r="N189" s="105" t="s">
        <v>603</v>
      </c>
      <c r="O189" s="37" t="s">
        <v>78</v>
      </c>
      <c r="P189" s="176" t="s">
        <v>14</v>
      </c>
      <c r="Q189" s="188"/>
      <c r="R189" s="84">
        <v>461686.92</v>
      </c>
    </row>
    <row r="190" spans="1:18" ht="20.100000000000001" customHeight="1" x14ac:dyDescent="0.3">
      <c r="A190" s="262"/>
      <c r="B190" s="98" t="s">
        <v>584</v>
      </c>
      <c r="C190" s="7" t="s">
        <v>595</v>
      </c>
      <c r="D190" s="7" t="s">
        <v>6</v>
      </c>
      <c r="E190" s="80" t="s">
        <v>91</v>
      </c>
      <c r="F190" s="80" t="s">
        <v>844</v>
      </c>
      <c r="G190" s="84">
        <f t="shared" ref="G190" si="28">TRUNC(R190/R$13,2)</f>
        <v>132631.45000000001</v>
      </c>
      <c r="H190" s="86">
        <v>0</v>
      </c>
      <c r="I190" s="86">
        <v>1</v>
      </c>
      <c r="J190" s="80" t="s">
        <v>59</v>
      </c>
      <c r="K190" s="80" t="s">
        <v>6</v>
      </c>
      <c r="L190" s="17" t="s">
        <v>598</v>
      </c>
      <c r="M190" s="17" t="s">
        <v>596</v>
      </c>
      <c r="N190" s="184" t="s">
        <v>603</v>
      </c>
      <c r="O190" s="17" t="s">
        <v>78</v>
      </c>
      <c r="P190" s="187" t="s">
        <v>14</v>
      </c>
      <c r="Q190" s="188"/>
      <c r="R190" s="84">
        <v>503999.52</v>
      </c>
    </row>
    <row r="191" spans="1:18" ht="31.35" customHeight="1" x14ac:dyDescent="0.3">
      <c r="A191" s="262"/>
      <c r="B191" s="98" t="s">
        <v>819</v>
      </c>
      <c r="C191" s="7" t="s">
        <v>820</v>
      </c>
      <c r="D191" s="7" t="s">
        <v>6</v>
      </c>
      <c r="E191" s="80">
        <v>5</v>
      </c>
      <c r="F191" s="80" t="s">
        <v>600</v>
      </c>
      <c r="G191" s="84">
        <f t="shared" ref="G191" si="29">TRUNC(R191/R$13,2)</f>
        <v>2160245.66</v>
      </c>
      <c r="H191" s="86">
        <v>0</v>
      </c>
      <c r="I191" s="86">
        <v>1</v>
      </c>
      <c r="J191" s="80" t="s">
        <v>59</v>
      </c>
      <c r="K191" s="80" t="s">
        <v>6</v>
      </c>
      <c r="L191" s="17" t="s">
        <v>601</v>
      </c>
      <c r="M191" s="17" t="s">
        <v>602</v>
      </c>
      <c r="N191" s="184" t="s">
        <v>61</v>
      </c>
      <c r="O191" s="17" t="s">
        <v>78</v>
      </c>
      <c r="P191" s="176" t="s">
        <v>14</v>
      </c>
      <c r="Q191" s="188"/>
      <c r="R191" s="36">
        <v>8208933.5300000003</v>
      </c>
    </row>
    <row r="192" spans="1:18" ht="28.8" customHeight="1" x14ac:dyDescent="0.25">
      <c r="A192" s="262"/>
      <c r="B192" s="98" t="s">
        <v>821</v>
      </c>
      <c r="C192" s="7" t="s">
        <v>822</v>
      </c>
      <c r="D192" s="7" t="s">
        <v>6</v>
      </c>
      <c r="E192" s="80">
        <v>4</v>
      </c>
      <c r="F192" s="80" t="s">
        <v>335</v>
      </c>
      <c r="G192" s="84">
        <f t="shared" ref="G192" si="30">TRUNC(R192/R$13,2)</f>
        <v>3772531.23</v>
      </c>
      <c r="H192" s="86">
        <v>0</v>
      </c>
      <c r="I192" s="86">
        <v>1</v>
      </c>
      <c r="J192" s="80" t="s">
        <v>59</v>
      </c>
      <c r="K192" s="80" t="s">
        <v>6</v>
      </c>
      <c r="L192" s="17" t="s">
        <v>211</v>
      </c>
      <c r="M192" s="17" t="s">
        <v>212</v>
      </c>
      <c r="N192" s="80" t="s">
        <v>61</v>
      </c>
      <c r="O192" s="17" t="s">
        <v>77</v>
      </c>
      <c r="P192" s="187" t="s">
        <v>14</v>
      </c>
      <c r="Q192" s="178"/>
      <c r="R192" s="84">
        <v>14335618.699999999</v>
      </c>
    </row>
    <row r="193" spans="1:18" ht="20.100000000000001" customHeight="1" x14ac:dyDescent="0.3">
      <c r="A193" s="262"/>
      <c r="B193" s="98" t="s">
        <v>823</v>
      </c>
      <c r="C193" s="7" t="s">
        <v>583</v>
      </c>
      <c r="D193" s="7" t="s">
        <v>6</v>
      </c>
      <c r="E193" s="80">
        <v>2</v>
      </c>
      <c r="F193" s="80" t="s">
        <v>77</v>
      </c>
      <c r="G193" s="84">
        <f t="shared" ref="G193:G195" si="31">TRUNC(R193/R$13,2)</f>
        <v>328947.36</v>
      </c>
      <c r="H193" s="86">
        <v>0</v>
      </c>
      <c r="I193" s="86">
        <v>1</v>
      </c>
      <c r="J193" s="80" t="s">
        <v>59</v>
      </c>
      <c r="K193" s="80" t="s">
        <v>6</v>
      </c>
      <c r="L193" s="17" t="s">
        <v>259</v>
      </c>
      <c r="M193" s="17" t="s">
        <v>556</v>
      </c>
      <c r="N193" s="184" t="s">
        <v>61</v>
      </c>
      <c r="O193" s="17" t="s">
        <v>78</v>
      </c>
      <c r="P193" s="133" t="s">
        <v>2</v>
      </c>
      <c r="Q193" s="25"/>
      <c r="R193" s="84">
        <v>1250000</v>
      </c>
    </row>
    <row r="194" spans="1:18" ht="20.100000000000001" customHeight="1" x14ac:dyDescent="0.3">
      <c r="A194" s="262"/>
      <c r="B194" s="98" t="s">
        <v>823</v>
      </c>
      <c r="C194" s="7" t="s">
        <v>583</v>
      </c>
      <c r="D194" s="7" t="s">
        <v>6</v>
      </c>
      <c r="E194" s="80">
        <v>5</v>
      </c>
      <c r="F194" s="80" t="s">
        <v>77</v>
      </c>
      <c r="G194" s="84">
        <f t="shared" si="31"/>
        <v>2763157.89</v>
      </c>
      <c r="H194" s="86">
        <v>0</v>
      </c>
      <c r="I194" s="86">
        <v>1</v>
      </c>
      <c r="J194" s="80" t="s">
        <v>59</v>
      </c>
      <c r="K194" s="80" t="s">
        <v>6</v>
      </c>
      <c r="L194" s="17" t="s">
        <v>115</v>
      </c>
      <c r="M194" s="17" t="s">
        <v>592</v>
      </c>
      <c r="N194" s="184" t="s">
        <v>61</v>
      </c>
      <c r="O194" s="17" t="s">
        <v>78</v>
      </c>
      <c r="P194" s="133" t="s">
        <v>2</v>
      </c>
      <c r="Q194" s="25"/>
      <c r="R194" s="84">
        <v>10500000</v>
      </c>
    </row>
    <row r="195" spans="1:18" ht="20.100000000000001" customHeight="1" thickBot="1" x14ac:dyDescent="0.35">
      <c r="A195" s="275"/>
      <c r="B195" s="64" t="s">
        <v>823</v>
      </c>
      <c r="C195" s="65" t="s">
        <v>583</v>
      </c>
      <c r="D195" s="65" t="s">
        <v>6</v>
      </c>
      <c r="E195" s="113">
        <v>4</v>
      </c>
      <c r="F195" s="113" t="s">
        <v>77</v>
      </c>
      <c r="G195" s="66">
        <f t="shared" si="31"/>
        <v>4815789.47</v>
      </c>
      <c r="H195" s="67">
        <v>0</v>
      </c>
      <c r="I195" s="67">
        <v>1</v>
      </c>
      <c r="J195" s="113" t="s">
        <v>59</v>
      </c>
      <c r="K195" s="88" t="s">
        <v>6</v>
      </c>
      <c r="L195" s="68" t="s">
        <v>590</v>
      </c>
      <c r="M195" s="68" t="s">
        <v>591</v>
      </c>
      <c r="N195" s="106" t="s">
        <v>61</v>
      </c>
      <c r="O195" s="68" t="s">
        <v>78</v>
      </c>
      <c r="P195" s="131" t="s">
        <v>2</v>
      </c>
      <c r="Q195" s="25"/>
      <c r="R195" s="89">
        <v>18300000</v>
      </c>
    </row>
    <row r="196" spans="1:18" ht="28.2" customHeight="1" thickBot="1" x14ac:dyDescent="0.35">
      <c r="A196" s="181" t="s">
        <v>74</v>
      </c>
      <c r="B196" s="64" t="s">
        <v>544</v>
      </c>
      <c r="C196" s="64" t="s">
        <v>334</v>
      </c>
      <c r="D196" s="65" t="s">
        <v>6</v>
      </c>
      <c r="E196" s="113" t="s">
        <v>91</v>
      </c>
      <c r="F196" s="113" t="s">
        <v>77</v>
      </c>
      <c r="G196" s="66">
        <f t="shared" ref="G196" si="32">TRUNC(R196/R$13,2)</f>
        <v>751991.52</v>
      </c>
      <c r="H196" s="67">
        <v>0.8</v>
      </c>
      <c r="I196" s="67">
        <v>0.2</v>
      </c>
      <c r="J196" s="113" t="s">
        <v>57</v>
      </c>
      <c r="K196" s="113" t="s">
        <v>6</v>
      </c>
      <c r="L196" s="68" t="s">
        <v>256</v>
      </c>
      <c r="M196" s="68" t="s">
        <v>255</v>
      </c>
      <c r="N196" s="113" t="s">
        <v>61</v>
      </c>
      <c r="O196" s="68" t="s">
        <v>78</v>
      </c>
      <c r="P196" s="189" t="s">
        <v>2</v>
      </c>
      <c r="Q196" s="137"/>
      <c r="R196" s="66">
        <v>2857567.78</v>
      </c>
    </row>
    <row r="197" spans="1:18" ht="105.9" customHeight="1" thickBot="1" x14ac:dyDescent="0.3">
      <c r="R197" s="139"/>
    </row>
    <row r="198" spans="1:18" ht="20.25" customHeight="1" x14ac:dyDescent="0.25">
      <c r="A198" s="253" t="s">
        <v>50</v>
      </c>
      <c r="B198" s="254"/>
      <c r="C198" s="254"/>
      <c r="D198" s="254"/>
      <c r="E198" s="254"/>
      <c r="F198" s="254"/>
      <c r="G198" s="254"/>
      <c r="H198" s="254"/>
      <c r="I198" s="254"/>
      <c r="J198" s="254"/>
      <c r="K198" s="254"/>
      <c r="L198" s="254"/>
      <c r="M198" s="254"/>
      <c r="N198" s="254"/>
      <c r="O198" s="254"/>
      <c r="P198" s="255"/>
    </row>
    <row r="199" spans="1:18" ht="15" customHeight="1" x14ac:dyDescent="0.25">
      <c r="A199" s="249" t="s">
        <v>46</v>
      </c>
      <c r="B199" s="241" t="s">
        <v>134</v>
      </c>
      <c r="C199" s="241" t="s">
        <v>32</v>
      </c>
      <c r="D199" s="241" t="s">
        <v>47</v>
      </c>
      <c r="E199" s="268" t="s">
        <v>34</v>
      </c>
      <c r="F199" s="288" t="s">
        <v>51</v>
      </c>
      <c r="G199" s="247" t="s">
        <v>36</v>
      </c>
      <c r="H199" s="247"/>
      <c r="I199" s="247"/>
      <c r="J199" s="241" t="s">
        <v>37</v>
      </c>
      <c r="K199" s="241" t="s">
        <v>38</v>
      </c>
      <c r="L199" s="248" t="s">
        <v>1</v>
      </c>
      <c r="M199" s="248"/>
      <c r="N199" s="251" t="s">
        <v>39</v>
      </c>
      <c r="O199" s="241" t="s">
        <v>40</v>
      </c>
      <c r="P199" s="243" t="s">
        <v>3</v>
      </c>
    </row>
    <row r="200" spans="1:18" ht="42.15" customHeight="1" thickBot="1" x14ac:dyDescent="0.3">
      <c r="A200" s="250"/>
      <c r="B200" s="242"/>
      <c r="C200" s="242"/>
      <c r="D200" s="242"/>
      <c r="E200" s="269"/>
      <c r="F200" s="289"/>
      <c r="G200" s="63" t="s">
        <v>41</v>
      </c>
      <c r="H200" s="57" t="s">
        <v>42</v>
      </c>
      <c r="I200" s="58" t="s">
        <v>43</v>
      </c>
      <c r="J200" s="242"/>
      <c r="K200" s="242"/>
      <c r="L200" s="59" t="s">
        <v>52</v>
      </c>
      <c r="M200" s="59" t="s">
        <v>45</v>
      </c>
      <c r="N200" s="252"/>
      <c r="O200" s="242"/>
      <c r="P200" s="244"/>
      <c r="R200" s="114" t="s">
        <v>242</v>
      </c>
    </row>
    <row r="201" spans="1:18" s="82" customFormat="1" ht="39.6" customHeight="1" x14ac:dyDescent="0.25">
      <c r="A201" s="226" t="s">
        <v>76</v>
      </c>
      <c r="B201" s="35" t="s">
        <v>824</v>
      </c>
      <c r="C201" s="19" t="s">
        <v>827</v>
      </c>
      <c r="D201" s="2" t="s">
        <v>6</v>
      </c>
      <c r="E201" s="108">
        <v>3</v>
      </c>
      <c r="F201" s="108" t="s">
        <v>337</v>
      </c>
      <c r="G201" s="10">
        <f>TRUNC(R201/R$13,2)</f>
        <v>1586076.61</v>
      </c>
      <c r="H201" s="11">
        <v>0.8</v>
      </c>
      <c r="I201" s="11">
        <v>0.2</v>
      </c>
      <c r="J201" s="11" t="s">
        <v>57</v>
      </c>
      <c r="K201" s="108" t="s">
        <v>6</v>
      </c>
      <c r="L201" s="16" t="s">
        <v>132</v>
      </c>
      <c r="M201" s="16" t="s">
        <v>256</v>
      </c>
      <c r="N201" s="108" t="s">
        <v>90</v>
      </c>
      <c r="O201" s="21" t="s">
        <v>77</v>
      </c>
      <c r="P201" s="119" t="s">
        <v>9</v>
      </c>
      <c r="R201" s="10">
        <v>6027091.1399999997</v>
      </c>
    </row>
    <row r="202" spans="1:18" s="82" customFormat="1" ht="39.6" customHeight="1" thickBot="1" x14ac:dyDescent="0.3">
      <c r="A202" s="236" t="s">
        <v>76</v>
      </c>
      <c r="B202" s="97" t="s">
        <v>545</v>
      </c>
      <c r="C202" s="97" t="s">
        <v>336</v>
      </c>
      <c r="D202" s="69" t="s">
        <v>62</v>
      </c>
      <c r="E202" s="88" t="s">
        <v>91</v>
      </c>
      <c r="F202" s="88" t="s">
        <v>77</v>
      </c>
      <c r="G202" s="89">
        <f t="shared" ref="G202:G204" si="33">TRUNC(R202/R$13,2)</f>
        <v>1740912.38</v>
      </c>
      <c r="H202" s="91">
        <v>0.8</v>
      </c>
      <c r="I202" s="91">
        <v>0.2</v>
      </c>
      <c r="J202" s="91" t="s">
        <v>57</v>
      </c>
      <c r="K202" s="88" t="s">
        <v>8</v>
      </c>
      <c r="L202" s="92" t="s">
        <v>264</v>
      </c>
      <c r="M202" s="92" t="s">
        <v>276</v>
      </c>
      <c r="N202" s="88"/>
      <c r="O202" s="99" t="s">
        <v>77</v>
      </c>
      <c r="P202" s="138" t="s">
        <v>2</v>
      </c>
      <c r="R202" s="89">
        <v>6615467.0800000001</v>
      </c>
    </row>
    <row r="203" spans="1:18" s="82" customFormat="1" ht="39.6" customHeight="1" thickBot="1" x14ac:dyDescent="0.3">
      <c r="A203" s="44" t="s">
        <v>76</v>
      </c>
      <c r="B203" s="94" t="s">
        <v>825</v>
      </c>
      <c r="C203" s="94" t="s">
        <v>828</v>
      </c>
      <c r="D203" s="46" t="s">
        <v>6</v>
      </c>
      <c r="E203" s="45">
        <v>3</v>
      </c>
      <c r="F203" s="45" t="s">
        <v>337</v>
      </c>
      <c r="G203" s="89">
        <f t="shared" si="33"/>
        <v>480679.25</v>
      </c>
      <c r="H203" s="96">
        <v>0.8</v>
      </c>
      <c r="I203" s="96">
        <v>0.2</v>
      </c>
      <c r="J203" s="96" t="s">
        <v>57</v>
      </c>
      <c r="K203" s="45" t="s">
        <v>6</v>
      </c>
      <c r="L203" s="47" t="s">
        <v>132</v>
      </c>
      <c r="M203" s="47" t="s">
        <v>256</v>
      </c>
      <c r="N203" s="45" t="s">
        <v>90</v>
      </c>
      <c r="O203" s="237" t="s">
        <v>77</v>
      </c>
      <c r="P203" s="238" t="s">
        <v>9</v>
      </c>
      <c r="R203" s="95">
        <v>1826581.18</v>
      </c>
    </row>
    <row r="204" spans="1:18" s="82" customFormat="1" ht="39.6" customHeight="1" thickBot="1" x14ac:dyDescent="0.3">
      <c r="A204" s="44" t="s">
        <v>76</v>
      </c>
      <c r="B204" s="94" t="s">
        <v>826</v>
      </c>
      <c r="C204" s="94" t="s">
        <v>829</v>
      </c>
      <c r="D204" s="46" t="s">
        <v>6</v>
      </c>
      <c r="E204" s="45">
        <v>3</v>
      </c>
      <c r="F204" s="45" t="s">
        <v>337</v>
      </c>
      <c r="G204" s="89">
        <f t="shared" si="33"/>
        <v>6139045.96</v>
      </c>
      <c r="H204" s="96">
        <v>0.8</v>
      </c>
      <c r="I204" s="96">
        <v>0.2</v>
      </c>
      <c r="J204" s="96" t="s">
        <v>57</v>
      </c>
      <c r="K204" s="45" t="s">
        <v>6</v>
      </c>
      <c r="L204" s="47" t="s">
        <v>132</v>
      </c>
      <c r="M204" s="47" t="s">
        <v>256</v>
      </c>
      <c r="N204" s="45" t="s">
        <v>90</v>
      </c>
      <c r="O204" s="237" t="s">
        <v>77</v>
      </c>
      <c r="P204" s="238" t="s">
        <v>9</v>
      </c>
      <c r="R204" s="95">
        <v>23328374.68</v>
      </c>
    </row>
    <row r="205" spans="1:18" s="82" customFormat="1" ht="38.549999999999997" customHeight="1" thickBot="1" x14ac:dyDescent="0.3">
      <c r="A205" s="44" t="s">
        <v>76</v>
      </c>
      <c r="B205" s="94" t="s">
        <v>546</v>
      </c>
      <c r="C205" s="94" t="s">
        <v>340</v>
      </c>
      <c r="D205" s="46" t="s">
        <v>62</v>
      </c>
      <c r="E205" s="45" t="s">
        <v>91</v>
      </c>
      <c r="F205" s="45" t="s">
        <v>78</v>
      </c>
      <c r="G205" s="95">
        <f>TRUNC(R205/R$13,2)</f>
        <v>2030625</v>
      </c>
      <c r="H205" s="96">
        <v>0.8</v>
      </c>
      <c r="I205" s="96">
        <v>0.2</v>
      </c>
      <c r="J205" s="96" t="s">
        <v>57</v>
      </c>
      <c r="K205" s="45" t="s">
        <v>8</v>
      </c>
      <c r="L205" s="47" t="s">
        <v>273</v>
      </c>
      <c r="M205" s="47" t="s">
        <v>276</v>
      </c>
      <c r="N205" s="45"/>
      <c r="O205" s="237" t="s">
        <v>77</v>
      </c>
      <c r="P205" s="239" t="s">
        <v>2</v>
      </c>
      <c r="R205" s="95">
        <v>7716375</v>
      </c>
    </row>
    <row r="206" spans="1:18" s="82" customFormat="1" ht="31.95" customHeight="1" thickBot="1" x14ac:dyDescent="0.3">
      <c r="A206" s="44" t="s">
        <v>76</v>
      </c>
      <c r="B206" s="94" t="s">
        <v>548</v>
      </c>
      <c r="C206" s="94" t="s">
        <v>88</v>
      </c>
      <c r="D206" s="46" t="s">
        <v>64</v>
      </c>
      <c r="E206" s="45" t="s">
        <v>91</v>
      </c>
      <c r="F206" s="45" t="s">
        <v>78</v>
      </c>
      <c r="G206" s="95">
        <f>TRUNC(R206/R$13,2)</f>
        <v>2813984</v>
      </c>
      <c r="H206" s="96">
        <v>1</v>
      </c>
      <c r="I206" s="96">
        <v>0</v>
      </c>
      <c r="J206" s="96" t="s">
        <v>60</v>
      </c>
      <c r="K206" s="45" t="s">
        <v>8</v>
      </c>
      <c r="L206" s="47" t="s">
        <v>82</v>
      </c>
      <c r="M206" s="47" t="s">
        <v>81</v>
      </c>
      <c r="N206" s="45"/>
      <c r="O206" s="237" t="s">
        <v>77</v>
      </c>
      <c r="P206" s="239" t="s">
        <v>2</v>
      </c>
      <c r="R206" s="95">
        <v>10693139.199999999</v>
      </c>
    </row>
    <row r="207" spans="1:18" s="82" customFormat="1" ht="31.95" customHeight="1" thickBot="1" x14ac:dyDescent="0.3">
      <c r="A207" s="44" t="s">
        <v>76</v>
      </c>
      <c r="B207" s="94" t="s">
        <v>549</v>
      </c>
      <c r="C207" s="94" t="s">
        <v>133</v>
      </c>
      <c r="D207" s="46" t="s">
        <v>64</v>
      </c>
      <c r="E207" s="45" t="s">
        <v>91</v>
      </c>
      <c r="F207" s="45" t="s">
        <v>78</v>
      </c>
      <c r="G207" s="95">
        <f>TRUNC(R207/R$13,2)</f>
        <v>398186</v>
      </c>
      <c r="H207" s="96">
        <v>1</v>
      </c>
      <c r="I207" s="96">
        <v>0</v>
      </c>
      <c r="J207" s="96" t="s">
        <v>60</v>
      </c>
      <c r="K207" s="45" t="s">
        <v>8</v>
      </c>
      <c r="L207" s="47" t="s">
        <v>82</v>
      </c>
      <c r="M207" s="47" t="s">
        <v>81</v>
      </c>
      <c r="N207" s="45"/>
      <c r="O207" s="237" t="s">
        <v>77</v>
      </c>
      <c r="P207" s="239" t="s">
        <v>2</v>
      </c>
      <c r="R207" s="95">
        <v>1513106.8</v>
      </c>
    </row>
    <row r="208" spans="1:18" s="82" customFormat="1" ht="31.95" customHeight="1" thickBot="1" x14ac:dyDescent="0.3">
      <c r="A208" s="234" t="s">
        <v>76</v>
      </c>
      <c r="B208" s="64" t="s">
        <v>550</v>
      </c>
      <c r="C208" s="64" t="s">
        <v>338</v>
      </c>
      <c r="D208" s="65" t="s">
        <v>64</v>
      </c>
      <c r="E208" s="113" t="s">
        <v>91</v>
      </c>
      <c r="F208" s="113" t="s">
        <v>78</v>
      </c>
      <c r="G208" s="66">
        <f t="shared" ref="G208" si="34">TRUNC(R208/R$13,2)</f>
        <v>468750</v>
      </c>
      <c r="H208" s="67">
        <v>1</v>
      </c>
      <c r="I208" s="67">
        <v>0</v>
      </c>
      <c r="J208" s="67" t="s">
        <v>58</v>
      </c>
      <c r="K208" s="113" t="s">
        <v>8</v>
      </c>
      <c r="L208" s="68" t="s">
        <v>254</v>
      </c>
      <c r="M208" s="68" t="s">
        <v>277</v>
      </c>
      <c r="N208" s="113"/>
      <c r="O208" s="240" t="s">
        <v>77</v>
      </c>
      <c r="P208" s="189" t="s">
        <v>2</v>
      </c>
      <c r="R208" s="66">
        <v>1781250</v>
      </c>
    </row>
    <row r="209" spans="1:18" ht="43.2" customHeight="1" thickBot="1" x14ac:dyDescent="0.3">
      <c r="A209" s="4"/>
      <c r="B209" s="8"/>
      <c r="C209" s="4"/>
      <c r="D209" s="4"/>
      <c r="E209" s="4"/>
      <c r="F209" s="8"/>
      <c r="G209" s="5"/>
      <c r="H209" s="5"/>
      <c r="I209" s="6"/>
      <c r="J209" s="15"/>
      <c r="K209" s="8"/>
      <c r="L209" s="50"/>
      <c r="M209" s="50"/>
      <c r="N209" s="8"/>
      <c r="O209" s="4"/>
      <c r="P209" s="8"/>
      <c r="R209" s="5"/>
    </row>
    <row r="210" spans="1:18" ht="20.25" customHeight="1" x14ac:dyDescent="0.25">
      <c r="A210" s="253" t="s">
        <v>83</v>
      </c>
      <c r="B210" s="254"/>
      <c r="C210" s="254"/>
      <c r="D210" s="254"/>
      <c r="E210" s="254"/>
      <c r="F210" s="254"/>
      <c r="G210" s="254"/>
      <c r="H210" s="254"/>
      <c r="I210" s="254"/>
      <c r="J210" s="254"/>
      <c r="K210" s="254"/>
      <c r="L210" s="254"/>
      <c r="M210" s="254"/>
      <c r="N210" s="254"/>
      <c r="O210" s="254"/>
      <c r="P210" s="255"/>
    </row>
    <row r="211" spans="1:18" ht="15" customHeight="1" x14ac:dyDescent="0.25">
      <c r="A211" s="249" t="s">
        <v>46</v>
      </c>
      <c r="B211" s="241" t="s">
        <v>4</v>
      </c>
      <c r="C211" s="241" t="s">
        <v>32</v>
      </c>
      <c r="D211" s="241" t="s">
        <v>47</v>
      </c>
      <c r="E211" s="241" t="s">
        <v>35</v>
      </c>
      <c r="F211" s="247" t="s">
        <v>36</v>
      </c>
      <c r="G211" s="247"/>
      <c r="H211" s="247"/>
      <c r="I211" s="245" t="s">
        <v>53</v>
      </c>
      <c r="J211" s="241" t="s">
        <v>37</v>
      </c>
      <c r="K211" s="241" t="s">
        <v>38</v>
      </c>
      <c r="L211" s="248" t="s">
        <v>1</v>
      </c>
      <c r="M211" s="248"/>
      <c r="N211" s="251" t="s">
        <v>39</v>
      </c>
      <c r="O211" s="241" t="s">
        <v>40</v>
      </c>
      <c r="P211" s="243" t="s">
        <v>3</v>
      </c>
    </row>
    <row r="212" spans="1:18" ht="42.15" customHeight="1" thickBot="1" x14ac:dyDescent="0.3">
      <c r="A212" s="250"/>
      <c r="B212" s="242"/>
      <c r="C212" s="242"/>
      <c r="D212" s="242"/>
      <c r="E212" s="242"/>
      <c r="F212" s="63" t="s">
        <v>41</v>
      </c>
      <c r="G212" s="57" t="s">
        <v>42</v>
      </c>
      <c r="H212" s="58" t="s">
        <v>43</v>
      </c>
      <c r="I212" s="246"/>
      <c r="J212" s="242"/>
      <c r="K212" s="242"/>
      <c r="L212" s="59" t="s">
        <v>54</v>
      </c>
      <c r="M212" s="59" t="s">
        <v>55</v>
      </c>
      <c r="N212" s="252"/>
      <c r="O212" s="242"/>
      <c r="P212" s="244"/>
      <c r="R212" s="114" t="s">
        <v>242</v>
      </c>
    </row>
    <row r="213" spans="1:18" ht="28.8" customHeight="1" x14ac:dyDescent="0.25">
      <c r="A213" s="210" t="s">
        <v>76</v>
      </c>
      <c r="B213" s="35" t="s">
        <v>547</v>
      </c>
      <c r="C213" s="35" t="s">
        <v>87</v>
      </c>
      <c r="D213" s="2" t="s">
        <v>29</v>
      </c>
      <c r="E213" s="107" t="s">
        <v>91</v>
      </c>
      <c r="F213" s="107" t="s">
        <v>78</v>
      </c>
      <c r="G213" s="36">
        <f>TRUNC(R213/R$13,2)</f>
        <v>225330</v>
      </c>
      <c r="H213" s="34">
        <v>1</v>
      </c>
      <c r="I213" s="34">
        <v>0</v>
      </c>
      <c r="J213" s="34" t="s">
        <v>60</v>
      </c>
      <c r="K213" s="22" t="s">
        <v>8</v>
      </c>
      <c r="L213" s="37" t="s">
        <v>82</v>
      </c>
      <c r="M213" s="37" t="s">
        <v>81</v>
      </c>
      <c r="N213" s="107"/>
      <c r="O213" s="93" t="s">
        <v>77</v>
      </c>
      <c r="P213" s="214" t="s">
        <v>2</v>
      </c>
      <c r="R213" s="36">
        <v>856254</v>
      </c>
    </row>
    <row r="214" spans="1:18" ht="20.25" customHeight="1" thickBot="1" x14ac:dyDescent="0.3">
      <c r="A214" s="18"/>
      <c r="B214" s="41"/>
      <c r="C214" s="20"/>
      <c r="D214" s="3"/>
      <c r="E214" s="41"/>
      <c r="F214" s="9"/>
      <c r="G214" s="14"/>
      <c r="H214" s="14"/>
      <c r="I214" s="51"/>
      <c r="J214" s="41"/>
      <c r="K214" s="41"/>
      <c r="L214" s="43"/>
      <c r="M214" s="43"/>
      <c r="N214" s="41"/>
      <c r="O214" s="52"/>
      <c r="P214" s="125"/>
      <c r="R214" s="14"/>
    </row>
    <row r="215" spans="1:18" ht="43.2" customHeight="1" thickBot="1" x14ac:dyDescent="0.3">
      <c r="A215" s="4"/>
      <c r="B215" s="8"/>
      <c r="C215" s="4"/>
      <c r="D215" s="4"/>
      <c r="E215" s="4"/>
      <c r="F215" s="8"/>
      <c r="G215" s="13"/>
      <c r="H215" s="5"/>
      <c r="I215" s="6"/>
      <c r="J215" s="15"/>
      <c r="K215" s="8"/>
      <c r="L215" s="50"/>
      <c r="M215" s="50"/>
      <c r="N215" s="8"/>
      <c r="O215" s="4"/>
      <c r="P215" s="8"/>
      <c r="R215" s="13"/>
    </row>
    <row r="216" spans="1:18" ht="22.2" customHeight="1" x14ac:dyDescent="0.25">
      <c r="A216" s="253" t="s">
        <v>89</v>
      </c>
      <c r="B216" s="254"/>
      <c r="C216" s="254"/>
      <c r="D216" s="254"/>
      <c r="E216" s="254"/>
      <c r="F216" s="254"/>
      <c r="G216" s="254"/>
      <c r="H216" s="254"/>
      <c r="I216" s="254"/>
      <c r="J216" s="254"/>
      <c r="K216" s="254"/>
      <c r="L216" s="254"/>
      <c r="M216" s="254"/>
      <c r="N216" s="254"/>
      <c r="O216" s="254"/>
      <c r="P216" s="255"/>
    </row>
    <row r="217" spans="1:18" ht="15.45" customHeight="1" x14ac:dyDescent="0.25">
      <c r="A217" s="249" t="s">
        <v>31</v>
      </c>
      <c r="B217" s="241" t="s">
        <v>4</v>
      </c>
      <c r="C217" s="241" t="s">
        <v>32</v>
      </c>
      <c r="D217" s="241" t="s">
        <v>33</v>
      </c>
      <c r="E217" s="241" t="s">
        <v>34</v>
      </c>
      <c r="F217" s="241" t="s">
        <v>35</v>
      </c>
      <c r="G217" s="247" t="s">
        <v>36</v>
      </c>
      <c r="H217" s="247"/>
      <c r="I217" s="247"/>
      <c r="J217" s="241" t="s">
        <v>37</v>
      </c>
      <c r="K217" s="241" t="s">
        <v>38</v>
      </c>
      <c r="L217" s="248" t="s">
        <v>1</v>
      </c>
      <c r="M217" s="248"/>
      <c r="N217" s="251" t="s">
        <v>39</v>
      </c>
      <c r="O217" s="241" t="s">
        <v>40</v>
      </c>
      <c r="P217" s="243" t="s">
        <v>3</v>
      </c>
    </row>
    <row r="218" spans="1:18" ht="41.7" customHeight="1" thickBot="1" x14ac:dyDescent="0.3">
      <c r="A218" s="250"/>
      <c r="B218" s="242"/>
      <c r="C218" s="242"/>
      <c r="D218" s="242"/>
      <c r="E218" s="242"/>
      <c r="F218" s="242"/>
      <c r="G218" s="57" t="s">
        <v>41</v>
      </c>
      <c r="H218" s="70" t="s">
        <v>42</v>
      </c>
      <c r="I218" s="70" t="s">
        <v>43</v>
      </c>
      <c r="J218" s="242"/>
      <c r="K218" s="242"/>
      <c r="L218" s="59" t="s">
        <v>44</v>
      </c>
      <c r="M218" s="59" t="s">
        <v>45</v>
      </c>
      <c r="N218" s="252"/>
      <c r="O218" s="242"/>
      <c r="P218" s="244"/>
      <c r="R218" s="114" t="s">
        <v>242</v>
      </c>
    </row>
    <row r="219" spans="1:18" ht="21" customHeight="1" x14ac:dyDescent="0.25">
      <c r="A219" s="111"/>
      <c r="B219" s="108"/>
      <c r="C219" s="19"/>
      <c r="D219" s="2"/>
      <c r="E219" s="108"/>
      <c r="F219" s="108"/>
      <c r="G219" s="10"/>
      <c r="H219" s="12"/>
      <c r="I219" s="11"/>
      <c r="J219" s="11"/>
      <c r="K219" s="108"/>
      <c r="L219" s="16"/>
      <c r="M219" s="16"/>
      <c r="N219" s="108"/>
      <c r="O219" s="16"/>
      <c r="P219" s="129"/>
      <c r="R219" s="10"/>
    </row>
    <row r="220" spans="1:18" ht="21" customHeight="1" x14ac:dyDescent="0.25">
      <c r="A220" s="112"/>
      <c r="B220" s="80"/>
      <c r="C220" s="35"/>
      <c r="D220" s="33"/>
      <c r="E220" s="107"/>
      <c r="F220" s="107"/>
      <c r="G220" s="84"/>
      <c r="H220" s="85"/>
      <c r="I220" s="86"/>
      <c r="J220" s="86"/>
      <c r="K220" s="107"/>
      <c r="L220" s="37"/>
      <c r="M220" s="37"/>
      <c r="N220" s="107"/>
      <c r="O220" s="37"/>
      <c r="P220" s="180"/>
      <c r="R220" s="84"/>
    </row>
    <row r="221" spans="1:18" ht="14.4" hidden="1" x14ac:dyDescent="0.3">
      <c r="A221" s="25"/>
      <c r="B221" s="23"/>
      <c r="C221" s="24"/>
      <c r="D221" s="25"/>
      <c r="E221" s="25"/>
      <c r="F221" s="26"/>
      <c r="G221" s="27"/>
      <c r="H221" s="28"/>
      <c r="I221" s="28"/>
      <c r="J221" s="26"/>
      <c r="K221" s="26"/>
      <c r="L221" s="48"/>
      <c r="M221" s="48"/>
      <c r="N221" s="26"/>
      <c r="R221" s="27"/>
    </row>
    <row r="222" spans="1:18" ht="23.55" hidden="1" customHeight="1" x14ac:dyDescent="0.3">
      <c r="A222" s="282" t="s">
        <v>5</v>
      </c>
      <c r="B222" s="38" t="s">
        <v>6</v>
      </c>
      <c r="C222" s="24"/>
      <c r="D222" s="25"/>
      <c r="E222" s="25"/>
      <c r="F222" s="26"/>
      <c r="G222" s="27"/>
      <c r="H222" s="28"/>
      <c r="I222" s="28"/>
      <c r="J222" s="26"/>
      <c r="K222" s="26"/>
      <c r="L222" s="48"/>
      <c r="M222" s="48"/>
      <c r="N222" s="26"/>
      <c r="R222" s="27"/>
    </row>
    <row r="223" spans="1:18" ht="14.4" hidden="1" x14ac:dyDescent="0.3">
      <c r="A223" s="283"/>
      <c r="B223" s="38" t="s">
        <v>7</v>
      </c>
      <c r="C223" s="24"/>
      <c r="D223" s="25"/>
      <c r="E223" s="25"/>
      <c r="F223" s="26"/>
      <c r="G223" s="27"/>
      <c r="H223" s="28"/>
      <c r="I223" s="28"/>
      <c r="J223" s="26"/>
      <c r="K223" s="26"/>
      <c r="L223" s="48"/>
      <c r="M223" s="48"/>
      <c r="N223" s="26"/>
      <c r="R223" s="27"/>
    </row>
    <row r="224" spans="1:18" ht="14.4" hidden="1" x14ac:dyDescent="0.3">
      <c r="A224" s="284"/>
      <c r="B224" s="39" t="s">
        <v>8</v>
      </c>
      <c r="C224" s="24"/>
      <c r="D224" s="25"/>
      <c r="E224" s="25"/>
      <c r="F224" s="26"/>
      <c r="G224" s="27"/>
      <c r="H224" s="28"/>
      <c r="I224" s="28"/>
      <c r="J224" s="26"/>
      <c r="K224" s="26"/>
      <c r="L224" s="48"/>
      <c r="M224" s="48"/>
      <c r="N224" s="26"/>
      <c r="R224" s="27"/>
    </row>
    <row r="225" spans="1:18" ht="14.4" hidden="1" x14ac:dyDescent="0.3">
      <c r="A225" s="25"/>
      <c r="B225" s="23"/>
      <c r="C225" s="24"/>
      <c r="D225" s="25"/>
      <c r="E225" s="25"/>
      <c r="F225" s="26"/>
      <c r="G225" s="27"/>
      <c r="H225" s="28"/>
      <c r="I225" s="28"/>
      <c r="J225" s="26"/>
      <c r="K225" s="26"/>
      <c r="L225" s="48"/>
      <c r="M225" s="48"/>
      <c r="N225" s="26"/>
      <c r="R225" s="27"/>
    </row>
    <row r="226" spans="1:18" ht="14.4" hidden="1" x14ac:dyDescent="0.3">
      <c r="A226" s="285" t="s">
        <v>3</v>
      </c>
      <c r="B226" s="38" t="s">
        <v>2</v>
      </c>
      <c r="C226" s="24"/>
      <c r="D226" s="25"/>
      <c r="E226" s="25"/>
      <c r="F226" s="26"/>
      <c r="G226" s="27"/>
      <c r="H226" s="28"/>
      <c r="I226" s="28"/>
      <c r="J226" s="26"/>
      <c r="K226" s="26"/>
      <c r="L226" s="48"/>
      <c r="M226" s="48"/>
      <c r="N226" s="26"/>
      <c r="R226" s="27"/>
    </row>
    <row r="227" spans="1:18" ht="14.4" hidden="1" x14ac:dyDescent="0.3">
      <c r="A227" s="286"/>
      <c r="B227" s="38" t="s">
        <v>9</v>
      </c>
      <c r="C227" s="24"/>
      <c r="D227" s="25"/>
      <c r="E227" s="25"/>
      <c r="F227" s="26"/>
      <c r="G227" s="27"/>
      <c r="H227" s="28"/>
      <c r="I227" s="28"/>
      <c r="J227" s="26"/>
      <c r="K227" s="26"/>
      <c r="L227" s="48"/>
      <c r="M227" s="48"/>
      <c r="N227" s="26"/>
      <c r="R227" s="27"/>
    </row>
    <row r="228" spans="1:18" ht="14.4" hidden="1" x14ac:dyDescent="0.3">
      <c r="A228" s="286"/>
      <c r="B228" s="38" t="s">
        <v>10</v>
      </c>
      <c r="C228" s="24"/>
      <c r="D228" s="25"/>
      <c r="E228" s="25"/>
      <c r="F228" s="26"/>
      <c r="G228" s="27"/>
      <c r="H228" s="28"/>
      <c r="I228" s="28"/>
      <c r="J228" s="26"/>
      <c r="K228" s="26"/>
      <c r="L228" s="48"/>
      <c r="M228" s="48"/>
      <c r="N228" s="26"/>
      <c r="R228" s="27"/>
    </row>
    <row r="229" spans="1:18" ht="14.4" hidden="1" x14ac:dyDescent="0.3">
      <c r="A229" s="286"/>
      <c r="B229" s="38" t="s">
        <v>11</v>
      </c>
      <c r="C229" s="24"/>
      <c r="D229" s="25"/>
      <c r="E229" s="25"/>
      <c r="F229" s="26"/>
      <c r="G229" s="27"/>
      <c r="H229" s="28"/>
      <c r="I229" s="28"/>
      <c r="J229" s="26"/>
      <c r="K229" s="26"/>
      <c r="L229" s="48"/>
      <c r="M229" s="48"/>
      <c r="N229" s="26"/>
      <c r="R229" s="27"/>
    </row>
    <row r="230" spans="1:18" ht="27.6" hidden="1" x14ac:dyDescent="0.3">
      <c r="A230" s="286"/>
      <c r="B230" s="38" t="s">
        <v>12</v>
      </c>
      <c r="C230" s="24"/>
      <c r="D230" s="25"/>
      <c r="E230" s="25"/>
      <c r="F230" s="26"/>
      <c r="G230" s="27"/>
      <c r="H230" s="28"/>
      <c r="I230" s="28"/>
      <c r="J230" s="26"/>
      <c r="K230" s="26"/>
      <c r="L230" s="48"/>
      <c r="M230" s="48"/>
      <c r="N230" s="26"/>
      <c r="R230" s="27"/>
    </row>
    <row r="231" spans="1:18" ht="14.4" hidden="1" x14ac:dyDescent="0.3">
      <c r="A231" s="286"/>
      <c r="B231" s="38" t="s">
        <v>13</v>
      </c>
      <c r="C231" s="24"/>
      <c r="D231" s="25"/>
      <c r="E231" s="25"/>
      <c r="F231" s="26"/>
      <c r="G231" s="27"/>
      <c r="H231" s="28"/>
      <c r="I231" s="28"/>
      <c r="J231" s="26"/>
      <c r="K231" s="26"/>
      <c r="L231" s="48"/>
      <c r="M231" s="48"/>
      <c r="N231" s="26"/>
      <c r="R231" s="27"/>
    </row>
    <row r="232" spans="1:18" ht="14.4" hidden="1" x14ac:dyDescent="0.3">
      <c r="A232" s="286"/>
      <c r="B232" s="38" t="s">
        <v>14</v>
      </c>
      <c r="C232" s="24"/>
      <c r="D232" s="25"/>
      <c r="E232" s="25"/>
      <c r="F232" s="26"/>
      <c r="G232" s="27"/>
      <c r="H232" s="28"/>
      <c r="I232" s="28"/>
      <c r="J232" s="26"/>
      <c r="K232" s="26"/>
      <c r="L232" s="48"/>
      <c r="M232" s="48"/>
      <c r="N232" s="26"/>
      <c r="R232" s="27"/>
    </row>
    <row r="233" spans="1:18" ht="14.4" hidden="1" x14ac:dyDescent="0.3">
      <c r="A233" s="287"/>
      <c r="B233" s="38" t="s">
        <v>15</v>
      </c>
      <c r="C233" s="24"/>
      <c r="D233" s="25"/>
      <c r="E233" s="25"/>
      <c r="F233" s="26"/>
      <c r="G233" s="27"/>
      <c r="H233" s="28"/>
      <c r="I233" s="28"/>
      <c r="J233" s="26"/>
      <c r="K233" s="26"/>
      <c r="L233" s="48"/>
      <c r="M233" s="48"/>
      <c r="N233" s="26"/>
      <c r="R233" s="27"/>
    </row>
    <row r="234" spans="1:18" ht="14.4" hidden="1" x14ac:dyDescent="0.3">
      <c r="A234" s="25"/>
      <c r="B234" s="23"/>
      <c r="C234" s="24"/>
      <c r="D234" s="25"/>
      <c r="E234" s="25"/>
      <c r="F234" s="26"/>
      <c r="G234" s="27"/>
      <c r="H234" s="28"/>
      <c r="I234" s="28"/>
      <c r="J234" s="26"/>
      <c r="K234" s="26"/>
      <c r="L234" s="48"/>
      <c r="M234" s="48"/>
      <c r="N234" s="26"/>
      <c r="R234" s="27"/>
    </row>
    <row r="235" spans="1:18" ht="14.4" hidden="1" x14ac:dyDescent="0.3">
      <c r="A235" s="276" t="s">
        <v>16</v>
      </c>
      <c r="B235" s="277" t="s">
        <v>56</v>
      </c>
      <c r="C235" s="40" t="s">
        <v>62</v>
      </c>
      <c r="D235" s="25"/>
      <c r="E235" s="25"/>
      <c r="F235" s="26"/>
      <c r="G235" s="27"/>
      <c r="H235" s="28"/>
      <c r="I235" s="28"/>
      <c r="J235" s="26"/>
      <c r="K235" s="26"/>
      <c r="L235" s="48"/>
      <c r="M235" s="48"/>
      <c r="N235" s="26"/>
      <c r="R235" s="27"/>
    </row>
    <row r="236" spans="1:18" ht="14.4" hidden="1" x14ac:dyDescent="0.3">
      <c r="A236" s="276"/>
      <c r="B236" s="277"/>
      <c r="C236" s="40" t="s">
        <v>65</v>
      </c>
      <c r="D236" s="25"/>
      <c r="E236" s="25"/>
      <c r="F236" s="26"/>
      <c r="G236" s="27"/>
      <c r="H236" s="28"/>
      <c r="I236" s="28"/>
      <c r="J236" s="26"/>
      <c r="K236" s="26"/>
      <c r="L236" s="48"/>
      <c r="M236" s="48"/>
      <c r="N236" s="26"/>
      <c r="R236" s="27"/>
    </row>
    <row r="237" spans="1:18" ht="14.4" hidden="1" x14ac:dyDescent="0.3">
      <c r="A237" s="276"/>
      <c r="B237" s="277"/>
      <c r="C237" s="40" t="s">
        <v>17</v>
      </c>
      <c r="D237" s="25"/>
      <c r="E237" s="25"/>
      <c r="F237" s="26"/>
      <c r="G237" s="27"/>
      <c r="H237" s="28"/>
      <c r="I237" s="28"/>
      <c r="J237" s="26"/>
      <c r="K237" s="26"/>
      <c r="L237" s="48"/>
      <c r="M237" s="48"/>
      <c r="N237" s="26"/>
      <c r="R237" s="27"/>
    </row>
    <row r="238" spans="1:18" ht="14.4" hidden="1" x14ac:dyDescent="0.3">
      <c r="A238" s="276"/>
      <c r="B238" s="277"/>
      <c r="C238" s="40" t="s">
        <v>64</v>
      </c>
      <c r="D238" s="25"/>
      <c r="E238" s="25"/>
      <c r="F238" s="26"/>
      <c r="G238" s="27"/>
      <c r="H238" s="28"/>
      <c r="I238" s="28"/>
      <c r="J238" s="26"/>
      <c r="K238" s="26"/>
      <c r="L238" s="48"/>
      <c r="M238" s="48"/>
      <c r="N238" s="26"/>
      <c r="R238" s="27"/>
    </row>
    <row r="239" spans="1:18" ht="14.4" hidden="1" x14ac:dyDescent="0.3">
      <c r="A239" s="276"/>
      <c r="B239" s="277"/>
      <c r="C239" s="40" t="s">
        <v>6</v>
      </c>
      <c r="D239" s="25"/>
      <c r="E239" s="25"/>
      <c r="F239" s="26"/>
      <c r="G239" s="27"/>
      <c r="H239" s="28"/>
      <c r="I239" s="28"/>
      <c r="J239" s="26"/>
      <c r="K239" s="26"/>
      <c r="L239" s="48"/>
      <c r="M239" s="48"/>
      <c r="N239" s="26"/>
      <c r="R239" s="27"/>
    </row>
    <row r="240" spans="1:18" ht="14.4" hidden="1" x14ac:dyDescent="0.3">
      <c r="A240" s="276"/>
      <c r="B240" s="277"/>
      <c r="C240" s="40" t="s">
        <v>66</v>
      </c>
      <c r="D240" s="25"/>
      <c r="E240" s="25"/>
      <c r="F240" s="26"/>
      <c r="G240" s="27"/>
      <c r="H240" s="28"/>
      <c r="I240" s="28"/>
      <c r="J240" s="26"/>
      <c r="K240" s="26"/>
      <c r="L240" s="48"/>
      <c r="M240" s="48"/>
      <c r="N240" s="26"/>
      <c r="R240" s="27"/>
    </row>
    <row r="241" spans="1:18" ht="14.4" hidden="1" x14ac:dyDescent="0.3">
      <c r="A241" s="276"/>
      <c r="B241" s="277"/>
      <c r="C241" s="40" t="s">
        <v>63</v>
      </c>
      <c r="D241" s="25"/>
      <c r="E241" s="25"/>
      <c r="F241" s="26"/>
      <c r="G241" s="27"/>
      <c r="H241" s="28"/>
      <c r="I241" s="28"/>
      <c r="J241" s="26"/>
      <c r="K241" s="26"/>
      <c r="L241" s="48"/>
      <c r="M241" s="48"/>
      <c r="N241" s="26"/>
      <c r="R241" s="27"/>
    </row>
    <row r="242" spans="1:18" ht="14.4" hidden="1" x14ac:dyDescent="0.3">
      <c r="A242" s="276"/>
      <c r="B242" s="278" t="s">
        <v>19</v>
      </c>
      <c r="C242" s="40" t="s">
        <v>20</v>
      </c>
      <c r="D242" s="25"/>
      <c r="E242" s="25"/>
      <c r="F242" s="26"/>
      <c r="G242" s="27"/>
      <c r="H242" s="28"/>
      <c r="I242" s="28"/>
      <c r="J242" s="26"/>
      <c r="K242" s="26"/>
      <c r="L242" s="48"/>
      <c r="M242" s="48"/>
      <c r="N242" s="26"/>
      <c r="R242" s="27"/>
    </row>
    <row r="243" spans="1:18" ht="14.4" hidden="1" x14ac:dyDescent="0.3">
      <c r="A243" s="276"/>
      <c r="B243" s="278"/>
      <c r="C243" s="40" t="s">
        <v>21</v>
      </c>
      <c r="D243" s="25"/>
      <c r="E243" s="25"/>
      <c r="F243" s="26"/>
      <c r="G243" s="27"/>
      <c r="H243" s="28"/>
      <c r="I243" s="28"/>
      <c r="J243" s="26"/>
      <c r="K243" s="26"/>
      <c r="L243" s="48"/>
      <c r="M243" s="48"/>
      <c r="N243" s="26"/>
      <c r="R243" s="27"/>
    </row>
    <row r="244" spans="1:18" ht="14.4" hidden="1" x14ac:dyDescent="0.3">
      <c r="A244" s="276"/>
      <c r="B244" s="278"/>
      <c r="C244" s="40" t="s">
        <v>22</v>
      </c>
      <c r="D244" s="25"/>
      <c r="E244" s="25"/>
      <c r="F244" s="26"/>
      <c r="G244" s="27"/>
      <c r="H244" s="28"/>
      <c r="I244" s="28"/>
      <c r="J244" s="26"/>
      <c r="K244" s="26"/>
      <c r="L244" s="48"/>
      <c r="M244" s="48"/>
      <c r="N244" s="26"/>
      <c r="R244" s="27"/>
    </row>
    <row r="245" spans="1:18" ht="14.4" hidden="1" x14ac:dyDescent="0.3">
      <c r="A245" s="276"/>
      <c r="B245" s="278"/>
      <c r="C245" s="40" t="s">
        <v>18</v>
      </c>
      <c r="D245" s="25"/>
      <c r="E245" s="25"/>
      <c r="F245" s="26"/>
      <c r="G245" s="27"/>
      <c r="H245" s="28"/>
      <c r="I245" s="28"/>
      <c r="J245" s="26"/>
      <c r="K245" s="26"/>
      <c r="L245" s="48"/>
      <c r="M245" s="48"/>
      <c r="N245" s="26"/>
      <c r="R245" s="27"/>
    </row>
    <row r="246" spans="1:18" ht="14.4" hidden="1" x14ac:dyDescent="0.3">
      <c r="A246" s="276"/>
      <c r="B246" s="278"/>
      <c r="C246" s="40" t="s">
        <v>6</v>
      </c>
      <c r="D246" s="25"/>
      <c r="E246" s="25"/>
      <c r="F246" s="26"/>
      <c r="G246" s="27"/>
      <c r="H246" s="28"/>
      <c r="I246" s="28"/>
      <c r="J246" s="26"/>
      <c r="K246" s="26"/>
      <c r="L246" s="48"/>
      <c r="M246" s="48"/>
      <c r="N246" s="26"/>
      <c r="R246" s="27"/>
    </row>
    <row r="247" spans="1:18" ht="14.4" hidden="1" x14ac:dyDescent="0.3">
      <c r="A247" s="276"/>
      <c r="B247" s="278"/>
      <c r="C247" s="40" t="s">
        <v>23</v>
      </c>
      <c r="D247" s="25"/>
      <c r="E247" s="25"/>
      <c r="F247" s="26"/>
      <c r="G247" s="27"/>
      <c r="H247" s="28"/>
      <c r="I247" s="28"/>
      <c r="J247" s="26"/>
      <c r="K247" s="26"/>
      <c r="L247" s="48"/>
      <c r="M247" s="48"/>
      <c r="N247" s="26"/>
      <c r="R247" s="27"/>
    </row>
    <row r="248" spans="1:18" ht="14.4" hidden="1" x14ac:dyDescent="0.3">
      <c r="A248" s="276"/>
      <c r="B248" s="278"/>
      <c r="C248" s="40" t="s">
        <v>24</v>
      </c>
      <c r="D248" s="25"/>
      <c r="E248" s="25"/>
      <c r="F248" s="26"/>
      <c r="G248" s="27"/>
      <c r="H248" s="28"/>
      <c r="I248" s="28"/>
      <c r="J248" s="26"/>
      <c r="K248" s="26"/>
      <c r="L248" s="48"/>
      <c r="M248" s="48"/>
      <c r="N248" s="26"/>
      <c r="R248" s="27"/>
    </row>
    <row r="249" spans="1:18" ht="14.4" hidden="1" x14ac:dyDescent="0.3">
      <c r="A249" s="276"/>
      <c r="B249" s="278"/>
      <c r="C249" s="40" t="s">
        <v>25</v>
      </c>
      <c r="D249" s="25"/>
      <c r="E249" s="25"/>
      <c r="F249" s="26"/>
      <c r="G249" s="27"/>
      <c r="H249" s="28"/>
      <c r="I249" s="28"/>
      <c r="J249" s="26"/>
      <c r="K249" s="26"/>
      <c r="L249" s="48"/>
      <c r="M249" s="48"/>
      <c r="N249" s="26"/>
      <c r="R249" s="27"/>
    </row>
    <row r="250" spans="1:18" ht="14.4" hidden="1" x14ac:dyDescent="0.3">
      <c r="A250" s="276"/>
      <c r="B250" s="278"/>
      <c r="C250" s="40" t="s">
        <v>26</v>
      </c>
      <c r="D250" s="25"/>
      <c r="E250" s="25"/>
      <c r="F250" s="26"/>
      <c r="G250" s="27"/>
      <c r="H250" s="28"/>
      <c r="I250" s="28"/>
      <c r="J250" s="26"/>
      <c r="K250" s="26"/>
      <c r="L250" s="48"/>
      <c r="M250" s="48"/>
      <c r="N250" s="26"/>
      <c r="R250" s="27"/>
    </row>
    <row r="251" spans="1:18" ht="14.4" hidden="1" x14ac:dyDescent="0.3">
      <c r="A251" s="276"/>
      <c r="B251" s="278"/>
      <c r="C251" s="40" t="s">
        <v>27</v>
      </c>
      <c r="D251" s="25"/>
      <c r="E251" s="25"/>
      <c r="F251" s="26"/>
      <c r="G251" s="27"/>
      <c r="H251" s="28"/>
      <c r="I251" s="28"/>
      <c r="J251" s="26"/>
      <c r="K251" s="26"/>
      <c r="L251" s="48"/>
      <c r="M251" s="48"/>
      <c r="N251" s="26"/>
      <c r="R251" s="27"/>
    </row>
    <row r="252" spans="1:18" ht="29.85" hidden="1" customHeight="1" x14ac:dyDescent="0.3">
      <c r="A252" s="276"/>
      <c r="B252" s="279" t="s">
        <v>28</v>
      </c>
      <c r="C252" s="40" t="s">
        <v>29</v>
      </c>
      <c r="D252" s="25"/>
      <c r="E252" s="25"/>
      <c r="F252" s="26"/>
      <c r="G252" s="27"/>
      <c r="H252" s="28"/>
      <c r="I252" s="28"/>
      <c r="J252" s="26"/>
      <c r="K252" s="26"/>
      <c r="L252" s="48"/>
      <c r="M252" s="48"/>
      <c r="N252" s="26"/>
      <c r="R252" s="27"/>
    </row>
    <row r="253" spans="1:18" ht="14.4" hidden="1" x14ac:dyDescent="0.3">
      <c r="A253" s="276"/>
      <c r="B253" s="280"/>
      <c r="C253" s="40" t="s">
        <v>18</v>
      </c>
      <c r="D253" s="25"/>
      <c r="E253" s="25"/>
      <c r="F253" s="26"/>
      <c r="G253" s="27"/>
      <c r="H253" s="28"/>
      <c r="I253" s="28"/>
      <c r="J253" s="26"/>
      <c r="K253" s="26"/>
      <c r="L253" s="48"/>
      <c r="M253" s="48"/>
      <c r="N253" s="26"/>
      <c r="R253" s="27"/>
    </row>
    <row r="254" spans="1:18" ht="14.4" hidden="1" x14ac:dyDescent="0.3">
      <c r="A254" s="276"/>
      <c r="B254" s="281"/>
      <c r="C254" s="40" t="s">
        <v>6</v>
      </c>
      <c r="D254" s="25"/>
      <c r="E254" s="25"/>
      <c r="F254" s="26"/>
      <c r="G254" s="27"/>
      <c r="H254" s="28"/>
      <c r="I254" s="28"/>
      <c r="J254" s="26"/>
      <c r="K254" s="26"/>
      <c r="L254" s="48"/>
      <c r="M254" s="48"/>
      <c r="N254" s="26"/>
      <c r="R254" s="27"/>
    </row>
    <row r="255" spans="1:18" ht="14.4" x14ac:dyDescent="0.3">
      <c r="A255" s="25"/>
      <c r="B255" s="23"/>
      <c r="C255" s="24"/>
      <c r="D255" s="25"/>
      <c r="E255" s="25"/>
      <c r="F255" s="26"/>
      <c r="G255" s="27"/>
      <c r="H255" s="28"/>
      <c r="I255" s="28"/>
      <c r="J255" s="26"/>
      <c r="K255" s="26"/>
      <c r="L255" s="48"/>
      <c r="M255" s="48"/>
      <c r="N255" s="26"/>
      <c r="R255" s="27"/>
    </row>
    <row r="256" spans="1:18" x14ac:dyDescent="0.25">
      <c r="G256" s="139"/>
    </row>
    <row r="257" spans="7:21" x14ac:dyDescent="0.25">
      <c r="G257" s="139"/>
    </row>
    <row r="258" spans="7:21" ht="25.8" customHeight="1" x14ac:dyDescent="0.25">
      <c r="G258" s="139"/>
      <c r="U258" s="222"/>
    </row>
    <row r="259" spans="7:21" ht="25.8" customHeight="1" x14ac:dyDescent="0.25">
      <c r="G259" s="139"/>
      <c r="R259" s="139"/>
      <c r="S259" s="223"/>
      <c r="T259" s="220"/>
      <c r="U259" s="222"/>
    </row>
    <row r="260" spans="7:21" ht="25.8" customHeight="1" x14ac:dyDescent="0.25">
      <c r="G260" s="139"/>
      <c r="S260" s="224"/>
      <c r="T260" s="225"/>
      <c r="U260" s="224"/>
    </row>
    <row r="261" spans="7:21" ht="25.8" customHeight="1" x14ac:dyDescent="0.25">
      <c r="Q261" s="139"/>
      <c r="R261" s="139"/>
      <c r="T261" s="139"/>
    </row>
    <row r="262" spans="7:21" x14ac:dyDescent="0.25">
      <c r="G262" s="139"/>
    </row>
  </sheetData>
  <mergeCells count="104">
    <mergeCell ref="A77:A159"/>
    <mergeCell ref="E199:E200"/>
    <mergeCell ref="F199:F200"/>
    <mergeCell ref="A38:A48"/>
    <mergeCell ref="A56:A60"/>
    <mergeCell ref="P186:P187"/>
    <mergeCell ref="A198:P198"/>
    <mergeCell ref="K186:K187"/>
    <mergeCell ref="A186:A187"/>
    <mergeCell ref="B186:B187"/>
    <mergeCell ref="C186:C187"/>
    <mergeCell ref="D186:D187"/>
    <mergeCell ref="E186:E187"/>
    <mergeCell ref="F186:F187"/>
    <mergeCell ref="G186:I186"/>
    <mergeCell ref="J186:J187"/>
    <mergeCell ref="N186:N187"/>
    <mergeCell ref="A174:A183"/>
    <mergeCell ref="A61:A68"/>
    <mergeCell ref="A160:A173"/>
    <mergeCell ref="L186:M186"/>
    <mergeCell ref="A189:A195"/>
    <mergeCell ref="A69:A72"/>
    <mergeCell ref="G13:I13"/>
    <mergeCell ref="J13:J14"/>
    <mergeCell ref="O13:O14"/>
    <mergeCell ref="O186:O187"/>
    <mergeCell ref="E54:E55"/>
    <mergeCell ref="F54:F55"/>
    <mergeCell ref="K13:K14"/>
    <mergeCell ref="L13:M13"/>
    <mergeCell ref="N13:N14"/>
    <mergeCell ref="B13:B14"/>
    <mergeCell ref="C13:C14"/>
    <mergeCell ref="D13:D14"/>
    <mergeCell ref="E13:E14"/>
    <mergeCell ref="F13:F14"/>
    <mergeCell ref="N199:N200"/>
    <mergeCell ref="A185:P185"/>
    <mergeCell ref="A73:A76"/>
    <mergeCell ref="A235:A254"/>
    <mergeCell ref="B235:B241"/>
    <mergeCell ref="B242:B251"/>
    <mergeCell ref="B252:B254"/>
    <mergeCell ref="A222:A224"/>
    <mergeCell ref="A226:A233"/>
    <mergeCell ref="A216:P216"/>
    <mergeCell ref="A217:A218"/>
    <mergeCell ref="B217:B218"/>
    <mergeCell ref="C217:C218"/>
    <mergeCell ref="D217:D218"/>
    <mergeCell ref="E217:E218"/>
    <mergeCell ref="F217:F218"/>
    <mergeCell ref="G217:I217"/>
    <mergeCell ref="J217:J218"/>
    <mergeCell ref="K217:K218"/>
    <mergeCell ref="L217:M217"/>
    <mergeCell ref="N217:N218"/>
    <mergeCell ref="O217:O218"/>
    <mergeCell ref="P217:P218"/>
    <mergeCell ref="A3:C3"/>
    <mergeCell ref="A30:A37"/>
    <mergeCell ref="A24:A29"/>
    <mergeCell ref="A15:A23"/>
    <mergeCell ref="A53:P53"/>
    <mergeCell ref="P54:P55"/>
    <mergeCell ref="G54:I54"/>
    <mergeCell ref="J54:J55"/>
    <mergeCell ref="K54:K55"/>
    <mergeCell ref="L54:M54"/>
    <mergeCell ref="N54:N55"/>
    <mergeCell ref="O54:O55"/>
    <mergeCell ref="A54:A55"/>
    <mergeCell ref="B54:B55"/>
    <mergeCell ref="C54:C55"/>
    <mergeCell ref="D54:D55"/>
    <mergeCell ref="A12:P12"/>
    <mergeCell ref="A13:A14"/>
    <mergeCell ref="P13:P14"/>
    <mergeCell ref="A7:P7"/>
    <mergeCell ref="O211:O212"/>
    <mergeCell ref="P211:P212"/>
    <mergeCell ref="I211:I212"/>
    <mergeCell ref="J211:J212"/>
    <mergeCell ref="G199:I199"/>
    <mergeCell ref="J199:J200"/>
    <mergeCell ref="K199:K200"/>
    <mergeCell ref="L199:M199"/>
    <mergeCell ref="A211:A212"/>
    <mergeCell ref="B211:B212"/>
    <mergeCell ref="C211:C212"/>
    <mergeCell ref="D211:D212"/>
    <mergeCell ref="E211:E212"/>
    <mergeCell ref="F211:H211"/>
    <mergeCell ref="K211:K212"/>
    <mergeCell ref="L211:M211"/>
    <mergeCell ref="N211:N212"/>
    <mergeCell ref="A210:P210"/>
    <mergeCell ref="P199:P200"/>
    <mergeCell ref="O199:O200"/>
    <mergeCell ref="A199:A200"/>
    <mergeCell ref="B199:B200"/>
    <mergeCell ref="C199:C200"/>
    <mergeCell ref="D199:D200"/>
  </mergeCells>
  <dataValidations count="6">
    <dataValidation type="list" allowBlank="1" showInputMessage="1" showErrorMessage="1" sqref="K219:K220 K201:K209 K188:K196 K213:K214 K15:K52 K56:K183" xr:uid="{00000000-0002-0000-0000-000000000000}">
      <formula1>$B$222:$B$224</formula1>
    </dataValidation>
    <dataValidation type="list" allowBlank="1" showInputMessage="1" showErrorMessage="1" sqref="K215 D215" xr:uid="{00000000-0002-0000-0000-000001000000}">
      <formula1>#REF!</formula1>
    </dataValidation>
    <dataValidation type="list" allowBlank="1" showInputMessage="1" showErrorMessage="1" sqref="D219:D220 D188:D196 D15:D52 D56:D183" xr:uid="{00000000-0002-0000-0000-000003000000}">
      <formula1>$C$242:$C$251</formula1>
    </dataValidation>
    <dataValidation type="list" allowBlank="1" showInputMessage="1" showErrorMessage="1" sqref="P15:P52 P201:P209 P188:P196 P219:P220 P213:P214 P56:P183" xr:uid="{00000000-0002-0000-0000-000004000000}">
      <formula1>$B$226:$B$233</formula1>
    </dataValidation>
    <dataValidation type="list" allowBlank="1" showInputMessage="1" showErrorMessage="1" sqref="D213:D214" xr:uid="{00000000-0002-0000-0000-000005000000}">
      <formula1>$C$252:$C$254</formula1>
    </dataValidation>
    <dataValidation type="list" allowBlank="1" showInputMessage="1" showErrorMessage="1" sqref="D201:D209" xr:uid="{00000000-0002-0000-0000-000002000000}">
      <formula1>$C$235:$C$241</formula1>
    </dataValidation>
  </dataValidations>
  <printOptions horizontalCentered="1"/>
  <pageMargins left="0.31496062992125984" right="0.31496062992125984" top="0.98425196850393704" bottom="0.59055118110236227" header="0.31496062992125984" footer="0.31496062992125984"/>
  <pageSetup paperSize="8" scale="65" fitToHeight="10" orientation="landscape" r:id="rId1"/>
  <headerFooter>
    <oddHeader xml:space="preserve">&amp;R&amp;14&amp;K0000FF&amp;F  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6DF95-3131-46A3-A72D-6F98E9041B67}">
  <dimension ref="C5:I106"/>
  <sheetViews>
    <sheetView topLeftCell="A16" workbookViewId="0">
      <selection activeCell="D38" sqref="D38"/>
    </sheetView>
  </sheetViews>
  <sheetFormatPr defaultRowHeight="14.4" x14ac:dyDescent="0.3"/>
  <cols>
    <col min="1" max="2" width="8.88671875" style="141"/>
    <col min="3" max="3" width="10" style="141" customWidth="1"/>
    <col min="4" max="4" width="128.109375" style="141" customWidth="1"/>
    <col min="5" max="5" width="13.5546875" style="141" customWidth="1"/>
    <col min="6" max="16384" width="8.88671875" style="141"/>
  </cols>
  <sheetData>
    <row r="5" spans="3:8" ht="15.6" x14ac:dyDescent="0.3">
      <c r="C5" s="140" t="s">
        <v>341</v>
      </c>
      <c r="E5" s="142"/>
      <c r="F5" s="142"/>
      <c r="G5" s="143"/>
      <c r="H5" s="143"/>
    </row>
    <row r="6" spans="3:8" x14ac:dyDescent="0.3">
      <c r="C6" s="144" t="s">
        <v>342</v>
      </c>
      <c r="D6" s="145" t="s">
        <v>343</v>
      </c>
      <c r="E6" s="145" t="s">
        <v>344</v>
      </c>
      <c r="F6" s="146"/>
      <c r="G6" s="147"/>
      <c r="H6" s="148"/>
    </row>
    <row r="7" spans="3:8" x14ac:dyDescent="0.3">
      <c r="C7" s="149" t="s">
        <v>345</v>
      </c>
      <c r="D7" s="150" t="s">
        <v>346</v>
      </c>
      <c r="E7" s="151">
        <v>9.4</v>
      </c>
      <c r="F7" s="142"/>
      <c r="G7" s="152"/>
      <c r="H7" s="148"/>
    </row>
    <row r="8" spans="3:8" x14ac:dyDescent="0.3">
      <c r="C8" s="149" t="s">
        <v>347</v>
      </c>
      <c r="D8" s="150" t="s">
        <v>348</v>
      </c>
      <c r="E8" s="151">
        <v>40</v>
      </c>
      <c r="F8" s="142"/>
      <c r="G8" s="152"/>
      <c r="H8" s="148"/>
    </row>
    <row r="9" spans="3:8" x14ac:dyDescent="0.3">
      <c r="C9" s="149" t="s">
        <v>349</v>
      </c>
      <c r="D9" s="150" t="s">
        <v>350</v>
      </c>
      <c r="E9" s="151">
        <v>26.67</v>
      </c>
      <c r="F9" s="142"/>
      <c r="G9" s="152"/>
      <c r="H9" s="148"/>
    </row>
    <row r="10" spans="3:8" x14ac:dyDescent="0.3">
      <c r="C10" s="149" t="s">
        <v>351</v>
      </c>
      <c r="D10" s="150" t="s">
        <v>352</v>
      </c>
      <c r="E10" s="151">
        <v>26.67</v>
      </c>
      <c r="F10" s="142"/>
      <c r="G10" s="152"/>
      <c r="H10" s="148"/>
    </row>
    <row r="11" spans="3:8" x14ac:dyDescent="0.3">
      <c r="C11" s="149" t="s">
        <v>353</v>
      </c>
      <c r="D11" s="150" t="s">
        <v>354</v>
      </c>
      <c r="E11" s="151">
        <v>26.67</v>
      </c>
      <c r="F11" s="142"/>
      <c r="G11" s="152"/>
      <c r="H11" s="148"/>
    </row>
    <row r="12" spans="3:8" x14ac:dyDescent="0.3">
      <c r="C12" s="149" t="s">
        <v>355</v>
      </c>
      <c r="D12" s="150" t="s">
        <v>356</v>
      </c>
      <c r="E12" s="151">
        <v>160.01</v>
      </c>
      <c r="F12" s="142"/>
      <c r="G12" s="152"/>
      <c r="H12" s="148"/>
    </row>
    <row r="13" spans="3:8" x14ac:dyDescent="0.3">
      <c r="C13" s="149" t="s">
        <v>357</v>
      </c>
      <c r="D13" s="153" t="s">
        <v>358</v>
      </c>
      <c r="E13" s="151">
        <v>40</v>
      </c>
      <c r="F13" s="142"/>
      <c r="G13" s="152"/>
      <c r="H13" s="148"/>
    </row>
    <row r="14" spans="3:8" x14ac:dyDescent="0.3">
      <c r="C14" s="149" t="s">
        <v>359</v>
      </c>
      <c r="D14" s="153" t="s">
        <v>360</v>
      </c>
      <c r="E14" s="151">
        <v>66.67</v>
      </c>
      <c r="F14" s="142"/>
      <c r="G14" s="152"/>
      <c r="H14" s="148"/>
    </row>
    <row r="15" spans="3:8" x14ac:dyDescent="0.3">
      <c r="C15" s="149" t="s">
        <v>361</v>
      </c>
      <c r="D15" s="153" t="s">
        <v>362</v>
      </c>
      <c r="E15" s="151">
        <v>26.67</v>
      </c>
      <c r="F15" s="142"/>
      <c r="G15" s="152"/>
      <c r="H15" s="148"/>
    </row>
    <row r="16" spans="3:8" x14ac:dyDescent="0.3">
      <c r="C16" s="149" t="s">
        <v>363</v>
      </c>
      <c r="D16" s="154" t="s">
        <v>364</v>
      </c>
      <c r="E16" s="151">
        <v>26.67</v>
      </c>
      <c r="F16" s="142"/>
      <c r="G16" s="152"/>
      <c r="H16" s="148"/>
    </row>
    <row r="17" spans="3:8" x14ac:dyDescent="0.3">
      <c r="C17" s="149" t="s">
        <v>365</v>
      </c>
      <c r="D17" s="155" t="s">
        <v>366</v>
      </c>
      <c r="E17" s="151">
        <v>26.67</v>
      </c>
      <c r="F17" s="142"/>
      <c r="G17" s="152"/>
      <c r="H17" s="148"/>
    </row>
    <row r="18" spans="3:8" x14ac:dyDescent="0.3">
      <c r="C18" s="149" t="s">
        <v>367</v>
      </c>
      <c r="D18" s="155" t="s">
        <v>368</v>
      </c>
      <c r="E18" s="151">
        <v>53.33</v>
      </c>
      <c r="F18" s="142"/>
      <c r="G18" s="152"/>
      <c r="H18" s="148"/>
    </row>
    <row r="19" spans="3:8" x14ac:dyDescent="0.3">
      <c r="C19" s="149" t="s">
        <v>369</v>
      </c>
      <c r="D19" s="155" t="s">
        <v>370</v>
      </c>
      <c r="E19" s="156">
        <v>40</v>
      </c>
      <c r="F19" s="142"/>
      <c r="G19" s="152"/>
      <c r="H19" s="148"/>
    </row>
    <row r="20" spans="3:8" x14ac:dyDescent="0.3">
      <c r="C20" s="149" t="s">
        <v>371</v>
      </c>
      <c r="D20" s="155" t="s">
        <v>372</v>
      </c>
      <c r="E20" s="156">
        <v>26.67</v>
      </c>
      <c r="F20" s="142"/>
      <c r="G20" s="152"/>
      <c r="H20" s="148"/>
    </row>
    <row r="21" spans="3:8" x14ac:dyDescent="0.3">
      <c r="C21" s="149" t="s">
        <v>373</v>
      </c>
      <c r="D21" s="155" t="s">
        <v>374</v>
      </c>
      <c r="E21" s="156">
        <v>26.67</v>
      </c>
      <c r="F21" s="142"/>
      <c r="G21" s="152"/>
      <c r="H21" s="148"/>
    </row>
    <row r="22" spans="3:8" x14ac:dyDescent="0.3">
      <c r="C22" s="149" t="s">
        <v>375</v>
      </c>
      <c r="D22" s="155" t="s">
        <v>376</v>
      </c>
      <c r="E22" s="156">
        <v>26.67</v>
      </c>
      <c r="F22" s="142"/>
      <c r="G22" s="152"/>
      <c r="H22" s="148"/>
    </row>
    <row r="23" spans="3:8" x14ac:dyDescent="0.3">
      <c r="C23" s="149" t="s">
        <v>377</v>
      </c>
      <c r="D23" s="155" t="s">
        <v>378</v>
      </c>
      <c r="E23" s="156">
        <v>40</v>
      </c>
      <c r="F23" s="142"/>
      <c r="G23" s="152"/>
      <c r="H23" s="148"/>
    </row>
    <row r="24" spans="3:8" x14ac:dyDescent="0.3">
      <c r="C24" s="149" t="s">
        <v>379</v>
      </c>
      <c r="D24" s="155" t="s">
        <v>380</v>
      </c>
      <c r="E24" s="156">
        <v>26.67</v>
      </c>
      <c r="F24" s="142"/>
      <c r="G24" s="152"/>
      <c r="H24" s="148"/>
    </row>
    <row r="25" spans="3:8" x14ac:dyDescent="0.3">
      <c r="C25" s="149" t="s">
        <v>381</v>
      </c>
      <c r="D25" s="155" t="s">
        <v>382</v>
      </c>
      <c r="E25" s="156">
        <v>26.67</v>
      </c>
      <c r="F25" s="142"/>
      <c r="G25" s="152"/>
      <c r="H25" s="148"/>
    </row>
    <row r="26" spans="3:8" x14ac:dyDescent="0.3">
      <c r="C26" s="149" t="s">
        <v>383</v>
      </c>
      <c r="D26" s="155" t="s">
        <v>384</v>
      </c>
      <c r="E26" s="156">
        <v>40</v>
      </c>
      <c r="F26" s="142"/>
      <c r="G26" s="152"/>
      <c r="H26" s="148"/>
    </row>
    <row r="27" spans="3:8" x14ac:dyDescent="0.3">
      <c r="C27" s="149" t="s">
        <v>385</v>
      </c>
      <c r="D27" s="155" t="s">
        <v>386</v>
      </c>
      <c r="E27" s="151">
        <v>26.67</v>
      </c>
      <c r="F27" s="142"/>
      <c r="G27" s="152"/>
      <c r="H27" s="148"/>
    </row>
    <row r="28" spans="3:8" x14ac:dyDescent="0.3">
      <c r="C28" s="143"/>
      <c r="D28" s="143"/>
      <c r="E28" s="142"/>
      <c r="F28" s="146"/>
      <c r="G28" s="143"/>
      <c r="H28" s="157"/>
    </row>
    <row r="29" spans="3:8" x14ac:dyDescent="0.3">
      <c r="C29" s="143"/>
      <c r="D29" s="143"/>
      <c r="E29" s="142"/>
      <c r="F29" s="142"/>
      <c r="G29" s="143"/>
      <c r="H29" s="143"/>
    </row>
    <row r="30" spans="3:8" x14ac:dyDescent="0.3">
      <c r="C30" s="143"/>
      <c r="D30" s="143"/>
      <c r="E30" s="142"/>
      <c r="F30" s="142"/>
      <c r="G30" s="143"/>
      <c r="H30" s="143"/>
    </row>
    <row r="31" spans="3:8" ht="15.6" x14ac:dyDescent="0.3">
      <c r="C31" s="140" t="s">
        <v>387</v>
      </c>
      <c r="E31" s="142"/>
      <c r="F31" s="142"/>
      <c r="G31" s="143"/>
      <c r="H31" s="158"/>
    </row>
    <row r="32" spans="3:8" x14ac:dyDescent="0.3">
      <c r="C32" s="144" t="s">
        <v>342</v>
      </c>
      <c r="D32" s="145" t="s">
        <v>343</v>
      </c>
      <c r="E32" s="145" t="s">
        <v>344</v>
      </c>
      <c r="F32" s="146"/>
      <c r="G32" s="147"/>
    </row>
    <row r="33" spans="3:7" x14ac:dyDescent="0.3">
      <c r="C33" s="149" t="s">
        <v>388</v>
      </c>
      <c r="D33" s="159" t="s">
        <v>389</v>
      </c>
      <c r="E33" s="160">
        <f>40-26.67</f>
        <v>13.329999999999998</v>
      </c>
      <c r="F33" s="161"/>
      <c r="G33" s="143"/>
    </row>
    <row r="34" spans="3:7" x14ac:dyDescent="0.3">
      <c r="C34" s="149" t="s">
        <v>390</v>
      </c>
      <c r="D34" s="159" t="s">
        <v>391</v>
      </c>
      <c r="E34" s="160">
        <f>40-26.67</f>
        <v>13.329999999999998</v>
      </c>
      <c r="F34" s="161"/>
      <c r="G34" s="143"/>
    </row>
    <row r="35" spans="3:7" x14ac:dyDescent="0.3">
      <c r="C35" s="149" t="s">
        <v>392</v>
      </c>
      <c r="D35" s="162" t="s">
        <v>393</v>
      </c>
      <c r="E35" s="160">
        <v>40</v>
      </c>
      <c r="F35" s="161"/>
      <c r="G35" s="143"/>
    </row>
    <row r="36" spans="3:7" x14ac:dyDescent="0.3">
      <c r="C36" s="149" t="s">
        <v>394</v>
      </c>
      <c r="D36" s="159" t="s">
        <v>395</v>
      </c>
      <c r="E36" s="160">
        <v>0</v>
      </c>
      <c r="F36" s="161"/>
      <c r="G36" s="143"/>
    </row>
    <row r="37" spans="3:7" x14ac:dyDescent="0.3">
      <c r="C37" s="149" t="s">
        <v>396</v>
      </c>
      <c r="D37" s="159" t="s">
        <v>397</v>
      </c>
      <c r="E37" s="163">
        <v>26.67</v>
      </c>
      <c r="F37" s="161"/>
      <c r="G37" s="143"/>
    </row>
    <row r="38" spans="3:7" x14ac:dyDescent="0.3">
      <c r="C38" s="149" t="s">
        <v>398</v>
      </c>
      <c r="D38" s="159" t="s">
        <v>399</v>
      </c>
      <c r="E38" s="163">
        <v>26.67</v>
      </c>
      <c r="F38" s="161"/>
      <c r="G38" s="143"/>
    </row>
    <row r="39" spans="3:7" x14ac:dyDescent="0.3">
      <c r="C39" s="149" t="s">
        <v>400</v>
      </c>
      <c r="D39" s="159" t="s">
        <v>401</v>
      </c>
      <c r="E39" s="160">
        <v>10</v>
      </c>
      <c r="F39" s="161"/>
      <c r="G39" s="143"/>
    </row>
    <row r="40" spans="3:7" x14ac:dyDescent="0.3">
      <c r="C40" s="149" t="s">
        <v>402</v>
      </c>
      <c r="D40" s="159" t="s">
        <v>403</v>
      </c>
      <c r="E40" s="160">
        <v>9.3699999999999992</v>
      </c>
      <c r="F40" s="161"/>
      <c r="G40" s="143"/>
    </row>
    <row r="41" spans="3:7" x14ac:dyDescent="0.3">
      <c r="C41" s="149" t="s">
        <v>404</v>
      </c>
      <c r="D41" s="159" t="s">
        <v>405</v>
      </c>
      <c r="E41" s="160">
        <v>9.3699999999999992</v>
      </c>
      <c r="F41" s="161"/>
      <c r="G41" s="143"/>
    </row>
    <row r="42" spans="3:7" x14ac:dyDescent="0.3">
      <c r="C42" s="149" t="s">
        <v>406</v>
      </c>
      <c r="D42" s="164" t="s">
        <v>407</v>
      </c>
      <c r="E42" s="163">
        <v>10</v>
      </c>
      <c r="F42" s="161"/>
      <c r="G42" s="143"/>
    </row>
    <row r="43" spans="3:7" x14ac:dyDescent="0.3">
      <c r="C43" s="149" t="s">
        <v>408</v>
      </c>
      <c r="D43" s="165" t="s">
        <v>409</v>
      </c>
      <c r="E43" s="163">
        <v>26.67</v>
      </c>
      <c r="F43" s="161"/>
      <c r="G43" s="143"/>
    </row>
    <row r="44" spans="3:7" x14ac:dyDescent="0.3">
      <c r="C44" s="149" t="s">
        <v>410</v>
      </c>
      <c r="D44" s="165" t="s">
        <v>411</v>
      </c>
      <c r="E44" s="163">
        <v>26.67</v>
      </c>
      <c r="F44" s="161"/>
      <c r="G44" s="143"/>
    </row>
    <row r="45" spans="3:7" x14ac:dyDescent="0.3">
      <c r="C45" s="149" t="s">
        <v>412</v>
      </c>
      <c r="D45" s="164" t="s">
        <v>413</v>
      </c>
      <c r="E45" s="163">
        <v>26.67</v>
      </c>
      <c r="F45" s="161"/>
      <c r="G45" s="143"/>
    </row>
    <row r="46" spans="3:7" x14ac:dyDescent="0.3">
      <c r="C46" s="149" t="s">
        <v>414</v>
      </c>
      <c r="D46" s="164" t="s">
        <v>415</v>
      </c>
      <c r="E46" s="163">
        <v>26.67</v>
      </c>
      <c r="F46" s="161"/>
      <c r="G46" s="143"/>
    </row>
    <row r="47" spans="3:7" x14ac:dyDescent="0.3">
      <c r="C47" s="149" t="s">
        <v>416</v>
      </c>
      <c r="D47" s="159" t="s">
        <v>417</v>
      </c>
      <c r="E47" s="160">
        <f>40-26.67</f>
        <v>13.329999999999998</v>
      </c>
      <c r="F47" s="161"/>
      <c r="G47" s="143"/>
    </row>
    <row r="48" spans="3:7" x14ac:dyDescent="0.3">
      <c r="C48" s="149" t="s">
        <v>418</v>
      </c>
      <c r="D48" s="159" t="s">
        <v>419</v>
      </c>
      <c r="E48" s="160">
        <f>40-26.67</f>
        <v>13.329999999999998</v>
      </c>
      <c r="F48" s="161"/>
      <c r="G48" s="143"/>
    </row>
    <row r="49" spans="3:7" x14ac:dyDescent="0.3">
      <c r="C49" s="149" t="s">
        <v>420</v>
      </c>
      <c r="D49" s="164" t="s">
        <v>421</v>
      </c>
      <c r="E49" s="163">
        <v>26.67</v>
      </c>
      <c r="F49" s="161"/>
      <c r="G49" s="143"/>
    </row>
    <row r="50" spans="3:7" x14ac:dyDescent="0.3">
      <c r="C50" s="149" t="s">
        <v>422</v>
      </c>
      <c r="D50" s="164" t="s">
        <v>423</v>
      </c>
      <c r="E50" s="160">
        <v>10</v>
      </c>
      <c r="F50" s="161"/>
      <c r="G50" s="143"/>
    </row>
    <row r="51" spans="3:7" x14ac:dyDescent="0.3">
      <c r="C51" s="149" t="s">
        <v>424</v>
      </c>
      <c r="D51" s="164" t="s">
        <v>425</v>
      </c>
      <c r="E51" s="160">
        <f>26.67-9.4</f>
        <v>17.270000000000003</v>
      </c>
      <c r="F51" s="161"/>
      <c r="G51" s="143"/>
    </row>
    <row r="52" spans="3:7" x14ac:dyDescent="0.3">
      <c r="C52" s="149" t="s">
        <v>426</v>
      </c>
      <c r="D52" s="164" t="s">
        <v>427</v>
      </c>
      <c r="E52" s="160">
        <v>6.67</v>
      </c>
      <c r="F52" s="161"/>
      <c r="G52" s="143"/>
    </row>
    <row r="53" spans="3:7" x14ac:dyDescent="0.3">
      <c r="C53" s="149" t="s">
        <v>428</v>
      </c>
      <c r="D53" s="159" t="s">
        <v>429</v>
      </c>
      <c r="E53" s="160">
        <v>0</v>
      </c>
      <c r="F53" s="161"/>
      <c r="G53" s="143"/>
    </row>
    <row r="54" spans="3:7" x14ac:dyDescent="0.3">
      <c r="C54" s="149" t="s">
        <v>430</v>
      </c>
      <c r="D54" s="159" t="s">
        <v>431</v>
      </c>
      <c r="E54" s="166">
        <v>26.67</v>
      </c>
      <c r="F54" s="161"/>
      <c r="G54" s="143"/>
    </row>
    <row r="55" spans="3:7" x14ac:dyDescent="0.3">
      <c r="C55" s="149" t="s">
        <v>432</v>
      </c>
      <c r="D55" s="164" t="s">
        <v>433</v>
      </c>
      <c r="E55" s="160">
        <v>0</v>
      </c>
      <c r="F55" s="161"/>
      <c r="G55" s="143"/>
    </row>
    <row r="56" spans="3:7" x14ac:dyDescent="0.3">
      <c r="C56" s="149" t="s">
        <v>434</v>
      </c>
      <c r="D56" s="159" t="s">
        <v>435</v>
      </c>
      <c r="E56" s="163">
        <v>17.295000000000002</v>
      </c>
      <c r="F56" s="167"/>
      <c r="G56" s="152"/>
    </row>
    <row r="57" spans="3:7" x14ac:dyDescent="0.3">
      <c r="C57" s="149" t="s">
        <v>436</v>
      </c>
      <c r="D57" s="159" t="s">
        <v>437</v>
      </c>
      <c r="E57" s="163">
        <v>26.67</v>
      </c>
      <c r="F57" s="167"/>
      <c r="G57" s="152"/>
    </row>
    <row r="58" spans="3:7" x14ac:dyDescent="0.3">
      <c r="C58" s="149" t="s">
        <v>438</v>
      </c>
      <c r="D58" s="159" t="s">
        <v>439</v>
      </c>
      <c r="E58" s="163">
        <v>26.67</v>
      </c>
      <c r="F58" s="167"/>
      <c r="G58" s="152"/>
    </row>
    <row r="59" spans="3:7" x14ac:dyDescent="0.3">
      <c r="C59" s="149" t="s">
        <v>440</v>
      </c>
      <c r="D59" s="159" t="s">
        <v>441</v>
      </c>
      <c r="E59" s="163">
        <v>13.329999999999998</v>
      </c>
      <c r="F59" s="167"/>
      <c r="G59" s="152"/>
    </row>
    <row r="60" spans="3:7" x14ac:dyDescent="0.3">
      <c r="C60" s="149" t="s">
        <v>442</v>
      </c>
      <c r="D60" s="162" t="s">
        <v>443</v>
      </c>
      <c r="E60" s="163">
        <v>26.67</v>
      </c>
      <c r="F60" s="167"/>
      <c r="G60" s="152"/>
    </row>
    <row r="61" spans="3:7" x14ac:dyDescent="0.3">
      <c r="C61" s="149" t="s">
        <v>444</v>
      </c>
      <c r="D61" s="159" t="s">
        <v>445</v>
      </c>
      <c r="E61" s="163">
        <v>11.67</v>
      </c>
      <c r="F61" s="167"/>
      <c r="G61" s="152"/>
    </row>
    <row r="62" spans="3:7" x14ac:dyDescent="0.3">
      <c r="C62" s="149" t="s">
        <v>446</v>
      </c>
      <c r="D62" s="159" t="s">
        <v>447</v>
      </c>
      <c r="E62" s="163">
        <v>0</v>
      </c>
      <c r="F62" s="167"/>
      <c r="G62" s="152"/>
    </row>
    <row r="63" spans="3:7" x14ac:dyDescent="0.3">
      <c r="C63" s="149" t="s">
        <v>448</v>
      </c>
      <c r="D63" s="159" t="s">
        <v>449</v>
      </c>
      <c r="E63" s="163">
        <v>0</v>
      </c>
      <c r="F63" s="167"/>
      <c r="G63" s="168"/>
    </row>
    <row r="64" spans="3:7" x14ac:dyDescent="0.3">
      <c r="C64" s="149" t="s">
        <v>450</v>
      </c>
      <c r="D64" s="159" t="s">
        <v>451</v>
      </c>
      <c r="E64" s="163">
        <v>0</v>
      </c>
      <c r="F64" s="167"/>
      <c r="G64" s="168"/>
    </row>
    <row r="65" spans="3:9" x14ac:dyDescent="0.3">
      <c r="C65" s="149" t="s">
        <v>452</v>
      </c>
      <c r="D65" s="159" t="s">
        <v>453</v>
      </c>
      <c r="E65" s="163">
        <v>26.67</v>
      </c>
      <c r="F65" s="167"/>
      <c r="G65" s="152"/>
    </row>
    <row r="66" spans="3:9" x14ac:dyDescent="0.3">
      <c r="C66" s="149" t="s">
        <v>454</v>
      </c>
      <c r="D66" s="159" t="s">
        <v>455</v>
      </c>
      <c r="E66" s="163">
        <v>26.67</v>
      </c>
      <c r="F66" s="167"/>
      <c r="G66" s="152"/>
    </row>
    <row r="67" spans="3:9" x14ac:dyDescent="0.3">
      <c r="C67" s="149" t="s">
        <v>456</v>
      </c>
      <c r="D67" s="159" t="s">
        <v>457</v>
      </c>
      <c r="E67" s="163">
        <v>13.33</v>
      </c>
      <c r="F67" s="167"/>
      <c r="G67" s="152"/>
    </row>
    <row r="68" spans="3:9" x14ac:dyDescent="0.3">
      <c r="C68" s="149" t="s">
        <v>458</v>
      </c>
      <c r="D68" s="162" t="s">
        <v>459</v>
      </c>
      <c r="E68" s="163">
        <v>16.670000000000002</v>
      </c>
      <c r="F68" s="167"/>
      <c r="G68" s="152"/>
    </row>
    <row r="69" spans="3:9" x14ac:dyDescent="0.3">
      <c r="C69" s="149" t="s">
        <v>460</v>
      </c>
      <c r="D69" s="159" t="s">
        <v>461</v>
      </c>
      <c r="E69" s="163">
        <v>40</v>
      </c>
      <c r="F69" s="167"/>
      <c r="G69" s="152"/>
    </row>
    <row r="70" spans="3:9" x14ac:dyDescent="0.3">
      <c r="C70" s="149" t="s">
        <v>462</v>
      </c>
      <c r="D70" s="159" t="s">
        <v>463</v>
      </c>
      <c r="E70" s="163">
        <v>26.67</v>
      </c>
      <c r="F70" s="167"/>
      <c r="G70" s="152"/>
    </row>
    <row r="71" spans="3:9" x14ac:dyDescent="0.3">
      <c r="C71" s="149" t="s">
        <v>464</v>
      </c>
      <c r="D71" s="159" t="s">
        <v>465</v>
      </c>
      <c r="E71" s="163">
        <v>26.67</v>
      </c>
      <c r="F71" s="167"/>
      <c r="G71" s="152"/>
    </row>
    <row r="72" spans="3:9" x14ac:dyDescent="0.3">
      <c r="C72" s="149" t="s">
        <v>466</v>
      </c>
      <c r="D72" s="162" t="s">
        <v>467</v>
      </c>
      <c r="E72" s="163">
        <v>26.67</v>
      </c>
      <c r="F72" s="167"/>
      <c r="G72" s="152"/>
    </row>
    <row r="73" spans="3:9" x14ac:dyDescent="0.3">
      <c r="C73" s="149" t="s">
        <v>468</v>
      </c>
      <c r="D73" s="162" t="s">
        <v>469</v>
      </c>
      <c r="E73" s="163">
        <v>26.67</v>
      </c>
      <c r="F73" s="167"/>
      <c r="G73" s="152"/>
    </row>
    <row r="76" spans="3:9" x14ac:dyDescent="0.3">
      <c r="D76" s="169"/>
      <c r="E76" s="169"/>
      <c r="F76" s="169"/>
      <c r="G76" s="169"/>
      <c r="H76" s="169"/>
      <c r="I76" s="169"/>
    </row>
    <row r="77" spans="3:9" ht="15.6" x14ac:dyDescent="0.3">
      <c r="C77" s="140" t="s">
        <v>470</v>
      </c>
      <c r="D77" s="169"/>
      <c r="E77" s="169"/>
      <c r="F77" s="169"/>
      <c r="G77" s="169"/>
      <c r="H77" s="169"/>
      <c r="I77" s="169"/>
    </row>
    <row r="78" spans="3:9" x14ac:dyDescent="0.3">
      <c r="C78" s="145" t="s">
        <v>471</v>
      </c>
      <c r="D78" s="145" t="s">
        <v>343</v>
      </c>
      <c r="E78" s="170" t="s">
        <v>472</v>
      </c>
      <c r="F78" s="147"/>
      <c r="G78" s="147"/>
      <c r="H78" s="147"/>
    </row>
    <row r="79" spans="3:9" x14ac:dyDescent="0.3">
      <c r="C79" s="149" t="s">
        <v>473</v>
      </c>
      <c r="D79" s="155" t="s">
        <v>474</v>
      </c>
      <c r="E79" s="171">
        <v>15.6</v>
      </c>
      <c r="F79" s="167"/>
      <c r="G79" s="172"/>
      <c r="H79" s="142"/>
    </row>
    <row r="80" spans="3:9" x14ac:dyDescent="0.3">
      <c r="C80" s="149" t="s">
        <v>475</v>
      </c>
      <c r="D80" s="155" t="s">
        <v>476</v>
      </c>
      <c r="E80" s="171">
        <v>0.4</v>
      </c>
      <c r="F80" s="167"/>
      <c r="G80" s="172"/>
      <c r="H80" s="142"/>
    </row>
    <row r="81" spans="3:8" x14ac:dyDescent="0.3">
      <c r="C81" s="149" t="s">
        <v>477</v>
      </c>
      <c r="D81" s="155" t="s">
        <v>478</v>
      </c>
      <c r="E81" s="173">
        <v>0.3</v>
      </c>
      <c r="F81" s="167"/>
      <c r="G81" s="172"/>
      <c r="H81" s="142"/>
    </row>
    <row r="82" spans="3:8" x14ac:dyDescent="0.3">
      <c r="C82" s="149" t="s">
        <v>479</v>
      </c>
      <c r="D82" s="155" t="s">
        <v>480</v>
      </c>
      <c r="E82" s="171">
        <v>0.1</v>
      </c>
      <c r="F82" s="167"/>
      <c r="G82" s="172"/>
      <c r="H82" s="142"/>
    </row>
    <row r="83" spans="3:8" x14ac:dyDescent="0.3">
      <c r="C83" s="149" t="s">
        <v>481</v>
      </c>
      <c r="D83" s="155" t="s">
        <v>482</v>
      </c>
      <c r="E83" s="171">
        <v>7</v>
      </c>
      <c r="F83" s="167"/>
      <c r="G83" s="172"/>
      <c r="H83" s="142"/>
    </row>
    <row r="84" spans="3:8" x14ac:dyDescent="0.3">
      <c r="C84" s="149" t="s">
        <v>483</v>
      </c>
      <c r="D84" s="155" t="s">
        <v>484</v>
      </c>
      <c r="E84" s="171">
        <v>12.8</v>
      </c>
      <c r="F84" s="167"/>
      <c r="G84" s="172"/>
      <c r="H84" s="142"/>
    </row>
    <row r="85" spans="3:8" x14ac:dyDescent="0.3">
      <c r="C85" s="149" t="s">
        <v>485</v>
      </c>
      <c r="D85" s="155" t="s">
        <v>486</v>
      </c>
      <c r="E85" s="171">
        <v>23</v>
      </c>
      <c r="F85" s="167"/>
      <c r="G85" s="172"/>
      <c r="H85" s="142"/>
    </row>
    <row r="86" spans="3:8" x14ac:dyDescent="0.3">
      <c r="C86" s="149" t="s">
        <v>487</v>
      </c>
      <c r="D86" s="155" t="s">
        <v>488</v>
      </c>
      <c r="E86" s="171">
        <v>9.5</v>
      </c>
      <c r="F86" s="167"/>
      <c r="G86" s="172"/>
      <c r="H86" s="142"/>
    </row>
    <row r="87" spans="3:8" x14ac:dyDescent="0.3">
      <c r="C87" s="149" t="s">
        <v>489</v>
      </c>
      <c r="D87" s="155" t="s">
        <v>490</v>
      </c>
      <c r="E87" s="171">
        <v>2.2999999999999998</v>
      </c>
      <c r="F87" s="167"/>
      <c r="G87" s="172"/>
      <c r="H87" s="142"/>
    </row>
    <row r="88" spans="3:8" x14ac:dyDescent="0.3">
      <c r="C88" s="149" t="s">
        <v>491</v>
      </c>
      <c r="D88" s="155" t="s">
        <v>492</v>
      </c>
      <c r="E88" s="171">
        <v>8</v>
      </c>
      <c r="F88" s="167"/>
      <c r="G88" s="172"/>
      <c r="H88" s="142"/>
    </row>
    <row r="89" spans="3:8" x14ac:dyDescent="0.3">
      <c r="C89" s="149" t="s">
        <v>493</v>
      </c>
      <c r="D89" s="155" t="s">
        <v>494</v>
      </c>
      <c r="E89" s="171">
        <v>11.7</v>
      </c>
      <c r="F89" s="167"/>
      <c r="G89" s="172"/>
      <c r="H89" s="142"/>
    </row>
    <row r="90" spans="3:8" x14ac:dyDescent="0.3">
      <c r="C90" s="149" t="s">
        <v>495</v>
      </c>
      <c r="D90" s="155" t="s">
        <v>496</v>
      </c>
      <c r="E90" s="171">
        <v>35</v>
      </c>
      <c r="F90" s="167"/>
      <c r="G90" s="172"/>
      <c r="H90" s="142"/>
    </row>
    <row r="91" spans="3:8" x14ac:dyDescent="0.3">
      <c r="C91" s="149" t="s">
        <v>497</v>
      </c>
      <c r="D91" s="155" t="s">
        <v>498</v>
      </c>
      <c r="E91" s="171">
        <v>6</v>
      </c>
      <c r="F91" s="167"/>
      <c r="G91" s="172"/>
      <c r="H91" s="142"/>
    </row>
    <row r="92" spans="3:8" x14ac:dyDescent="0.3">
      <c r="C92" s="149" t="s">
        <v>499</v>
      </c>
      <c r="D92" s="155" t="s">
        <v>500</v>
      </c>
      <c r="E92" s="171">
        <v>35.5</v>
      </c>
      <c r="F92" s="167"/>
      <c r="G92" s="172"/>
      <c r="H92" s="142"/>
    </row>
    <row r="93" spans="3:8" x14ac:dyDescent="0.3">
      <c r="C93" s="149" t="s">
        <v>501</v>
      </c>
      <c r="D93" s="155" t="s">
        <v>502</v>
      </c>
      <c r="E93" s="171">
        <v>0.5</v>
      </c>
      <c r="F93" s="167"/>
      <c r="G93" s="172"/>
      <c r="H93" s="142"/>
    </row>
    <row r="94" spans="3:8" x14ac:dyDescent="0.3">
      <c r="C94" s="149" t="s">
        <v>503</v>
      </c>
      <c r="D94" s="155" t="s">
        <v>504</v>
      </c>
      <c r="E94" s="171">
        <v>3</v>
      </c>
      <c r="F94" s="167"/>
      <c r="G94" s="172"/>
      <c r="H94" s="142"/>
    </row>
    <row r="95" spans="3:8" x14ac:dyDescent="0.3">
      <c r="C95" s="149" t="s">
        <v>505</v>
      </c>
      <c r="D95" s="155" t="s">
        <v>506</v>
      </c>
      <c r="E95" s="171">
        <v>15</v>
      </c>
      <c r="F95" s="167"/>
      <c r="G95" s="172"/>
      <c r="H95" s="142"/>
    </row>
    <row r="96" spans="3:8" x14ac:dyDescent="0.3">
      <c r="C96" s="149" t="s">
        <v>507</v>
      </c>
      <c r="D96" s="155" t="s">
        <v>508</v>
      </c>
      <c r="E96" s="171">
        <v>14</v>
      </c>
      <c r="F96" s="167"/>
      <c r="G96" s="172"/>
      <c r="H96" s="142"/>
    </row>
    <row r="97" spans="3:8" x14ac:dyDescent="0.3">
      <c r="C97" s="149" t="s">
        <v>509</v>
      </c>
      <c r="D97" s="155" t="s">
        <v>510</v>
      </c>
      <c r="E97" s="171">
        <v>6.2</v>
      </c>
      <c r="F97" s="167"/>
      <c r="G97" s="172"/>
      <c r="H97" s="142"/>
    </row>
    <row r="98" spans="3:8" x14ac:dyDescent="0.3">
      <c r="C98" s="149" t="s">
        <v>511</v>
      </c>
      <c r="D98" s="155" t="s">
        <v>512</v>
      </c>
      <c r="E98" s="171">
        <v>11</v>
      </c>
      <c r="F98" s="167"/>
      <c r="G98" s="172"/>
      <c r="H98" s="142"/>
    </row>
    <row r="99" spans="3:8" x14ac:dyDescent="0.3">
      <c r="C99" s="149" t="s">
        <v>513</v>
      </c>
      <c r="D99" s="155" t="s">
        <v>514</v>
      </c>
      <c r="E99" s="171">
        <v>25</v>
      </c>
      <c r="F99" s="167"/>
      <c r="G99" s="172"/>
      <c r="H99" s="142"/>
    </row>
    <row r="100" spans="3:8" x14ac:dyDescent="0.3">
      <c r="C100" s="149" t="s">
        <v>515</v>
      </c>
      <c r="D100" s="155" t="s">
        <v>516</v>
      </c>
      <c r="E100" s="171">
        <v>10</v>
      </c>
      <c r="F100" s="167"/>
      <c r="G100" s="172"/>
      <c r="H100" s="142"/>
    </row>
    <row r="101" spans="3:8" x14ac:dyDescent="0.3">
      <c r="C101" s="149" t="s">
        <v>517</v>
      </c>
      <c r="D101" s="155" t="s">
        <v>518</v>
      </c>
      <c r="E101" s="171">
        <v>54</v>
      </c>
      <c r="F101" s="167"/>
      <c r="G101" s="172"/>
      <c r="H101" s="142"/>
    </row>
    <row r="102" spans="3:8" x14ac:dyDescent="0.3">
      <c r="C102" s="149" t="s">
        <v>519</v>
      </c>
      <c r="D102" s="155" t="s">
        <v>520</v>
      </c>
      <c r="E102" s="171">
        <v>2.5</v>
      </c>
      <c r="F102" s="167"/>
      <c r="G102" s="172"/>
      <c r="H102" s="142"/>
    </row>
    <row r="103" spans="3:8" x14ac:dyDescent="0.3">
      <c r="C103" s="149" t="s">
        <v>521</v>
      </c>
      <c r="D103" s="155" t="s">
        <v>522</v>
      </c>
      <c r="E103" s="171">
        <v>9.4</v>
      </c>
      <c r="F103" s="167"/>
      <c r="G103" s="172"/>
      <c r="H103" s="142"/>
    </row>
    <row r="104" spans="3:8" x14ac:dyDescent="0.3">
      <c r="C104" s="149" t="s">
        <v>523</v>
      </c>
      <c r="D104" s="155" t="s">
        <v>524</v>
      </c>
      <c r="E104" s="171">
        <v>8</v>
      </c>
      <c r="F104" s="167"/>
      <c r="G104" s="172"/>
      <c r="H104" s="142"/>
    </row>
    <row r="105" spans="3:8" x14ac:dyDescent="0.3">
      <c r="C105" s="149" t="s">
        <v>525</v>
      </c>
      <c r="D105" s="155" t="s">
        <v>526</v>
      </c>
      <c r="E105" s="171">
        <v>3.5</v>
      </c>
      <c r="F105" s="167"/>
      <c r="G105" s="172"/>
      <c r="H105" s="142"/>
    </row>
    <row r="106" spans="3:8" x14ac:dyDescent="0.3">
      <c r="C106" s="149" t="s">
        <v>527</v>
      </c>
      <c r="D106" s="155" t="s">
        <v>528</v>
      </c>
      <c r="E106" s="171">
        <v>2</v>
      </c>
      <c r="F106" s="167"/>
      <c r="G106" s="172"/>
      <c r="H106" s="142"/>
    </row>
  </sheetData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157ECB42FEE5D9459332D72F8755F1F7" ma:contentTypeVersion="1345" ma:contentTypeDescription="The base project type from which other project content types inherit their information." ma:contentTypeScope="" ma:versionID="9d4b260e6e3d6fda429e4fa62090b58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b442fab96fc04a77798fda34c6e0b9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L1491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39293106BA34440A58E5298664907A2" ma:contentTypeVersion="1350" ma:contentTypeDescription="A content type to manage public (operations) IDB documents" ma:contentTypeScope="" ma:versionID="4c76d462f11a162600e78eb089e3131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7670dbac79f34a4cecffb4bf73dd38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9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4404/OC-BR;</Approval_x0020_Number>
    <Phase xmlns="cdc7663a-08f0-4737-9e8c-148ce897a09c">ACTIVE</Phase>
    <Document_x0020_Author xmlns="cdc7663a-08f0-4737-9e8c-148ce897a09c">Berga,Pedro Correia de Souza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SECTOR REHABILITATION AND EFFICIENCY</TermName>
          <TermId xmlns="http://schemas.microsoft.com/office/infopath/2007/PartnerControls">bc14044a-5020-4002-b61d-5f3750c96619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61</Value>
      <Value>30</Value>
      <Value>65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BR-L1491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R0002843636</Record_x0020_Number>
    <_dlc_DocId xmlns="cdc7663a-08f0-4737-9e8c-148ce897a09c">EZSHARE-283970565-8</_dlc_DocId>
    <_dlc_DocIdUrl xmlns="cdc7663a-08f0-4737-9e8c-148ce897a09c">
      <Url>https://idbg.sharepoint.com/teams/EZ-BR-LON/BR-L1491/_layouts/15/DocIdRedir.aspx?ID=EZSHARE-283970565-8</Url>
      <Description>EZSHARE-283970565-8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418372DE-D748-4BC7-8DF4-5AD3CF526F09}"/>
</file>

<file path=customXml/itemProps2.xml><?xml version="1.0" encoding="utf-8"?>
<ds:datastoreItem xmlns:ds="http://schemas.openxmlformats.org/officeDocument/2006/customXml" ds:itemID="{55DAFC11-5623-4C0F-B823-BD6E7B73E627}"/>
</file>

<file path=customXml/itemProps3.xml><?xml version="1.0" encoding="utf-8"?>
<ds:datastoreItem xmlns:ds="http://schemas.openxmlformats.org/officeDocument/2006/customXml" ds:itemID="{EFE3D296-0ADF-4CD1-B9BA-D4937A0DADBA}"/>
</file>

<file path=customXml/itemProps4.xml><?xml version="1.0" encoding="utf-8"?>
<ds:datastoreItem xmlns:ds="http://schemas.openxmlformats.org/officeDocument/2006/customXml" ds:itemID="{22C1F104-606E-4D9A-8587-3A4278E7C0F2}"/>
</file>

<file path=customXml/itemProps5.xml><?xml version="1.0" encoding="utf-8"?>
<ds:datastoreItem xmlns:ds="http://schemas.openxmlformats.org/officeDocument/2006/customXml" ds:itemID="{7BABFFE8-001D-4AB9-B700-141CB996A523}"/>
</file>

<file path=customXml/itemProps6.xml><?xml version="1.0" encoding="utf-8"?>
<ds:datastoreItem xmlns:ds="http://schemas.openxmlformats.org/officeDocument/2006/customXml" ds:itemID="{4D52AEB3-E883-4FE2-804B-3B376880DCBF}"/>
</file>

<file path=customXml/itemProps7.xml><?xml version="1.0" encoding="utf-8"?>
<ds:datastoreItem xmlns:ds="http://schemas.openxmlformats.org/officeDocument/2006/customXml" ds:itemID="{AB686120-0C30-4D7E-BD9D-0149BA9D8497}"/>
</file>

<file path=customXml/itemProps8.xml><?xml version="1.0" encoding="utf-8"?>
<ds:datastoreItem xmlns:ds="http://schemas.openxmlformats.org/officeDocument/2006/customXml" ds:itemID="{FD290B8C-FD0E-450A-AB0F-4B645F7D60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Plano de Aquisicoes</vt:lpstr>
      <vt:lpstr>Relacao das Obras</vt:lpstr>
      <vt:lpstr>'Plano de Aquisicoes'!Print_Area</vt:lpstr>
    </vt:vector>
  </TitlesOfParts>
  <Company>CEEE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CEEE</dc:title>
  <dc:subject>PA</dc:subject>
  <dc:creator>Canova</dc:creator>
  <cp:keywords/>
  <cp:lastModifiedBy>Berga, Pedro Correia de Souza</cp:lastModifiedBy>
  <cp:lastPrinted>2018-09-14T11:38:12Z</cp:lastPrinted>
  <dcterms:created xsi:type="dcterms:W3CDTF">2010-08-10T16:40:19Z</dcterms:created>
  <dcterms:modified xsi:type="dcterms:W3CDTF">2018-09-17T21:15:00Z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65;#ENERGY SECTOR REHABILITATION AND EFFICIENCY|bc14044a-5020-4002-b61d-5f3750c96619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61;#ENERGY|4fed196a-cd0b-4970-87de-42da17f9b203</vt:lpwstr>
  </property>
  <property fmtid="{D5CDD505-2E9C-101B-9397-08002B2CF9AE}" pid="10" name="Function Operations IDB">
    <vt:lpwstr>7;#Goods and Services|5bfebf1b-9f1f-4411-b1dd-4c19b807b799</vt:lpwstr>
  </property>
  <property fmtid="{D5CDD505-2E9C-101B-9397-08002B2CF9AE}" pid="11" name="_dlc_DocIdItemGuid">
    <vt:lpwstr>7afee4b1-2245-4b98-b268-760d9cd71d91</vt:lpwstr>
  </property>
  <property fmtid="{D5CDD505-2E9C-101B-9397-08002B2CF9AE}" pid="12" name="ContentTypeId">
    <vt:lpwstr>0x0101001A458A224826124E8B45B1D613300CFC00539293106BA34440A58E5298664907A2</vt:lpwstr>
  </property>
</Properties>
</file>