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calvo\Documents\Bolivia\BO-L1111\Presupuesto\"/>
    </mc:Choice>
  </mc:AlternateContent>
  <xr:revisionPtr revIDLastSave="0" documentId="13_ncr:1_{54F01CB5-FCA5-45D1-82E5-DA7CA4ADC78F}" xr6:coauthVersionLast="34" xr6:coauthVersionMax="34" xr10:uidLastSave="{00000000-0000-0000-0000-000000000000}"/>
  <bookViews>
    <workbookView xWindow="0" yWindow="0" windowWidth="24720" windowHeight="11328" tabRatio="813" firstSheet="3" activeTab="3" xr2:uid="{00000000-000D-0000-FFFF-FFFF00000000}"/>
  </bookViews>
  <sheets>
    <sheet name="1. Detailed Budget.2 " sheetId="15" state="hidden" r:id="rId1"/>
    <sheet name="1. Detailed Budget " sheetId="26" state="hidden" r:id="rId2"/>
    <sheet name="2. PEP POA" sheetId="25" state="hidden" r:id="rId3"/>
    <sheet name="3. Procurement Plan - PA" sheetId="23" r:id="rId4"/>
    <sheet name="4. Sintetic - PA" sheetId="18" r:id="rId5"/>
    <sheet name="PEP-POA preliminar" sheetId="24" state="hidden" r:id="rId6"/>
    <sheet name="Prices" sheetId="10" state="hidden" r:id="rId7"/>
  </sheets>
  <definedNames>
    <definedName name="_xlnm._FilterDatabase" localSheetId="3" hidden="1">'3. Procurement Plan - PA'!$J$1:$J$124</definedName>
    <definedName name="_Hlk517447872" localSheetId="2">'2. PEP POA'!$D$38</definedName>
    <definedName name="_xlnm.Print_Area" localSheetId="1">'1. Detailed Budget '!#REF!</definedName>
    <definedName name="_xlnm.Print_Area" localSheetId="0">'1. Detailed Budget.2 '!#REF!</definedName>
    <definedName name="_xlnm.Print_Area" localSheetId="5">'PEP-POA preliminar'!$A$4:$H$301</definedName>
  </definedName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6" i="26" l="1"/>
  <c r="G65" i="26"/>
  <c r="B65" i="26"/>
  <c r="X64" i="26"/>
  <c r="T64" i="26"/>
  <c r="P64" i="26"/>
  <c r="L64" i="26"/>
  <c r="G64" i="26"/>
  <c r="B64" i="26"/>
  <c r="X63" i="26"/>
  <c r="T63" i="26"/>
  <c r="P63" i="26"/>
  <c r="L63" i="26"/>
  <c r="G63" i="26"/>
  <c r="X62" i="26"/>
  <c r="T62" i="26"/>
  <c r="P62" i="26"/>
  <c r="L62" i="26"/>
  <c r="X61" i="26"/>
  <c r="T61" i="26"/>
  <c r="P61" i="26"/>
  <c r="L61" i="26"/>
  <c r="G61" i="26"/>
  <c r="X60" i="26"/>
  <c r="T60" i="26"/>
  <c r="P60" i="26"/>
  <c r="L60" i="26"/>
  <c r="G60" i="26"/>
  <c r="B60" i="26" s="1"/>
  <c r="G59" i="26"/>
  <c r="B59" i="26"/>
  <c r="G58" i="26"/>
  <c r="B58" i="26"/>
  <c r="G57" i="26"/>
  <c r="B57" i="26"/>
  <c r="G56" i="26"/>
  <c r="B56" i="26"/>
  <c r="G55" i="26"/>
  <c r="B55" i="26" s="1"/>
  <c r="G54" i="26"/>
  <c r="B54" i="26"/>
  <c r="G53" i="26"/>
  <c r="B53" i="26"/>
  <c r="G52" i="26"/>
  <c r="B52" i="26"/>
  <c r="G51" i="26"/>
  <c r="B51" i="26"/>
  <c r="X50" i="26"/>
  <c r="T50" i="26"/>
  <c r="P50" i="26"/>
  <c r="L50" i="26"/>
  <c r="G50" i="26"/>
  <c r="B50" i="26" s="1"/>
  <c r="G49" i="26"/>
  <c r="G67" i="26" s="1"/>
  <c r="B49" i="26"/>
  <c r="G47" i="26"/>
  <c r="X46" i="26"/>
  <c r="T46" i="26"/>
  <c r="B46" i="26" s="1"/>
  <c r="P46" i="26"/>
  <c r="L46" i="26"/>
  <c r="L45" i="26"/>
  <c r="X44" i="26"/>
  <c r="T44" i="26"/>
  <c r="P44" i="26"/>
  <c r="L44" i="26"/>
  <c r="B44" i="26" s="1"/>
  <c r="X43" i="26"/>
  <c r="T43" i="26"/>
  <c r="G43" i="26"/>
  <c r="B42" i="26" s="1"/>
  <c r="X42" i="26"/>
  <c r="T42" i="26"/>
  <c r="P42" i="26"/>
  <c r="L42" i="26"/>
  <c r="G41" i="26"/>
  <c r="X40" i="26"/>
  <c r="T40" i="26"/>
  <c r="B40" i="26" s="1"/>
  <c r="P40" i="26"/>
  <c r="G40" i="26"/>
  <c r="X38" i="26"/>
  <c r="B38" i="26" s="1"/>
  <c r="T38" i="26"/>
  <c r="G38" i="26"/>
  <c r="T36" i="26"/>
  <c r="B36" i="26"/>
  <c r="X35" i="26"/>
  <c r="T35" i="26"/>
  <c r="B35" i="26" s="1"/>
  <c r="G35" i="26"/>
  <c r="X34" i="26"/>
  <c r="T34" i="26"/>
  <c r="B19" i="26" s="1"/>
  <c r="B18" i="26" s="1"/>
  <c r="L34" i="26"/>
  <c r="G34" i="26"/>
  <c r="X33" i="26"/>
  <c r="X32" i="26"/>
  <c r="X31" i="26"/>
  <c r="X30" i="26"/>
  <c r="X29" i="26"/>
  <c r="X28" i="26"/>
  <c r="X27" i="26"/>
  <c r="X26" i="26"/>
  <c r="X25" i="26"/>
  <c r="X24" i="26"/>
  <c r="X23" i="26"/>
  <c r="X22" i="26"/>
  <c r="X21" i="26"/>
  <c r="X20" i="26"/>
  <c r="X19" i="26"/>
  <c r="T19" i="26"/>
  <c r="X17" i="26"/>
  <c r="G17" i="26"/>
  <c r="B17" i="26"/>
  <c r="P16" i="26"/>
  <c r="B16" i="26" s="1"/>
  <c r="X15" i="26"/>
  <c r="P15" i="26"/>
  <c r="G15" i="26"/>
  <c r="B15" i="26" s="1"/>
  <c r="L14" i="26"/>
  <c r="B14" i="26"/>
  <c r="L13" i="26"/>
  <c r="B13" i="26" s="1"/>
  <c r="G12" i="26"/>
  <c r="X11" i="26"/>
  <c r="P11" i="26"/>
  <c r="G11" i="26"/>
  <c r="P10" i="26"/>
  <c r="P9" i="26"/>
  <c r="P8" i="26"/>
  <c r="B8" i="26" s="1"/>
  <c r="G8" i="26"/>
  <c r="F4" i="26"/>
  <c r="M51" i="25"/>
  <c r="L51" i="25"/>
  <c r="K51" i="25"/>
  <c r="J51" i="25"/>
  <c r="I51" i="25"/>
  <c r="H51" i="25"/>
  <c r="M45" i="25"/>
  <c r="L45" i="25"/>
  <c r="K45" i="25"/>
  <c r="J45" i="25"/>
  <c r="I45" i="25"/>
  <c r="H45" i="25"/>
  <c r="M43" i="25"/>
  <c r="L43" i="25"/>
  <c r="K43" i="25"/>
  <c r="J43" i="25"/>
  <c r="I43" i="25"/>
  <c r="H43" i="25"/>
  <c r="M41" i="25"/>
  <c r="L41" i="25"/>
  <c r="K41" i="25"/>
  <c r="J41" i="25"/>
  <c r="I41" i="25"/>
  <c r="H41" i="25"/>
  <c r="M38" i="25"/>
  <c r="L38" i="25"/>
  <c r="L24" i="25" s="1"/>
  <c r="L23" i="25" s="1"/>
  <c r="M24" i="25"/>
  <c r="M23" i="25" s="1"/>
  <c r="K24" i="25"/>
  <c r="J24" i="25"/>
  <c r="J23" i="25" s="1"/>
  <c r="I24" i="25"/>
  <c r="I23" i="25" s="1"/>
  <c r="H24" i="25"/>
  <c r="K23" i="25"/>
  <c r="H23" i="25"/>
  <c r="H22" i="25"/>
  <c r="H21" i="25" s="1"/>
  <c r="M21" i="25"/>
  <c r="L21" i="25"/>
  <c r="K21" i="25"/>
  <c r="J21" i="25"/>
  <c r="I21" i="25"/>
  <c r="H20" i="25"/>
  <c r="H19" i="25"/>
  <c r="H18" i="25" s="1"/>
  <c r="M18" i="25"/>
  <c r="L18" i="25"/>
  <c r="K18" i="25"/>
  <c r="J18" i="25"/>
  <c r="J5" i="25" s="1"/>
  <c r="J4" i="25" s="1"/>
  <c r="I18" i="25"/>
  <c r="H17" i="25"/>
  <c r="H16" i="25" s="1"/>
  <c r="M16" i="25"/>
  <c r="L16" i="25"/>
  <c r="K16" i="25"/>
  <c r="J16" i="25"/>
  <c r="I16" i="25"/>
  <c r="H15" i="25"/>
  <c r="M14" i="25"/>
  <c r="L14" i="25"/>
  <c r="K14" i="25"/>
  <c r="J14" i="25"/>
  <c r="I14" i="25"/>
  <c r="H14" i="25"/>
  <c r="H13" i="25"/>
  <c r="M12" i="25"/>
  <c r="L12" i="25"/>
  <c r="L5" i="25" s="1"/>
  <c r="L4" i="25" s="1"/>
  <c r="K12" i="25"/>
  <c r="K5" i="25" s="1"/>
  <c r="K4" i="25" s="1"/>
  <c r="J12" i="25"/>
  <c r="I12" i="25"/>
  <c r="H12" i="25"/>
  <c r="H11" i="25"/>
  <c r="H10" i="25"/>
  <c r="H9" i="25"/>
  <c r="H8" i="25"/>
  <c r="H7" i="25"/>
  <c r="H6" i="25" s="1"/>
  <c r="H5" i="25" s="1"/>
  <c r="H4" i="25" s="1"/>
  <c r="K6" i="25"/>
  <c r="J6" i="25"/>
  <c r="M5" i="25"/>
  <c r="I5" i="25"/>
  <c r="I4" i="25" s="1"/>
  <c r="B7" i="26" l="1"/>
  <c r="B48" i="26"/>
  <c r="B37" i="26"/>
  <c r="G4" i="26"/>
  <c r="M4" i="25"/>
  <c r="H58" i="25"/>
  <c r="B3" i="26" l="1"/>
  <c r="A22" i="18"/>
  <c r="A21" i="18"/>
  <c r="A20" i="18"/>
  <c r="A93" i="23" l="1"/>
  <c r="I93" i="23"/>
  <c r="I92" i="23"/>
  <c r="A80" i="23" l="1"/>
  <c r="A41" i="23"/>
  <c r="A39" i="23"/>
  <c r="A37" i="23"/>
  <c r="A35" i="23"/>
  <c r="A33" i="23"/>
  <c r="G11" i="24" l="1"/>
  <c r="G23" i="24"/>
  <c r="G35" i="24"/>
  <c r="G47" i="24"/>
  <c r="G59" i="24"/>
  <c r="G71" i="24"/>
  <c r="G83" i="24"/>
  <c r="G95" i="24"/>
  <c r="G107" i="24"/>
  <c r="G108" i="24"/>
  <c r="G285" i="24"/>
  <c r="G297" i="24"/>
  <c r="G299" i="24"/>
  <c r="G300" i="24"/>
  <c r="G323" i="24"/>
  <c r="G346" i="24"/>
  <c r="G381" i="24"/>
  <c r="G393" i="24"/>
  <c r="G405" i="24"/>
  <c r="G10" i="24" l="1"/>
  <c r="G480" i="24" s="1"/>
  <c r="E440" i="24"/>
  <c r="D441" i="24" s="1"/>
  <c r="E441" i="24" s="1"/>
  <c r="D442" i="24" s="1"/>
  <c r="E442" i="24" s="1"/>
  <c r="D443" i="24" s="1"/>
  <c r="E443" i="24" s="1"/>
  <c r="D444" i="24" s="1"/>
  <c r="E444" i="24" s="1"/>
  <c r="D445" i="24" s="1"/>
  <c r="E445" i="24" s="1"/>
  <c r="D446" i="24" s="1"/>
  <c r="E446" i="24" s="1"/>
  <c r="D447" i="24" s="1"/>
  <c r="E447" i="24" s="1"/>
  <c r="D448" i="24" s="1"/>
  <c r="E448" i="24" s="1"/>
  <c r="D449" i="24" s="1"/>
  <c r="E449" i="24" s="1"/>
  <c r="F472" i="24"/>
  <c r="C427" i="24"/>
  <c r="B405" i="24"/>
  <c r="B394" i="24"/>
  <c r="B393" i="24"/>
  <c r="B382" i="24"/>
  <c r="B381" i="24"/>
  <c r="C392" i="24"/>
  <c r="E383" i="24"/>
  <c r="D384" i="24" s="1"/>
  <c r="E384" i="24" s="1"/>
  <c r="D385" i="24" s="1"/>
  <c r="E385" i="24" s="1"/>
  <c r="D386" i="24" s="1"/>
  <c r="E386" i="24" s="1"/>
  <c r="D387" i="24" s="1"/>
  <c r="E387" i="24" s="1"/>
  <c r="D388" i="24" s="1"/>
  <c r="E388" i="24" s="1"/>
  <c r="D389" i="24" s="1"/>
  <c r="E389" i="24" s="1"/>
  <c r="D390" i="24" s="1"/>
  <c r="E390" i="24" s="1"/>
  <c r="D391" i="24" s="1"/>
  <c r="E391" i="24" s="1"/>
  <c r="D392" i="24" s="1"/>
  <c r="L381" i="24"/>
  <c r="K381" i="24"/>
  <c r="H381" i="24"/>
  <c r="C404" i="24"/>
  <c r="E395" i="24"/>
  <c r="D396" i="24" s="1"/>
  <c r="E396" i="24" s="1"/>
  <c r="D397" i="24" s="1"/>
  <c r="E397" i="24" s="1"/>
  <c r="D398" i="24" s="1"/>
  <c r="E398" i="24" s="1"/>
  <c r="D399" i="24" s="1"/>
  <c r="E399" i="24" s="1"/>
  <c r="D400" i="24" s="1"/>
  <c r="E400" i="24" s="1"/>
  <c r="D401" i="24" s="1"/>
  <c r="E401" i="24" s="1"/>
  <c r="D402" i="24" s="1"/>
  <c r="E402" i="24" s="1"/>
  <c r="D403" i="24" s="1"/>
  <c r="E403" i="24" s="1"/>
  <c r="D404" i="24" s="1"/>
  <c r="E404" i="24" s="1"/>
  <c r="L393" i="24"/>
  <c r="K393" i="24"/>
  <c r="H393" i="24"/>
  <c r="B380" i="24"/>
  <c r="B369" i="24"/>
  <c r="C379" i="24"/>
  <c r="E370" i="24"/>
  <c r="D371" i="24" s="1"/>
  <c r="E371" i="24" s="1"/>
  <c r="D372" i="24" s="1"/>
  <c r="E372" i="24" s="1"/>
  <c r="D373" i="24" s="1"/>
  <c r="E373" i="24" s="1"/>
  <c r="D374" i="24" s="1"/>
  <c r="E374" i="24" s="1"/>
  <c r="D375" i="24" s="1"/>
  <c r="E375" i="24" s="1"/>
  <c r="D376" i="24" s="1"/>
  <c r="E376" i="24" s="1"/>
  <c r="D377" i="24" s="1"/>
  <c r="E377" i="24" s="1"/>
  <c r="D378" i="24" s="1"/>
  <c r="E378" i="24" s="1"/>
  <c r="D379" i="24" s="1"/>
  <c r="B358" i="24"/>
  <c r="B347" i="24"/>
  <c r="B346" i="24"/>
  <c r="L346" i="24"/>
  <c r="K346" i="24"/>
  <c r="H346" i="24"/>
  <c r="C368" i="24"/>
  <c r="E359" i="24"/>
  <c r="D360" i="24" s="1"/>
  <c r="E360" i="24" s="1"/>
  <c r="D361" i="24" s="1"/>
  <c r="E361" i="24" s="1"/>
  <c r="D362" i="24" s="1"/>
  <c r="E362" i="24" s="1"/>
  <c r="D363" i="24" s="1"/>
  <c r="E363" i="24" s="1"/>
  <c r="D364" i="24" s="1"/>
  <c r="E364" i="24" s="1"/>
  <c r="D365" i="24" s="1"/>
  <c r="E365" i="24" s="1"/>
  <c r="D366" i="24" s="1"/>
  <c r="E366" i="24" s="1"/>
  <c r="D367" i="24" s="1"/>
  <c r="E367" i="24" s="1"/>
  <c r="D368" i="24" s="1"/>
  <c r="E368" i="24" s="1"/>
  <c r="C357" i="24"/>
  <c r="E348" i="24"/>
  <c r="D349" i="24" s="1"/>
  <c r="E349" i="24" s="1"/>
  <c r="D350" i="24" s="1"/>
  <c r="E350" i="24" s="1"/>
  <c r="D351" i="24" s="1"/>
  <c r="E351" i="24" s="1"/>
  <c r="D352" i="24" s="1"/>
  <c r="E352" i="24" s="1"/>
  <c r="D353" i="24" s="1"/>
  <c r="E353" i="24" s="1"/>
  <c r="D354" i="24" s="1"/>
  <c r="E354" i="24" s="1"/>
  <c r="D355" i="24" s="1"/>
  <c r="E355" i="24" s="1"/>
  <c r="D356" i="24" s="1"/>
  <c r="E356" i="24" s="1"/>
  <c r="D357" i="24" s="1"/>
  <c r="B335" i="24"/>
  <c r="B324" i="24"/>
  <c r="B323" i="24"/>
  <c r="L323" i="24"/>
  <c r="K323" i="24"/>
  <c r="H323" i="24"/>
  <c r="B312" i="24"/>
  <c r="B301" i="24"/>
  <c r="B300" i="24"/>
  <c r="B299" i="24"/>
  <c r="L300" i="24"/>
  <c r="K300" i="24"/>
  <c r="H300" i="24"/>
  <c r="L299" i="24"/>
  <c r="K299" i="24"/>
  <c r="H299" i="24"/>
  <c r="B298" i="24"/>
  <c r="B297" i="24"/>
  <c r="L297" i="24"/>
  <c r="K297" i="24"/>
  <c r="H297" i="24"/>
  <c r="B286" i="24"/>
  <c r="B285" i="24"/>
  <c r="F274" i="24"/>
  <c r="F263" i="24"/>
  <c r="L263" i="24" s="1"/>
  <c r="F252" i="24"/>
  <c r="F241" i="24"/>
  <c r="L241" i="24" s="1"/>
  <c r="F230" i="24"/>
  <c r="L230" i="24" s="1"/>
  <c r="F219" i="24"/>
  <c r="L219" i="24" s="1"/>
  <c r="F208" i="24"/>
  <c r="F197" i="24"/>
  <c r="F186" i="24"/>
  <c r="F175" i="24"/>
  <c r="F164" i="24"/>
  <c r="F153" i="24"/>
  <c r="F142" i="24"/>
  <c r="F131" i="24"/>
  <c r="F120" i="24"/>
  <c r="F109" i="24"/>
  <c r="B274" i="24"/>
  <c r="B263" i="24"/>
  <c r="B252" i="24"/>
  <c r="B241" i="24"/>
  <c r="B230" i="24"/>
  <c r="B219" i="24"/>
  <c r="B208" i="24"/>
  <c r="B197" i="24"/>
  <c r="B186" i="24"/>
  <c r="B175" i="24"/>
  <c r="B164" i="24"/>
  <c r="B153" i="24"/>
  <c r="B142" i="24"/>
  <c r="B131" i="24"/>
  <c r="B120" i="24"/>
  <c r="B109" i="24"/>
  <c r="C273" i="24"/>
  <c r="E264" i="24"/>
  <c r="D265" i="24" s="1"/>
  <c r="E265" i="24" s="1"/>
  <c r="D266" i="24" s="1"/>
  <c r="E266" i="24" s="1"/>
  <c r="D267" i="24" s="1"/>
  <c r="E267" i="24" s="1"/>
  <c r="D268" i="24" s="1"/>
  <c r="E268" i="24" s="1"/>
  <c r="D269" i="24" s="1"/>
  <c r="E269" i="24" s="1"/>
  <c r="D270" i="24" s="1"/>
  <c r="E270" i="24" s="1"/>
  <c r="D271" i="24" s="1"/>
  <c r="E271" i="24" s="1"/>
  <c r="D272" i="24" s="1"/>
  <c r="E272" i="24" s="1"/>
  <c r="D273" i="24" s="1"/>
  <c r="C229" i="24"/>
  <c r="E220" i="24"/>
  <c r="D221" i="24" s="1"/>
  <c r="E221" i="24" s="1"/>
  <c r="D222" i="24" s="1"/>
  <c r="E222" i="24" s="1"/>
  <c r="D223" i="24" s="1"/>
  <c r="E223" i="24" s="1"/>
  <c r="D224" i="24" s="1"/>
  <c r="E224" i="24" s="1"/>
  <c r="D225" i="24" s="1"/>
  <c r="E225" i="24" s="1"/>
  <c r="D226" i="24" s="1"/>
  <c r="E226" i="24" s="1"/>
  <c r="D227" i="24" s="1"/>
  <c r="E227" i="24" s="1"/>
  <c r="D228" i="24" s="1"/>
  <c r="E228" i="24" s="1"/>
  <c r="D229" i="24" s="1"/>
  <c r="C240" i="24"/>
  <c r="E231" i="24"/>
  <c r="D232" i="24" s="1"/>
  <c r="E232" i="24" s="1"/>
  <c r="D233" i="24" s="1"/>
  <c r="E233" i="24" s="1"/>
  <c r="D234" i="24" s="1"/>
  <c r="E234" i="24" s="1"/>
  <c r="D235" i="24" s="1"/>
  <c r="E235" i="24" s="1"/>
  <c r="D236" i="24" s="1"/>
  <c r="E236" i="24" s="1"/>
  <c r="D237" i="24" s="1"/>
  <c r="E237" i="24" s="1"/>
  <c r="D238" i="24" s="1"/>
  <c r="E238" i="24" s="1"/>
  <c r="D239" i="24" s="1"/>
  <c r="E239" i="24" s="1"/>
  <c r="D240" i="24" s="1"/>
  <c r="C251" i="24"/>
  <c r="E242" i="24"/>
  <c r="D243" i="24" s="1"/>
  <c r="E243" i="24" s="1"/>
  <c r="D244" i="24" s="1"/>
  <c r="E244" i="24" s="1"/>
  <c r="D245" i="24" s="1"/>
  <c r="E245" i="24" s="1"/>
  <c r="D246" i="24" s="1"/>
  <c r="E246" i="24" s="1"/>
  <c r="D247" i="24" s="1"/>
  <c r="E247" i="24" s="1"/>
  <c r="D248" i="24" s="1"/>
  <c r="E248" i="24" s="1"/>
  <c r="D249" i="24" s="1"/>
  <c r="E249" i="24" s="1"/>
  <c r="D250" i="24" s="1"/>
  <c r="E250" i="24" s="1"/>
  <c r="D251" i="24" s="1"/>
  <c r="C262" i="24"/>
  <c r="E253" i="24"/>
  <c r="D254" i="24" s="1"/>
  <c r="E254" i="24" s="1"/>
  <c r="D255" i="24" s="1"/>
  <c r="E255" i="24" s="1"/>
  <c r="D256" i="24" s="1"/>
  <c r="E256" i="24" s="1"/>
  <c r="D257" i="24" s="1"/>
  <c r="E257" i="24" s="1"/>
  <c r="D258" i="24" s="1"/>
  <c r="E258" i="24" s="1"/>
  <c r="D259" i="24" s="1"/>
  <c r="E259" i="24" s="1"/>
  <c r="D260" i="24" s="1"/>
  <c r="E260" i="24" s="1"/>
  <c r="D261" i="24" s="1"/>
  <c r="E261" i="24" s="1"/>
  <c r="D262" i="24" s="1"/>
  <c r="L252" i="24"/>
  <c r="B108" i="24"/>
  <c r="L108" i="24"/>
  <c r="K108" i="24"/>
  <c r="H108" i="24"/>
  <c r="B107" i="24"/>
  <c r="L107" i="24"/>
  <c r="K107" i="24"/>
  <c r="H107" i="24"/>
  <c r="B96" i="24"/>
  <c r="B95" i="24"/>
  <c r="C106" i="24"/>
  <c r="E97" i="24"/>
  <c r="D98" i="24" s="1"/>
  <c r="E98" i="24" s="1"/>
  <c r="D99" i="24" s="1"/>
  <c r="E99" i="24" s="1"/>
  <c r="D100" i="24" s="1"/>
  <c r="E100" i="24" s="1"/>
  <c r="D101" i="24" s="1"/>
  <c r="E101" i="24" s="1"/>
  <c r="D102" i="24" s="1"/>
  <c r="E102" i="24" s="1"/>
  <c r="D103" i="24" s="1"/>
  <c r="E103" i="24" s="1"/>
  <c r="D104" i="24" s="1"/>
  <c r="E104" i="24" s="1"/>
  <c r="D105" i="24" s="1"/>
  <c r="E105" i="24" s="1"/>
  <c r="D106" i="24" s="1"/>
  <c r="L95" i="24"/>
  <c r="K95" i="24"/>
  <c r="H95" i="24"/>
  <c r="B84" i="24"/>
  <c r="B83" i="24"/>
  <c r="C94" i="24"/>
  <c r="E85" i="24"/>
  <c r="D86" i="24" s="1"/>
  <c r="E86" i="24" s="1"/>
  <c r="D87" i="24" s="1"/>
  <c r="E87" i="24" s="1"/>
  <c r="D88" i="24" s="1"/>
  <c r="E88" i="24" s="1"/>
  <c r="D89" i="24" s="1"/>
  <c r="E89" i="24" s="1"/>
  <c r="D90" i="24" s="1"/>
  <c r="E90" i="24" s="1"/>
  <c r="D91" i="24" s="1"/>
  <c r="E91" i="24" s="1"/>
  <c r="D92" i="24" s="1"/>
  <c r="E92" i="24" s="1"/>
  <c r="D93" i="24" s="1"/>
  <c r="E93" i="24" s="1"/>
  <c r="D94" i="24" s="1"/>
  <c r="L83" i="24"/>
  <c r="K83" i="24"/>
  <c r="H83" i="24"/>
  <c r="B72" i="24"/>
  <c r="B71" i="24"/>
  <c r="L71" i="24"/>
  <c r="K71" i="24"/>
  <c r="H71" i="24"/>
  <c r="B60" i="24"/>
  <c r="B59" i="24"/>
  <c r="L59" i="24"/>
  <c r="K59" i="24"/>
  <c r="H59" i="24"/>
  <c r="B48" i="24"/>
  <c r="B47" i="24"/>
  <c r="L47" i="24"/>
  <c r="K47" i="24"/>
  <c r="H47" i="24"/>
  <c r="B36" i="24"/>
  <c r="B35" i="24"/>
  <c r="L35" i="24"/>
  <c r="K35" i="24"/>
  <c r="J35" i="24"/>
  <c r="I35" i="24"/>
  <c r="H35" i="24"/>
  <c r="B24" i="24"/>
  <c r="B23" i="24"/>
  <c r="B12" i="24"/>
  <c r="C21" i="23"/>
  <c r="A22" i="23"/>
  <c r="A21" i="23"/>
  <c r="A74" i="23"/>
  <c r="I95" i="23"/>
  <c r="I94" i="23"/>
  <c r="C15" i="23"/>
  <c r="A15" i="23"/>
  <c r="A12" i="23"/>
  <c r="A69" i="23"/>
  <c r="I82" i="23"/>
  <c r="I83" i="23"/>
  <c r="I84" i="23"/>
  <c r="I85" i="23"/>
  <c r="I86" i="23"/>
  <c r="I87" i="23"/>
  <c r="I88" i="23"/>
  <c r="I89" i="23"/>
  <c r="I90" i="23"/>
  <c r="I91" i="23"/>
  <c r="C94" i="23"/>
  <c r="C85" i="23"/>
  <c r="C86" i="23"/>
  <c r="C87" i="23"/>
  <c r="C88" i="23"/>
  <c r="C89" i="23"/>
  <c r="C90" i="23"/>
  <c r="C91" i="23"/>
  <c r="A82" i="23"/>
  <c r="A83" i="23"/>
  <c r="A84" i="23"/>
  <c r="A85" i="23"/>
  <c r="A86" i="23"/>
  <c r="A87" i="23"/>
  <c r="A88" i="23"/>
  <c r="A89" i="23"/>
  <c r="A90" i="23"/>
  <c r="A91" i="23"/>
  <c r="A92" i="23"/>
  <c r="A94" i="23"/>
  <c r="A95" i="23"/>
  <c r="A81" i="23"/>
  <c r="I75" i="23"/>
  <c r="I69" i="23"/>
  <c r="E229" i="24" l="1"/>
  <c r="E106" i="24"/>
  <c r="E357" i="24"/>
  <c r="E379" i="24"/>
  <c r="E273" i="24"/>
  <c r="F108" i="24"/>
  <c r="E392" i="24"/>
  <c r="E262" i="24"/>
  <c r="E251" i="24"/>
  <c r="E94" i="24"/>
  <c r="E240" i="24"/>
  <c r="J263" i="24"/>
  <c r="K263" i="24"/>
  <c r="K219" i="24"/>
  <c r="J219" i="24"/>
  <c r="J230" i="24"/>
  <c r="K230" i="24"/>
  <c r="J241" i="24"/>
  <c r="K241" i="24"/>
  <c r="J252" i="24"/>
  <c r="K252" i="24"/>
  <c r="T39" i="15" l="1"/>
  <c r="F312" i="24" s="1"/>
  <c r="T37" i="15"/>
  <c r="B37" i="15" l="1"/>
  <c r="F298" i="24"/>
  <c r="G21" i="23"/>
  <c r="G39" i="15"/>
  <c r="G63" i="15"/>
  <c r="B63" i="15" s="1"/>
  <c r="G62" i="15"/>
  <c r="B62" i="15"/>
  <c r="G61" i="15"/>
  <c r="B61" i="15" s="1"/>
  <c r="G60" i="15"/>
  <c r="B60" i="15" s="1"/>
  <c r="G59" i="15"/>
  <c r="B59" i="15" s="1"/>
  <c r="G58" i="15"/>
  <c r="B58" i="15" s="1"/>
  <c r="G57" i="15"/>
  <c r="B57" i="15" s="1"/>
  <c r="G56" i="15"/>
  <c r="B56" i="15" s="1"/>
  <c r="F301" i="24" l="1"/>
  <c r="F75" i="23"/>
  <c r="F297" i="24"/>
  <c r="J298" i="24"/>
  <c r="J297" i="24" s="1"/>
  <c r="I298" i="24"/>
  <c r="I297" i="24" s="1"/>
  <c r="F91" i="23"/>
  <c r="F417" i="24"/>
  <c r="F90" i="23"/>
  <c r="F89" i="23"/>
  <c r="F88" i="23"/>
  <c r="F87" i="23"/>
  <c r="F86" i="23"/>
  <c r="F85" i="23"/>
  <c r="F84" i="23"/>
  <c r="P43" i="15"/>
  <c r="G15" i="23" s="1"/>
  <c r="G17" i="23" s="1"/>
  <c r="B13" i="18" s="1"/>
  <c r="P11" i="15"/>
  <c r="G11" i="15"/>
  <c r="F24" i="24" s="1"/>
  <c r="F23" i="24" s="1"/>
  <c r="P10" i="15"/>
  <c r="P9" i="15"/>
  <c r="P8" i="15"/>
  <c r="F300" i="24" l="1"/>
  <c r="J301" i="24"/>
  <c r="I301" i="24"/>
  <c r="I417" i="24"/>
  <c r="K417" i="24"/>
  <c r="J417" i="24"/>
  <c r="H417" i="24"/>
  <c r="L417" i="24"/>
  <c r="C46" i="24"/>
  <c r="E37" i="24"/>
  <c r="D38" i="24" s="1"/>
  <c r="E38" i="24" s="1"/>
  <c r="D39" i="24" s="1"/>
  <c r="E39" i="24" s="1"/>
  <c r="D40" i="24" s="1"/>
  <c r="E40" i="24" s="1"/>
  <c r="D41" i="24" s="1"/>
  <c r="E41" i="24" s="1"/>
  <c r="D42" i="24" s="1"/>
  <c r="E42" i="24" s="1"/>
  <c r="D43" i="24" s="1"/>
  <c r="E43" i="24" s="1"/>
  <c r="D44" i="24" s="1"/>
  <c r="E44" i="24" s="1"/>
  <c r="D45" i="24" s="1"/>
  <c r="E45" i="24" s="1"/>
  <c r="D46" i="24" s="1"/>
  <c r="C34" i="24"/>
  <c r="E25" i="24"/>
  <c r="D26" i="24" s="1"/>
  <c r="E26" i="24" s="1"/>
  <c r="D27" i="24" s="1"/>
  <c r="E27" i="24" s="1"/>
  <c r="D28" i="24" s="1"/>
  <c r="E28" i="24" s="1"/>
  <c r="D29" i="24" s="1"/>
  <c r="E29" i="24" s="1"/>
  <c r="D30" i="24" s="1"/>
  <c r="E30" i="24" s="1"/>
  <c r="D31" i="24" s="1"/>
  <c r="E31" i="24" s="1"/>
  <c r="D32" i="24" s="1"/>
  <c r="E32" i="24" s="1"/>
  <c r="D33" i="24" s="1"/>
  <c r="E33" i="24" s="1"/>
  <c r="D34" i="24" s="1"/>
  <c r="E34" i="24" s="1"/>
  <c r="L23" i="24"/>
  <c r="K23" i="24"/>
  <c r="J23" i="24"/>
  <c r="I23" i="24"/>
  <c r="H23" i="24"/>
  <c r="B11" i="24"/>
  <c r="B10" i="24"/>
  <c r="A23" i="23"/>
  <c r="A78" i="23"/>
  <c r="A79" i="23"/>
  <c r="A76" i="23"/>
  <c r="A75" i="23"/>
  <c r="A73" i="23"/>
  <c r="A72" i="23"/>
  <c r="A63" i="23"/>
  <c r="A62" i="23"/>
  <c r="A60" i="23"/>
  <c r="A58" i="23"/>
  <c r="A56" i="23"/>
  <c r="A54" i="23"/>
  <c r="A52" i="23"/>
  <c r="A50" i="23"/>
  <c r="A48" i="23"/>
  <c r="A46" i="23"/>
  <c r="A44" i="23"/>
  <c r="A42" i="23"/>
  <c r="A40" i="23"/>
  <c r="A38" i="23"/>
  <c r="A36" i="23"/>
  <c r="A34" i="23"/>
  <c r="A32" i="23"/>
  <c r="A31" i="23"/>
  <c r="A30" i="23"/>
  <c r="A29" i="23"/>
  <c r="E473" i="24"/>
  <c r="D474" i="24" s="1"/>
  <c r="E474" i="24" s="1"/>
  <c r="D475" i="24" s="1"/>
  <c r="E475" i="24" s="1"/>
  <c r="D476" i="24" s="1"/>
  <c r="E476" i="24" s="1"/>
  <c r="D477" i="24" s="1"/>
  <c r="E477" i="24" s="1"/>
  <c r="D478" i="24" s="1"/>
  <c r="E478" i="24" s="1"/>
  <c r="D479" i="24" s="1"/>
  <c r="E479" i="24" s="1"/>
  <c r="L471" i="24"/>
  <c r="K471" i="24"/>
  <c r="J471" i="24"/>
  <c r="I471" i="24"/>
  <c r="H471" i="24"/>
  <c r="E462" i="24"/>
  <c r="D463" i="24" s="1"/>
  <c r="E463" i="24" s="1"/>
  <c r="D464" i="24" s="1"/>
  <c r="E464" i="24" s="1"/>
  <c r="D465" i="24" s="1"/>
  <c r="E465" i="24" s="1"/>
  <c r="D466" i="24" s="1"/>
  <c r="E466" i="24" s="1"/>
  <c r="D467" i="24" s="1"/>
  <c r="E467" i="24" s="1"/>
  <c r="D468" i="24" s="1"/>
  <c r="E468" i="24" s="1"/>
  <c r="D469" i="24" s="1"/>
  <c r="E469" i="24" s="1"/>
  <c r="D470" i="24" s="1"/>
  <c r="E470" i="24" s="1"/>
  <c r="E451" i="24"/>
  <c r="D452" i="24" s="1"/>
  <c r="E452" i="24" s="1"/>
  <c r="D453" i="24" s="1"/>
  <c r="E453" i="24" s="1"/>
  <c r="D454" i="24" s="1"/>
  <c r="E454" i="24" s="1"/>
  <c r="D455" i="24" s="1"/>
  <c r="E455" i="24" s="1"/>
  <c r="D456" i="24" s="1"/>
  <c r="E456" i="24" s="1"/>
  <c r="D457" i="24" s="1"/>
  <c r="E457" i="24" s="1"/>
  <c r="D458" i="24" s="1"/>
  <c r="E458" i="24" s="1"/>
  <c r="D459" i="24" s="1"/>
  <c r="E459" i="24" s="1"/>
  <c r="D460" i="24" s="1"/>
  <c r="E460" i="24" s="1"/>
  <c r="E429" i="24"/>
  <c r="D430" i="24" s="1"/>
  <c r="E430" i="24" s="1"/>
  <c r="D431" i="24" s="1"/>
  <c r="E431" i="24" s="1"/>
  <c r="D432" i="24" s="1"/>
  <c r="E432" i="24" s="1"/>
  <c r="D433" i="24" s="1"/>
  <c r="E433" i="24" s="1"/>
  <c r="D434" i="24" s="1"/>
  <c r="E434" i="24" s="1"/>
  <c r="D435" i="24" s="1"/>
  <c r="E435" i="24" s="1"/>
  <c r="D436" i="24" s="1"/>
  <c r="E436" i="24" s="1"/>
  <c r="D437" i="24" s="1"/>
  <c r="E437" i="24" s="1"/>
  <c r="D438" i="24" s="1"/>
  <c r="E438" i="24" s="1"/>
  <c r="C416" i="24"/>
  <c r="C345" i="24"/>
  <c r="E336" i="24"/>
  <c r="D337" i="24" s="1"/>
  <c r="E337" i="24" s="1"/>
  <c r="D338" i="24" s="1"/>
  <c r="E338" i="24" s="1"/>
  <c r="D339" i="24" s="1"/>
  <c r="E339" i="24" s="1"/>
  <c r="D340" i="24" s="1"/>
  <c r="E340" i="24" s="1"/>
  <c r="D341" i="24" s="1"/>
  <c r="E341" i="24" s="1"/>
  <c r="D342" i="24" s="1"/>
  <c r="E342" i="24" s="1"/>
  <c r="D343" i="24" s="1"/>
  <c r="E343" i="24" s="1"/>
  <c r="D344" i="24" s="1"/>
  <c r="E344" i="24" s="1"/>
  <c r="D345" i="24" s="1"/>
  <c r="C334" i="24"/>
  <c r="E325" i="24"/>
  <c r="D326" i="24" s="1"/>
  <c r="E326" i="24" s="1"/>
  <c r="D327" i="24" s="1"/>
  <c r="E327" i="24" s="1"/>
  <c r="D328" i="24" s="1"/>
  <c r="E328" i="24" s="1"/>
  <c r="D329" i="24" s="1"/>
  <c r="E329" i="24" s="1"/>
  <c r="D330" i="24" s="1"/>
  <c r="E330" i="24" s="1"/>
  <c r="D331" i="24" s="1"/>
  <c r="E331" i="24" s="1"/>
  <c r="D332" i="24" s="1"/>
  <c r="E332" i="24" s="1"/>
  <c r="D333" i="24" s="1"/>
  <c r="E333" i="24" s="1"/>
  <c r="D334" i="24" s="1"/>
  <c r="K312" i="24"/>
  <c r="H285" i="24"/>
  <c r="C284" i="24"/>
  <c r="E275" i="24"/>
  <c r="D276" i="24" s="1"/>
  <c r="E276" i="24" s="1"/>
  <c r="D277" i="24" s="1"/>
  <c r="E277" i="24" s="1"/>
  <c r="D278" i="24" s="1"/>
  <c r="E278" i="24" s="1"/>
  <c r="D279" i="24" s="1"/>
  <c r="E279" i="24" s="1"/>
  <c r="D280" i="24" s="1"/>
  <c r="E280" i="24" s="1"/>
  <c r="D281" i="24" s="1"/>
  <c r="E281" i="24" s="1"/>
  <c r="D282" i="24" s="1"/>
  <c r="E282" i="24" s="1"/>
  <c r="D283" i="24" s="1"/>
  <c r="E283" i="24" s="1"/>
  <c r="D284" i="24" s="1"/>
  <c r="L274" i="24"/>
  <c r="C218" i="24"/>
  <c r="E209" i="24"/>
  <c r="D210" i="24" s="1"/>
  <c r="E210" i="24" s="1"/>
  <c r="D211" i="24" s="1"/>
  <c r="E211" i="24" s="1"/>
  <c r="D212" i="24" s="1"/>
  <c r="E212" i="24" s="1"/>
  <c r="D213" i="24" s="1"/>
  <c r="E213" i="24" s="1"/>
  <c r="D214" i="24" s="1"/>
  <c r="E214" i="24" s="1"/>
  <c r="D215" i="24" s="1"/>
  <c r="E215" i="24" s="1"/>
  <c r="D216" i="24" s="1"/>
  <c r="E216" i="24" s="1"/>
  <c r="D217" i="24" s="1"/>
  <c r="E217" i="24" s="1"/>
  <c r="D218" i="24" s="1"/>
  <c r="K208" i="24"/>
  <c r="C207" i="24"/>
  <c r="E198" i="24"/>
  <c r="D199" i="24" s="1"/>
  <c r="E199" i="24" s="1"/>
  <c r="D200" i="24" s="1"/>
  <c r="E200" i="24" s="1"/>
  <c r="D201" i="24" s="1"/>
  <c r="E201" i="24" s="1"/>
  <c r="D202" i="24" s="1"/>
  <c r="E202" i="24" s="1"/>
  <c r="D203" i="24" s="1"/>
  <c r="E203" i="24" s="1"/>
  <c r="D204" i="24" s="1"/>
  <c r="E204" i="24" s="1"/>
  <c r="D205" i="24" s="1"/>
  <c r="E205" i="24" s="1"/>
  <c r="D206" i="24" s="1"/>
  <c r="E206" i="24" s="1"/>
  <c r="D207" i="24" s="1"/>
  <c r="L197" i="24"/>
  <c r="C196" i="24"/>
  <c r="E187" i="24"/>
  <c r="D188" i="24" s="1"/>
  <c r="E188" i="24" s="1"/>
  <c r="D189" i="24" s="1"/>
  <c r="E189" i="24" s="1"/>
  <c r="D190" i="24" s="1"/>
  <c r="E190" i="24" s="1"/>
  <c r="D191" i="24" s="1"/>
  <c r="E191" i="24" s="1"/>
  <c r="D192" i="24" s="1"/>
  <c r="E192" i="24" s="1"/>
  <c r="D193" i="24" s="1"/>
  <c r="E193" i="24" s="1"/>
  <c r="D194" i="24" s="1"/>
  <c r="E194" i="24" s="1"/>
  <c r="D195" i="24" s="1"/>
  <c r="E195" i="24" s="1"/>
  <c r="D196" i="24" s="1"/>
  <c r="L186" i="24"/>
  <c r="J186" i="24"/>
  <c r="C185" i="24"/>
  <c r="E176" i="24"/>
  <c r="D177" i="24" s="1"/>
  <c r="E177" i="24" s="1"/>
  <c r="D178" i="24" s="1"/>
  <c r="E178" i="24" s="1"/>
  <c r="D179" i="24" s="1"/>
  <c r="E179" i="24" s="1"/>
  <c r="D180" i="24" s="1"/>
  <c r="E180" i="24" s="1"/>
  <c r="D181" i="24" s="1"/>
  <c r="E181" i="24" s="1"/>
  <c r="D182" i="24" s="1"/>
  <c r="E182" i="24" s="1"/>
  <c r="D183" i="24" s="1"/>
  <c r="E183" i="24" s="1"/>
  <c r="D184" i="24" s="1"/>
  <c r="E184" i="24" s="1"/>
  <c r="D185" i="24" s="1"/>
  <c r="K175" i="24"/>
  <c r="C174" i="24"/>
  <c r="E165" i="24"/>
  <c r="D166" i="24" s="1"/>
  <c r="E166" i="24" s="1"/>
  <c r="D167" i="24" s="1"/>
  <c r="E167" i="24" s="1"/>
  <c r="D168" i="24" s="1"/>
  <c r="E168" i="24" s="1"/>
  <c r="D169" i="24" s="1"/>
  <c r="E169" i="24" s="1"/>
  <c r="D170" i="24" s="1"/>
  <c r="E170" i="24" s="1"/>
  <c r="D171" i="24" s="1"/>
  <c r="E171" i="24" s="1"/>
  <c r="D172" i="24" s="1"/>
  <c r="E172" i="24" s="1"/>
  <c r="D173" i="24" s="1"/>
  <c r="E173" i="24" s="1"/>
  <c r="D174" i="24" s="1"/>
  <c r="K164" i="24"/>
  <c r="J164" i="24"/>
  <c r="C163" i="24"/>
  <c r="E154" i="24"/>
  <c r="D155" i="24" s="1"/>
  <c r="E155" i="24" s="1"/>
  <c r="D156" i="24" s="1"/>
  <c r="E156" i="24" s="1"/>
  <c r="D157" i="24" s="1"/>
  <c r="E157" i="24" s="1"/>
  <c r="D158" i="24" s="1"/>
  <c r="E158" i="24" s="1"/>
  <c r="D159" i="24" s="1"/>
  <c r="E159" i="24" s="1"/>
  <c r="D160" i="24" s="1"/>
  <c r="E160" i="24" s="1"/>
  <c r="D161" i="24" s="1"/>
  <c r="E161" i="24" s="1"/>
  <c r="D162" i="24" s="1"/>
  <c r="E162" i="24" s="1"/>
  <c r="D163" i="24" s="1"/>
  <c r="I153" i="24"/>
  <c r="C152" i="24"/>
  <c r="E143" i="24"/>
  <c r="D144" i="24" s="1"/>
  <c r="E144" i="24" s="1"/>
  <c r="D145" i="24" s="1"/>
  <c r="E145" i="24" s="1"/>
  <c r="D146" i="24" s="1"/>
  <c r="E146" i="24" s="1"/>
  <c r="D147" i="24" s="1"/>
  <c r="E147" i="24" s="1"/>
  <c r="D148" i="24" s="1"/>
  <c r="E148" i="24" s="1"/>
  <c r="D149" i="24" s="1"/>
  <c r="E149" i="24" s="1"/>
  <c r="D150" i="24" s="1"/>
  <c r="E150" i="24" s="1"/>
  <c r="D151" i="24" s="1"/>
  <c r="E151" i="24" s="1"/>
  <c r="D152" i="24" s="1"/>
  <c r="J142" i="24"/>
  <c r="C141" i="24"/>
  <c r="E132" i="24"/>
  <c r="D133" i="24" s="1"/>
  <c r="E133" i="24" s="1"/>
  <c r="D134" i="24" s="1"/>
  <c r="E134" i="24" s="1"/>
  <c r="D135" i="24" s="1"/>
  <c r="E135" i="24" s="1"/>
  <c r="D136" i="24" s="1"/>
  <c r="E136" i="24" s="1"/>
  <c r="D137" i="24" s="1"/>
  <c r="E137" i="24" s="1"/>
  <c r="D138" i="24" s="1"/>
  <c r="E138" i="24" s="1"/>
  <c r="D139" i="24" s="1"/>
  <c r="E139" i="24" s="1"/>
  <c r="D140" i="24" s="1"/>
  <c r="E140" i="24" s="1"/>
  <c r="D141" i="24" s="1"/>
  <c r="J131" i="24"/>
  <c r="C130" i="24"/>
  <c r="E121" i="24"/>
  <c r="D122" i="24" s="1"/>
  <c r="E122" i="24" s="1"/>
  <c r="D123" i="24" s="1"/>
  <c r="E123" i="24" s="1"/>
  <c r="D124" i="24" s="1"/>
  <c r="E124" i="24" s="1"/>
  <c r="D125" i="24" s="1"/>
  <c r="E125" i="24" s="1"/>
  <c r="D126" i="24" s="1"/>
  <c r="E126" i="24" s="1"/>
  <c r="D127" i="24" s="1"/>
  <c r="E127" i="24" s="1"/>
  <c r="D128" i="24" s="1"/>
  <c r="E128" i="24" s="1"/>
  <c r="D129" i="24" s="1"/>
  <c r="E129" i="24" s="1"/>
  <c r="D130" i="24" s="1"/>
  <c r="J120" i="24"/>
  <c r="C119" i="24"/>
  <c r="E110" i="24"/>
  <c r="D111" i="24" s="1"/>
  <c r="E111" i="24" s="1"/>
  <c r="D112" i="24" s="1"/>
  <c r="E112" i="24" s="1"/>
  <c r="D113" i="24" s="1"/>
  <c r="E113" i="24" s="1"/>
  <c r="D114" i="24" s="1"/>
  <c r="E114" i="24" s="1"/>
  <c r="D115" i="24" s="1"/>
  <c r="E115" i="24" s="1"/>
  <c r="D116" i="24" s="1"/>
  <c r="E116" i="24" s="1"/>
  <c r="D117" i="24" s="1"/>
  <c r="E117" i="24" s="1"/>
  <c r="D118" i="24" s="1"/>
  <c r="E118" i="24" s="1"/>
  <c r="D119" i="24" s="1"/>
  <c r="J109" i="24"/>
  <c r="C82" i="24"/>
  <c r="E73" i="24"/>
  <c r="D74" i="24" s="1"/>
  <c r="E74" i="24" s="1"/>
  <c r="D75" i="24" s="1"/>
  <c r="E75" i="24" s="1"/>
  <c r="D76" i="24" s="1"/>
  <c r="E76" i="24" s="1"/>
  <c r="D77" i="24" s="1"/>
  <c r="E77" i="24" s="1"/>
  <c r="D78" i="24" s="1"/>
  <c r="E78" i="24" s="1"/>
  <c r="D79" i="24" s="1"/>
  <c r="E79" i="24" s="1"/>
  <c r="D80" i="24" s="1"/>
  <c r="E80" i="24" s="1"/>
  <c r="D81" i="24" s="1"/>
  <c r="E81" i="24" s="1"/>
  <c r="D82" i="24" s="1"/>
  <c r="C70" i="24"/>
  <c r="E61" i="24"/>
  <c r="D62" i="24" s="1"/>
  <c r="E62" i="24" s="1"/>
  <c r="D63" i="24" s="1"/>
  <c r="E63" i="24" s="1"/>
  <c r="D64" i="24" s="1"/>
  <c r="E64" i="24" s="1"/>
  <c r="D65" i="24" s="1"/>
  <c r="E65" i="24" s="1"/>
  <c r="D66" i="24" s="1"/>
  <c r="E66" i="24" s="1"/>
  <c r="D67" i="24" s="1"/>
  <c r="E67" i="24" s="1"/>
  <c r="D68" i="24" s="1"/>
  <c r="E68" i="24" s="1"/>
  <c r="D69" i="24" s="1"/>
  <c r="E69" i="24" s="1"/>
  <c r="D70" i="24" s="1"/>
  <c r="C58" i="24"/>
  <c r="D7" i="24"/>
  <c r="E7" i="24" s="1"/>
  <c r="I78" i="23"/>
  <c r="C78" i="23"/>
  <c r="C23" i="23"/>
  <c r="T43" i="15"/>
  <c r="I300" i="24" l="1"/>
  <c r="I299" i="24"/>
  <c r="J300" i="24"/>
  <c r="J299" i="24"/>
  <c r="G23" i="23"/>
  <c r="F369" i="24"/>
  <c r="E196" i="24"/>
  <c r="E119" i="24"/>
  <c r="E174" i="24"/>
  <c r="J107" i="24"/>
  <c r="J108" i="24"/>
  <c r="E130" i="24"/>
  <c r="K186" i="24"/>
  <c r="E218" i="24"/>
  <c r="E345" i="24"/>
  <c r="E82" i="24"/>
  <c r="J153" i="24"/>
  <c r="E46" i="24"/>
  <c r="E70" i="24"/>
  <c r="E141" i="24"/>
  <c r="E152" i="24"/>
  <c r="E163" i="24"/>
  <c r="E185" i="24"/>
  <c r="E284" i="24"/>
  <c r="E334" i="24"/>
  <c r="I175" i="24"/>
  <c r="I164" i="24"/>
  <c r="J175" i="24"/>
  <c r="E207" i="24"/>
  <c r="K285" i="24"/>
  <c r="D8" i="24"/>
  <c r="E8" i="24" s="1"/>
  <c r="D9" i="24" s="1"/>
  <c r="E9" i="24" s="1"/>
  <c r="C7" i="24"/>
  <c r="I120" i="24"/>
  <c r="I131" i="24"/>
  <c r="K197" i="24"/>
  <c r="J197" i="24"/>
  <c r="K274" i="24"/>
  <c r="J274" i="24"/>
  <c r="I109" i="24"/>
  <c r="I142" i="24"/>
  <c r="J208" i="24"/>
  <c r="L312" i="24"/>
  <c r="H312" i="24"/>
  <c r="I312" i="24"/>
  <c r="L208" i="24"/>
  <c r="L11" i="24" s="1"/>
  <c r="L285" i="24"/>
  <c r="J312" i="24"/>
  <c r="G25" i="23" l="1"/>
  <c r="B14" i="18" s="1"/>
  <c r="J369" i="24"/>
  <c r="I369" i="24"/>
  <c r="H11" i="24"/>
  <c r="H10" i="24" s="1"/>
  <c r="H480" i="24" s="1"/>
  <c r="I108" i="24"/>
  <c r="I107" i="24"/>
  <c r="K11" i="24"/>
  <c r="K10" i="24" s="1"/>
  <c r="K480" i="24" s="1"/>
  <c r="L10" i="24"/>
  <c r="L480" i="24" s="1"/>
  <c r="D407" i="24"/>
  <c r="E407" i="24" s="1"/>
  <c r="D408" i="24" s="1"/>
  <c r="E408" i="24" s="1"/>
  <c r="D409" i="24" s="1"/>
  <c r="E409" i="24" s="1"/>
  <c r="D410" i="24" s="1"/>
  <c r="E410" i="24" s="1"/>
  <c r="D411" i="24" s="1"/>
  <c r="E411" i="24" s="1"/>
  <c r="D412" i="24" s="1"/>
  <c r="E412" i="24" s="1"/>
  <c r="D413" i="24" s="1"/>
  <c r="E413" i="24" s="1"/>
  <c r="D414" i="24" s="1"/>
  <c r="E414" i="24" s="1"/>
  <c r="D415" i="24" s="1"/>
  <c r="E415" i="24" s="1"/>
  <c r="C9" i="24"/>
  <c r="D302" i="24" l="1"/>
  <c r="E302" i="24" s="1"/>
  <c r="D303" i="24" s="1"/>
  <c r="E303" i="24" s="1"/>
  <c r="D304" i="24" s="1"/>
  <c r="E304" i="24" s="1"/>
  <c r="D305" i="24" s="1"/>
  <c r="E305" i="24" s="1"/>
  <c r="D306" i="24" s="1"/>
  <c r="E306" i="24" s="1"/>
  <c r="D307" i="24" s="1"/>
  <c r="E307" i="24" s="1"/>
  <c r="D308" i="24" s="1"/>
  <c r="E308" i="24" s="1"/>
  <c r="D309" i="24" s="1"/>
  <c r="E309" i="24" s="1"/>
  <c r="D310" i="24" s="1"/>
  <c r="E310" i="24" s="1"/>
  <c r="D49" i="24"/>
  <c r="E49" i="24" s="1"/>
  <c r="D50" i="24" s="1"/>
  <c r="E50" i="24" s="1"/>
  <c r="D51" i="24" s="1"/>
  <c r="E51" i="24" s="1"/>
  <c r="D52" i="24" s="1"/>
  <c r="E52" i="24" s="1"/>
  <c r="D53" i="24" s="1"/>
  <c r="E53" i="24" s="1"/>
  <c r="D54" i="24" s="1"/>
  <c r="E54" i="24" s="1"/>
  <c r="D55" i="24" s="1"/>
  <c r="E55" i="24" s="1"/>
  <c r="D56" i="24" s="1"/>
  <c r="E56" i="24" s="1"/>
  <c r="D57" i="24" s="1"/>
  <c r="E57" i="24" s="1"/>
  <c r="D58" i="24" s="1"/>
  <c r="D416" i="24"/>
  <c r="E416" i="24" s="1"/>
  <c r="D296" i="24" l="1"/>
  <c r="E58" i="24"/>
  <c r="D13" i="24" s="1"/>
  <c r="E13" i="24" s="1"/>
  <c r="D14" i="24" s="1"/>
  <c r="E14" i="24" s="1"/>
  <c r="D15" i="24" s="1"/>
  <c r="E15" i="24" s="1"/>
  <c r="D16" i="24" s="1"/>
  <c r="E16" i="24" s="1"/>
  <c r="D17" i="24" s="1"/>
  <c r="E17" i="24" s="1"/>
  <c r="D18" i="24" s="1"/>
  <c r="E18" i="24" s="1"/>
  <c r="D19" i="24" s="1"/>
  <c r="E19" i="24" s="1"/>
  <c r="D20" i="24" s="1"/>
  <c r="E20" i="24" s="1"/>
  <c r="D311" i="24"/>
  <c r="E311" i="24" s="1"/>
  <c r="D313" i="24"/>
  <c r="E313" i="24" s="1"/>
  <c r="D314" i="24" s="1"/>
  <c r="E314" i="24" s="1"/>
  <c r="D315" i="24" s="1"/>
  <c r="E315" i="24" s="1"/>
  <c r="D316" i="24" s="1"/>
  <c r="E316" i="24" s="1"/>
  <c r="D317" i="24" s="1"/>
  <c r="E317" i="24" s="1"/>
  <c r="D318" i="24" s="1"/>
  <c r="E318" i="24" s="1"/>
  <c r="D319" i="24" s="1"/>
  <c r="E319" i="24" s="1"/>
  <c r="D320" i="24" s="1"/>
  <c r="E320" i="24" s="1"/>
  <c r="D321" i="24" s="1"/>
  <c r="E321" i="24" s="1"/>
  <c r="D322" i="24" s="1"/>
  <c r="D21" i="24" l="1"/>
  <c r="E21" i="24" s="1"/>
  <c r="D418" i="24"/>
  <c r="E418" i="24" s="1"/>
  <c r="D419" i="24" s="1"/>
  <c r="E419" i="24" s="1"/>
  <c r="D420" i="24" s="1"/>
  <c r="E420" i="24" s="1"/>
  <c r="D421" i="24" s="1"/>
  <c r="E421" i="24" s="1"/>
  <c r="D422" i="24" s="1"/>
  <c r="E422" i="24" s="1"/>
  <c r="D423" i="24" s="1"/>
  <c r="E423" i="24" s="1"/>
  <c r="D424" i="24" s="1"/>
  <c r="E424" i="24" s="1"/>
  <c r="D425" i="24" s="1"/>
  <c r="E425" i="24" s="1"/>
  <c r="D426" i="24" s="1"/>
  <c r="E426" i="24" s="1"/>
  <c r="D427" i="24" s="1"/>
  <c r="E427" i="24" s="1"/>
  <c r="D22" i="24"/>
  <c r="E22" i="24" s="1"/>
  <c r="E295" i="24"/>
  <c r="D295" i="24" s="1"/>
  <c r="E294" i="24" s="1"/>
  <c r="D294" i="24" s="1"/>
  <c r="E293" i="24" s="1"/>
  <c r="D293" i="24" s="1"/>
  <c r="E292" i="24" s="1"/>
  <c r="D292" i="24" s="1"/>
  <c r="E291" i="24" s="1"/>
  <c r="D291" i="24" s="1"/>
  <c r="E290" i="24" s="1"/>
  <c r="D290" i="24" s="1"/>
  <c r="E289" i="24" s="1"/>
  <c r="D289" i="24" s="1"/>
  <c r="E288" i="24" s="1"/>
  <c r="D288" i="24" s="1"/>
  <c r="E287" i="24" s="1"/>
  <c r="D287" i="24" s="1"/>
  <c r="E296" i="24"/>
  <c r="I71" i="23" l="1"/>
  <c r="I81" i="23"/>
  <c r="I79" i="23"/>
  <c r="I77" i="23"/>
  <c r="I76" i="23"/>
  <c r="I74" i="23"/>
  <c r="I73" i="23"/>
  <c r="I72" i="23"/>
  <c r="I70" i="23"/>
  <c r="C79" i="23"/>
  <c r="C76" i="23"/>
  <c r="G113" i="23"/>
  <c r="B15" i="18" s="1"/>
  <c r="C15" i="18" s="1"/>
  <c r="F70" i="23" l="1"/>
  <c r="G8" i="15"/>
  <c r="F12" i="24" l="1"/>
  <c r="F69" i="23"/>
  <c r="B8" i="15"/>
  <c r="F11" i="24" l="1"/>
  <c r="I12" i="24"/>
  <c r="L12" i="24"/>
  <c r="H12" i="24"/>
  <c r="J12" i="24"/>
  <c r="K12" i="24"/>
  <c r="X39" i="15" l="1"/>
  <c r="B39" i="15" s="1"/>
  <c r="X48" i="15"/>
  <c r="T48" i="15"/>
  <c r="P48" i="15"/>
  <c r="L48" i="15"/>
  <c r="X50" i="15"/>
  <c r="T50" i="15"/>
  <c r="P50" i="15"/>
  <c r="L50" i="15"/>
  <c r="X34" i="15"/>
  <c r="X33" i="15"/>
  <c r="X32" i="15"/>
  <c r="X31" i="15"/>
  <c r="X30" i="15"/>
  <c r="X29" i="15"/>
  <c r="X28" i="15"/>
  <c r="X27" i="15"/>
  <c r="X26" i="15"/>
  <c r="X25" i="15"/>
  <c r="X24" i="15"/>
  <c r="X23" i="15"/>
  <c r="X22" i="15"/>
  <c r="X21" i="15"/>
  <c r="X20" i="15"/>
  <c r="G69" i="15" l="1"/>
  <c r="B69" i="15" s="1"/>
  <c r="F95" i="23" s="1"/>
  <c r="X68" i="15"/>
  <c r="T68" i="15"/>
  <c r="P68" i="15"/>
  <c r="L68" i="15"/>
  <c r="G68" i="15"/>
  <c r="X67" i="15"/>
  <c r="T67" i="15"/>
  <c r="P67" i="15"/>
  <c r="L67" i="15"/>
  <c r="G67" i="15"/>
  <c r="F450" i="24" s="1"/>
  <c r="X66" i="15"/>
  <c r="T66" i="15"/>
  <c r="P66" i="15"/>
  <c r="L66" i="15"/>
  <c r="X65" i="15"/>
  <c r="T65" i="15"/>
  <c r="P65" i="15"/>
  <c r="L65" i="15"/>
  <c r="G65" i="15"/>
  <c r="F439" i="24" s="1"/>
  <c r="X64" i="15"/>
  <c r="T64" i="15"/>
  <c r="P64" i="15"/>
  <c r="L64" i="15"/>
  <c r="G64" i="15"/>
  <c r="F428" i="24" s="1"/>
  <c r="G55" i="15"/>
  <c r="B55" i="15" s="1"/>
  <c r="X54" i="15"/>
  <c r="T54" i="15"/>
  <c r="P54" i="15"/>
  <c r="L54" i="15"/>
  <c r="G54" i="15"/>
  <c r="B54" i="15" s="1"/>
  <c r="G53" i="15"/>
  <c r="B53" i="15" s="1"/>
  <c r="L46" i="15"/>
  <c r="X45" i="15"/>
  <c r="T45" i="15"/>
  <c r="L45" i="15"/>
  <c r="X44" i="15"/>
  <c r="T44" i="15"/>
  <c r="F380" i="24" s="1"/>
  <c r="X43" i="15"/>
  <c r="X41" i="15"/>
  <c r="T41" i="15"/>
  <c r="P41" i="15"/>
  <c r="X36" i="15"/>
  <c r="T36" i="15"/>
  <c r="X35" i="15"/>
  <c r="T35" i="15"/>
  <c r="L35" i="15"/>
  <c r="X19" i="15"/>
  <c r="T19" i="15"/>
  <c r="X17" i="15"/>
  <c r="X15" i="15"/>
  <c r="P15" i="15"/>
  <c r="X11" i="15"/>
  <c r="F4" i="15"/>
  <c r="J380" i="24" l="1"/>
  <c r="I380" i="24"/>
  <c r="F83" i="23"/>
  <c r="F82" i="23"/>
  <c r="F406" i="24"/>
  <c r="H406" i="24" s="1"/>
  <c r="H405" i="24" s="1"/>
  <c r="J406" i="24"/>
  <c r="J405" i="24" s="1"/>
  <c r="F81" i="23"/>
  <c r="B11" i="15"/>
  <c r="B68" i="15"/>
  <c r="F94" i="23" s="1"/>
  <c r="B64" i="15"/>
  <c r="G70" i="15"/>
  <c r="C4" i="10"/>
  <c r="D4" i="10"/>
  <c r="B3" i="10"/>
  <c r="C2" i="10"/>
  <c r="D2" i="10"/>
  <c r="C5" i="10"/>
  <c r="D5" i="10"/>
  <c r="B5" i="10"/>
  <c r="E4" i="10"/>
  <c r="B4" i="10"/>
  <c r="D3" i="10"/>
  <c r="B2" i="10"/>
  <c r="D35" i="15" s="1"/>
  <c r="G35" i="15" s="1"/>
  <c r="B19" i="15" s="1"/>
  <c r="C4" i="18"/>
  <c r="D44" i="15" l="1"/>
  <c r="G44" i="15" s="1"/>
  <c r="D12" i="15"/>
  <c r="G12" i="15" s="1"/>
  <c r="D36" i="15"/>
  <c r="G36" i="15" s="1"/>
  <c r="D17" i="15"/>
  <c r="G17" i="15" s="1"/>
  <c r="D15" i="15"/>
  <c r="G15" i="15" s="1"/>
  <c r="D42" i="15"/>
  <c r="G42" i="15" s="1"/>
  <c r="D51" i="15"/>
  <c r="G51" i="15" s="1"/>
  <c r="D41" i="15"/>
  <c r="G41" i="15" s="1"/>
  <c r="I16" i="15"/>
  <c r="L16" i="15" s="1"/>
  <c r="I14" i="15"/>
  <c r="L14" i="15" s="1"/>
  <c r="I13" i="15"/>
  <c r="L13" i="15" s="1"/>
  <c r="B52" i="15"/>
  <c r="F92" i="23"/>
  <c r="B8" i="10"/>
  <c r="D8" i="10" s="1"/>
  <c r="B23" i="18"/>
  <c r="I406" i="24"/>
  <c r="I405" i="24" s="1"/>
  <c r="L406" i="24"/>
  <c r="L405" i="24" s="1"/>
  <c r="K406" i="24"/>
  <c r="K405" i="24" s="1"/>
  <c r="F405" i="24"/>
  <c r="C13" i="18"/>
  <c r="F324" i="24" l="1"/>
  <c r="F76" i="23"/>
  <c r="B41" i="15"/>
  <c r="F96" i="24"/>
  <c r="F73" i="23"/>
  <c r="B17" i="15"/>
  <c r="F48" i="24"/>
  <c r="B13" i="15"/>
  <c r="F79" i="23"/>
  <c r="F394" i="24"/>
  <c r="B50" i="15"/>
  <c r="F74" i="23"/>
  <c r="B21" i="18" s="1"/>
  <c r="C21" i="18" s="1"/>
  <c r="F286" i="24"/>
  <c r="B36" i="15"/>
  <c r="B18" i="15" s="1"/>
  <c r="I43" i="15"/>
  <c r="L43" i="15" s="1"/>
  <c r="I49" i="15"/>
  <c r="L49" i="15" s="1"/>
  <c r="G30" i="23"/>
  <c r="F60" i="24"/>
  <c r="B14" i="15"/>
  <c r="F77" i="23"/>
  <c r="F335" i="24"/>
  <c r="F71" i="23"/>
  <c r="F36" i="24"/>
  <c r="F35" i="24" s="1"/>
  <c r="B12" i="15"/>
  <c r="G4" i="15"/>
  <c r="B16" i="15"/>
  <c r="F84" i="24"/>
  <c r="F72" i="24"/>
  <c r="F72" i="23"/>
  <c r="B15" i="15"/>
  <c r="F78" i="23"/>
  <c r="F347" i="24"/>
  <c r="C14" i="18"/>
  <c r="F358" i="24" l="1"/>
  <c r="G62" i="23"/>
  <c r="J84" i="24"/>
  <c r="J83" i="24" s="1"/>
  <c r="I84" i="24"/>
  <c r="I83" i="24" s="1"/>
  <c r="F83" i="24"/>
  <c r="J394" i="24"/>
  <c r="J393" i="24" s="1"/>
  <c r="F393" i="24"/>
  <c r="I394" i="24"/>
  <c r="I393" i="24" s="1"/>
  <c r="B43" i="15"/>
  <c r="B38" i="15" s="1"/>
  <c r="J335" i="24"/>
  <c r="I335" i="24"/>
  <c r="F285" i="24"/>
  <c r="F107" i="24" s="1"/>
  <c r="J286" i="24"/>
  <c r="J285" i="24" s="1"/>
  <c r="I286" i="24"/>
  <c r="I285" i="24" s="1"/>
  <c r="B20" i="18"/>
  <c r="J324" i="24"/>
  <c r="J323" i="24" s="1"/>
  <c r="F323" i="24"/>
  <c r="I324" i="24"/>
  <c r="I323" i="24" s="1"/>
  <c r="F47" i="24"/>
  <c r="J48" i="24"/>
  <c r="I48" i="24"/>
  <c r="F96" i="23"/>
  <c r="F59" i="24"/>
  <c r="J60" i="24"/>
  <c r="J59" i="24" s="1"/>
  <c r="I60" i="24"/>
  <c r="I59" i="24" s="1"/>
  <c r="J347" i="24"/>
  <c r="J346" i="24" s="1"/>
  <c r="I347" i="24"/>
  <c r="I346" i="24" s="1"/>
  <c r="F346" i="24"/>
  <c r="J72" i="24"/>
  <c r="J71" i="24" s="1"/>
  <c r="I72" i="24"/>
  <c r="I71" i="24" s="1"/>
  <c r="F71" i="24"/>
  <c r="B7" i="15"/>
  <c r="G63" i="23"/>
  <c r="F382" i="24"/>
  <c r="B48" i="15"/>
  <c r="F95" i="24"/>
  <c r="J96" i="24"/>
  <c r="J95" i="24" s="1"/>
  <c r="I96" i="24"/>
  <c r="I95" i="24" s="1"/>
  <c r="C23" i="18"/>
  <c r="C20" i="18"/>
  <c r="I47" i="24" l="1"/>
  <c r="I11" i="24"/>
  <c r="I10" i="24" s="1"/>
  <c r="I480" i="24" s="1"/>
  <c r="B11" i="18"/>
  <c r="B3" i="15"/>
  <c r="J47" i="24"/>
  <c r="J11" i="24"/>
  <c r="J10" i="24" s="1"/>
  <c r="J480" i="24" s="1"/>
  <c r="B22" i="18"/>
  <c r="C22" i="18" s="1"/>
  <c r="C24" i="18" s="1"/>
  <c r="F381" i="24"/>
  <c r="J382" i="24"/>
  <c r="J381" i="24" s="1"/>
  <c r="I382" i="24"/>
  <c r="I381" i="24" s="1"/>
  <c r="F299" i="24"/>
  <c r="F10" i="24"/>
  <c r="G64" i="23"/>
  <c r="B12" i="18" s="1"/>
  <c r="C12" i="18" s="1"/>
  <c r="J358" i="24"/>
  <c r="I358" i="24"/>
  <c r="G115" i="23" l="1"/>
  <c r="B16" i="18"/>
  <c r="C11" i="18"/>
  <c r="C16" i="18" s="1"/>
  <c r="B24" i="18"/>
  <c r="F480" i="24"/>
  <c r="I481" i="24" s="1"/>
  <c r="J481" i="24" l="1"/>
  <c r="K481" i="24"/>
  <c r="H481" i="24"/>
  <c r="L481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Calvo Langdon, Ana Adela</author>
  </authors>
  <commentList>
    <comment ref="B406" authorId="0" shapeId="0" xr:uid="{13EFB906-C7E2-4EBB-B03F-86836815B038}">
      <text>
        <r>
          <rPr>
            <b/>
            <sz val="9"/>
            <color indexed="81"/>
            <rFont val="Tahoma"/>
            <family val="2"/>
          </rPr>
          <t>Calvo Langdon, Ana Adela:</t>
        </r>
        <r>
          <rPr>
            <sz val="9"/>
            <color indexed="81"/>
            <rFont val="Tahoma"/>
            <family val="2"/>
          </rPr>
          <t xml:space="preserve">
Estos consultores se contratan a partir de octubre 2020, fecha en la que termina la operación BO-L1101</t>
        </r>
      </text>
    </comment>
    <comment ref="B417" authorId="0" shapeId="0" xr:uid="{CFA7CDE9-2756-4738-9CF3-8134F071E82B}">
      <text>
        <r>
          <rPr>
            <b/>
            <sz val="9"/>
            <color indexed="81"/>
            <rFont val="Tahoma"/>
            <family val="2"/>
          </rPr>
          <t>Calvo Langdon, Ana Adela:</t>
        </r>
        <r>
          <rPr>
            <sz val="9"/>
            <color indexed="81"/>
            <rFont val="Tahoma"/>
            <family val="2"/>
          </rPr>
          <t xml:space="preserve">
Dos consultores se contratan desde enero 2020. </t>
        </r>
      </text>
    </comment>
  </commentList>
</comments>
</file>

<file path=xl/sharedStrings.xml><?xml version="1.0" encoding="utf-8"?>
<sst xmlns="http://schemas.openxmlformats.org/spreadsheetml/2006/main" count="1553" uniqueCount="493">
  <si>
    <t>Total Project</t>
  </si>
  <si>
    <t>Productos</t>
  </si>
  <si>
    <t>Consultorías individuales</t>
  </si>
  <si>
    <t>Firmas Consultoras</t>
  </si>
  <si>
    <t>Bienes</t>
  </si>
  <si>
    <t>Obras</t>
  </si>
  <si>
    <t>Descripción</t>
  </si>
  <si>
    <t>Unitario Monto</t>
  </si>
  <si>
    <t>Cantidad Meses</t>
  </si>
  <si>
    <t>Especialistas</t>
  </si>
  <si>
    <t>Total</t>
  </si>
  <si>
    <t>Unidad Monto</t>
  </si>
  <si>
    <t>Cantidad</t>
  </si>
  <si>
    <t>M2</t>
  </si>
  <si>
    <t>Total Componente I</t>
  </si>
  <si>
    <t xml:space="preserve"> </t>
  </si>
  <si>
    <t>Total Componente II</t>
  </si>
  <si>
    <t>Total Coordinación del Proyecto</t>
  </si>
  <si>
    <t>Administración Proyecto</t>
  </si>
  <si>
    <t>Evaluación</t>
  </si>
  <si>
    <t>PCR</t>
  </si>
  <si>
    <t>Auditoría</t>
  </si>
  <si>
    <t>Uno por año</t>
  </si>
  <si>
    <t xml:space="preserve">Total </t>
  </si>
  <si>
    <t>Contingencia</t>
  </si>
  <si>
    <t>Categories</t>
  </si>
  <si>
    <t>BIENES</t>
  </si>
  <si>
    <t>OBRAS</t>
  </si>
  <si>
    <t>Consultores Individuales</t>
  </si>
  <si>
    <t>Firmas de Consultoria</t>
  </si>
  <si>
    <t>Otros Servicios diferente de Consultorías</t>
  </si>
  <si>
    <t>Fecha</t>
  </si>
  <si>
    <t>De</t>
  </si>
  <si>
    <t>Hasta</t>
  </si>
  <si>
    <t>Plan de Adquisiciones Cobertura:</t>
  </si>
  <si>
    <t>2. Plan de Adquisiciones Detallado</t>
  </si>
  <si>
    <t>3.Montos por Categoría de Inversión</t>
  </si>
  <si>
    <t>Montos Financiados por el Banco</t>
  </si>
  <si>
    <t>Montos Totales (incluyendo contrapartida)</t>
  </si>
  <si>
    <t>4. Componentes</t>
  </si>
  <si>
    <t>Componentes del Proyecto</t>
  </si>
  <si>
    <t>Montos Totales  (incluyendo contrapartida)</t>
  </si>
  <si>
    <t>Rates</t>
  </si>
  <si>
    <t>Per diem and Tickets</t>
  </si>
  <si>
    <t>Taxes</t>
  </si>
  <si>
    <t>International Consultancy</t>
  </si>
  <si>
    <t>Local consultancy</t>
  </si>
  <si>
    <t>Consultant Firm Int</t>
  </si>
  <si>
    <t>International Lawyer</t>
  </si>
  <si>
    <t>National Lawyer</t>
  </si>
  <si>
    <t>Training consultancy</t>
  </si>
  <si>
    <t>Consultant Firm Local</t>
  </si>
  <si>
    <t>Construction / Remodeling M2</t>
  </si>
  <si>
    <t>Data Base Servers</t>
  </si>
  <si>
    <t>Oracle License</t>
  </si>
  <si>
    <t>By processor</t>
  </si>
  <si>
    <t>Storage type San</t>
  </si>
  <si>
    <t>Rack support Server</t>
  </si>
  <si>
    <t>Communication Servers</t>
  </si>
  <si>
    <t>Lan Network and Core</t>
  </si>
  <si>
    <t>Communication Server WS</t>
  </si>
  <si>
    <t>by point</t>
  </si>
  <si>
    <t>Offices Communication</t>
  </si>
  <si>
    <t>Applications Server</t>
  </si>
  <si>
    <t>Security Platform</t>
  </si>
  <si>
    <t>Contingency Platform</t>
  </si>
  <si>
    <t>Business Intelligence</t>
  </si>
  <si>
    <t>Electronic Document Management Platform</t>
  </si>
  <si>
    <t>Computers (Thin Client)</t>
  </si>
  <si>
    <t>Integrated System for inventory Management and Human Resources Management</t>
  </si>
  <si>
    <t>Noc Room (Network Operating Center)</t>
  </si>
  <si>
    <t>Laptops</t>
  </si>
  <si>
    <t>Rack for Servers</t>
  </si>
  <si>
    <t>UPS 5 kva</t>
  </si>
  <si>
    <t xml:space="preserve">Printers </t>
  </si>
  <si>
    <t>Art an Diagram Services</t>
  </si>
  <si>
    <t>Per diem</t>
  </si>
  <si>
    <t>Training Seminars</t>
  </si>
  <si>
    <t>Accessories for Rack</t>
  </si>
  <si>
    <t>Servicios diferentes de Consultorías</t>
  </si>
  <si>
    <t>Total Componente III</t>
  </si>
  <si>
    <t xml:space="preserve">Estudios </t>
  </si>
  <si>
    <t>Componente 1. Fortalecimiento de los procesos de gestión de la preinversión y de la coordinación institucional</t>
  </si>
  <si>
    <t xml:space="preserve">BO-L1111 PROGRAMA DE APOYO A LA PREINVERSIÓN PARA EL DESARROLLO II </t>
  </si>
  <si>
    <t xml:space="preserve">Componente 2. Apoyo a la financiación de la preinversión </t>
  </si>
  <si>
    <t>2.1 Estudios de preinversión financiados</t>
  </si>
  <si>
    <t>2.2 Base de datos de costos unitarios de la preinversión desarrollada</t>
  </si>
  <si>
    <t xml:space="preserve">Componente 3. Mejora de las capacidades de gestión de la preinversión </t>
  </si>
  <si>
    <t xml:space="preserve">Oficial fiduciario-administrativos </t>
  </si>
  <si>
    <t xml:space="preserve">Experto Adquisiciones </t>
  </si>
  <si>
    <t xml:space="preserve">Monitoreo </t>
  </si>
  <si>
    <t>Consultoría para Fortalecimiento de los contenidos del estudio de diseño técnico de preinversión (EDTP) con modelos de términos de referencia y de presupuestos detallados por sectores (incluye Elaboración de modelos términos de referencia, Elaboración de modelos presupuestos detallados y Desarrollo de los contenidos del nuevo EDTP)</t>
  </si>
  <si>
    <t>Pasantías para funcionarios con empresas privada</t>
  </si>
  <si>
    <t>VIPFE</t>
  </si>
  <si>
    <t>3.4 Proyectos tipo-modulares en áreas relevantes para los municipios definidos</t>
  </si>
  <si>
    <t xml:space="preserve">3.3 Estrategia de capacitación en preinversión implementada, que incluya: (a) un sistema de pasantías para funcionarios con empresas privadas; (b) el desarrollo de un programa de capacitación a municipios seleccionados; y (c) el desarrollo y difusión de Guías Técnicas de Preinversión </t>
  </si>
  <si>
    <t xml:space="preserve">Consultoría especializada para la evaluación temprana de viabilidad económica de proyectos </t>
  </si>
  <si>
    <r>
      <t xml:space="preserve">Consultoría especializada para implementación de una metodología de análisis de brechas y su aplicación a la planificación, programación y presupuestación de la inversión y la preinversión (incluye Determinación de brechas y desarrollo de metodología de análisis, Metodología de vinculación de brechas con la planificación y programación y Metodología de presupuestación de la preinversión e inversión para el cierre de brechas definidas en BO-T1315) </t>
    </r>
    <r>
      <rPr>
        <sz val="11"/>
        <color rgb="FFFF0000"/>
        <rFont val="Calibri"/>
        <family val="2"/>
        <scheme val="minor"/>
      </rPr>
      <t>INDIVIDUAL</t>
    </r>
  </si>
  <si>
    <t>Consultoría para definición de proyectos tipo-modulares en áreas relevantes para los municipios de menor tamaño, incluye (Desarrollo conceptual y metodológico de los proyectos tipo-modulares por sector, Desarrollo de aplicativo informático por sector e Implementación de pilotos)</t>
  </si>
  <si>
    <t xml:space="preserve">Consultoría para Desarrollo y difusión de las Guías Técnicas de Preinversión, (incluye Desarrollo de guías técnicas y Difusión y capacitación en aplicación de guías técnicas). </t>
  </si>
  <si>
    <t>1. Cobertura del Plan de Adquisiciones</t>
  </si>
  <si>
    <t>Categoría de Adquisición</t>
  </si>
  <si>
    <t>Administración, auditoría, monitoreo y evaluación</t>
  </si>
  <si>
    <t>INFORMACIÓN PARA CARGA INICIAL DEL PLAN DE ADQUISICIONES (EN CURSO Y/O ULTIMO PRESENTADO)</t>
  </si>
  <si>
    <t>Sistema Nacional</t>
  </si>
  <si>
    <t>Unidad Ejecutora:</t>
  </si>
  <si>
    <t>Actividad:</t>
  </si>
  <si>
    <t>Cantidad de Lotes :</t>
  </si>
  <si>
    <t>Número de Proceso:</t>
  </si>
  <si>
    <t xml:space="preserve">Monto Estimado </t>
  </si>
  <si>
    <t>Componente Asociado:</t>
  </si>
  <si>
    <t>Fechas</t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</si>
  <si>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</si>
  <si>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</si>
  <si>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</si>
  <si>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</si>
  <si>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</si>
  <si>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</si>
  <si>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</si>
  <si>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Proceso Cancelado</t>
  </si>
  <si>
    <t>Declaración de Licitación Desierta</t>
  </si>
  <si>
    <t>Rechazo de Ofertas</t>
  </si>
  <si>
    <t>Contrato En Ejecución</t>
  </si>
  <si>
    <t>Contrato Terminado</t>
  </si>
  <si>
    <t xml:space="preserve">a determinar 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</si>
  <si>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</si>
  <si>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</si>
  <si>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</si>
  <si>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</si>
  <si>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</si>
  <si>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Contratación Directa </t>
  </si>
  <si>
    <t>Llave en mano</t>
  </si>
  <si>
    <t>Bienes </t>
  </si>
  <si>
    <t>Selección Basada en la Calidad y Costo </t>
  </si>
  <si>
    <t>Comparación de Calificaciones</t>
  </si>
  <si>
    <t>CONSULTORÍAS FIRMAS</t>
  </si>
  <si>
    <t>cantidad</t>
  </si>
  <si>
    <t>N° de proceso</t>
  </si>
  <si>
    <t>Aviso de Expresiones de Interés</t>
  </si>
  <si>
    <t>Selección basada en el menor costo </t>
  </si>
  <si>
    <t>Precios Unitarios</t>
  </si>
  <si>
    <t>CONSULTORÍAS INDIVIDUOS</t>
  </si>
  <si>
    <t>Suma Alzada</t>
  </si>
  <si>
    <t>Cantidad Estimada de Consultores:</t>
  </si>
  <si>
    <t>Obras </t>
  </si>
  <si>
    <t>No Objeción a los TdR de la Actividad</t>
  </si>
  <si>
    <t>Firma Contrato</t>
  </si>
  <si>
    <t>3CV</t>
  </si>
  <si>
    <t>Servicios de No Consultoría </t>
  </si>
  <si>
    <t>Suma global + Gastos Reembolsables</t>
  </si>
  <si>
    <t>Consultoría - Firmas </t>
  </si>
  <si>
    <t>CAPACITACIÓN</t>
  </si>
  <si>
    <t>Tiempo Trabajado</t>
  </si>
  <si>
    <t>Consultoría - Individuos </t>
  </si>
  <si>
    <t>Adquisición de Bienes - Sector Salud</t>
  </si>
  <si>
    <t>SUBPROYECTOS</t>
  </si>
  <si>
    <t>Especificaciones Técnicas</t>
  </si>
  <si>
    <t>Objeto de la Transferencia:</t>
  </si>
  <si>
    <t>Cantidad Estimada de Subproyectos:</t>
  </si>
  <si>
    <t>Comentarios</t>
  </si>
  <si>
    <t>Suministro e instalación de plantas y equipos</t>
  </si>
  <si>
    <t>Firma del Contrato / Convenio por Adjudicación de los Subproyectos</t>
  </si>
  <si>
    <t>Fecha de 
Transferencia</t>
  </si>
  <si>
    <t>Suministro e instalación de sist. de información</t>
  </si>
  <si>
    <t>Contratación de Obras Menores</t>
  </si>
  <si>
    <t>Doc. de precalificación para construcción de obras</t>
  </si>
  <si>
    <t>GASTOS OPERATIVOS</t>
  </si>
  <si>
    <t>Adquisición de Servicios de no consultoría</t>
  </si>
  <si>
    <t>gastos administrativos, publicaciones logística, otros</t>
  </si>
  <si>
    <t>a determinar</t>
  </si>
  <si>
    <t>monto será asignado en función a los gastos operativos que se identifiquen en la ejecución</t>
  </si>
  <si>
    <t>Solicitud de Propuestas y Términos de Referencia</t>
  </si>
  <si>
    <t>Términos de Referencia</t>
  </si>
  <si>
    <t>Suma global</t>
  </si>
  <si>
    <t xml:space="preserve">Consultoría especializada para la revisión del SISIN y propuesta de mejora </t>
  </si>
  <si>
    <t>Componente 1</t>
  </si>
  <si>
    <t>Componente 2</t>
  </si>
  <si>
    <t>Componente 3</t>
  </si>
  <si>
    <t>Consultoría para Desarrollo e implementación de un programa de capacitación a municipios en las herramientas de preinversión, incluyendo el uso de proyectos tipo/modulares (incluye Desarrollo de la estrategia y contenidos de capacitación)</t>
  </si>
  <si>
    <t>Talleres de capacitación a municipios en las herramientas de preinversión</t>
  </si>
  <si>
    <t>Comparación de precios</t>
  </si>
  <si>
    <t>POA/PEP DEL PROGRAMA</t>
  </si>
  <si>
    <t>TAREA</t>
  </si>
  <si>
    <t>DURACIÓN
(Nº de días)</t>
  </si>
  <si>
    <t>INICIO
(día y fecha)</t>
  </si>
  <si>
    <t>FINAL
(día y fecha)</t>
  </si>
  <si>
    <t>TOTAL PROGRAMADO
($us)</t>
  </si>
  <si>
    <t xml:space="preserve">MONTO PROGRAMADO
2019 ($us)
</t>
  </si>
  <si>
    <t xml:space="preserve">MONTO PROGRAMADO
2020 ($us)
</t>
  </si>
  <si>
    <t>aprobación</t>
  </si>
  <si>
    <t>firma del contrato</t>
  </si>
  <si>
    <t>ratificación</t>
  </si>
  <si>
    <t>cumplimiento de condiciones previas</t>
  </si>
  <si>
    <t>Elaboración de los términos de referencia</t>
  </si>
  <si>
    <t>Publicación de invitación a expresiones de interés</t>
  </si>
  <si>
    <t>Conformación de lista corta y documento de contratación</t>
  </si>
  <si>
    <t>No objeción del BID lista corta y documento de contratación</t>
  </si>
  <si>
    <t>Presentación de ofertas</t>
  </si>
  <si>
    <t>Evaluación de ofertas</t>
  </si>
  <si>
    <t>No objeción del BID informe de calificación</t>
  </si>
  <si>
    <t>Notificación de contratación</t>
  </si>
  <si>
    <t>Firma de contrato</t>
  </si>
  <si>
    <t>Ejecución</t>
  </si>
  <si>
    <t>Elaboración de los términos de referencia y documentos de contratación</t>
  </si>
  <si>
    <t>No objeción del BID</t>
  </si>
  <si>
    <t>Publicación de convocatoria y recepción de propuestas</t>
  </si>
  <si>
    <t>Apertura de propuestas</t>
  </si>
  <si>
    <t>Informe de calificación</t>
  </si>
  <si>
    <t>Notificación de adjudicación</t>
  </si>
  <si>
    <t>Presentación de documentos legales del consultor para la contratación</t>
  </si>
  <si>
    <t>Elaboración y firma de contrato</t>
  </si>
  <si>
    <t>ejecución</t>
  </si>
  <si>
    <t>Evaluación de Medio Término del Programa</t>
  </si>
  <si>
    <t>Convocatoria Pública y recepción de propuestas</t>
  </si>
  <si>
    <t>Apertura de Propuestas</t>
  </si>
  <si>
    <t>Informe de Calificación</t>
  </si>
  <si>
    <t>Notificación de Adjudicación</t>
  </si>
  <si>
    <t xml:space="preserve">Presentación de documentos legales </t>
  </si>
  <si>
    <t>Elaboración y firma de Contrato</t>
  </si>
  <si>
    <t>Evaluación Final del Programa</t>
  </si>
  <si>
    <t>Auditoria Externa del Programa</t>
  </si>
  <si>
    <t>Presentación de documentos legales de la empresa</t>
  </si>
  <si>
    <t>Gastos operativos</t>
  </si>
  <si>
    <t>Elaboración de Especificaciones Técnicas</t>
  </si>
  <si>
    <t>Convocatoria pública</t>
  </si>
  <si>
    <t>Informe de calificación y selección</t>
  </si>
  <si>
    <t>Orden de compra</t>
  </si>
  <si>
    <t>entrega de bienes</t>
  </si>
  <si>
    <t>TOTAL GENERAL</t>
  </si>
  <si>
    <t>BO-L1111</t>
  </si>
  <si>
    <t>PROGRAMA DE APOYO A LA PRE-INVERSIÓN PARA EL DESARROLLO II</t>
  </si>
  <si>
    <t>Producto</t>
  </si>
  <si>
    <t xml:space="preserve">   </t>
  </si>
  <si>
    <t xml:space="preserve">Consultoría especializada Metodologías para Building Information Modellings: análisis previo, preparación del plan piloto, capacitación (general a VIPFE y ministerio ejecutor y especifica -certificación a 2/3 personas), socialización necesaria, apoyo en la revisión de la implementación de la tecnología y evaluación final con recomendaciones. Incluye software y hardware  </t>
  </si>
  <si>
    <t>Consultoría especializada para el desarrollo del Módulo de Preinversión y su incorporación al SISIN (Consultores de línea)</t>
  </si>
  <si>
    <t>Servidores de Aplicación (Permitirá incrementar la renovación  del equipamiento antiguo que da soporte a los sistemas en línea a cargo del VIPFE del cual será parte el Módulo de Preinversión)</t>
  </si>
  <si>
    <t>Sistema de Alimentación Ininterrumpida (Uninterruptible Power Supply -UPS) 20KVA con autonomía de 15 minutos a carga completa</t>
  </si>
  <si>
    <t>Computadoras para el desarrollo del Módulo de Preinversión</t>
  </si>
  <si>
    <t>Consultoría especializada para la implementación de Servicios Web para la interoperabilidad con otros sistemas de gestión nacionales (SISIN, SISFIN, SIGEP y SICOES. Incluye del Desarrollo de las interfaces de usuario).</t>
  </si>
  <si>
    <t>Computadoras para el desarrollo de Servicios Web</t>
  </si>
  <si>
    <t xml:space="preserve">Consultoría especializada para el desarrollo de la Conceptualización del sistema y determinación de rubros a usar; Recopilación de costos de mercado a nivel nacional/internacional y desarrollo de la solución informática. </t>
  </si>
  <si>
    <t>Abogado</t>
  </si>
  <si>
    <t>Especialista técnico Energía</t>
  </si>
  <si>
    <t>Especialista técnico Transporte</t>
  </si>
  <si>
    <t>Especialista técnico Riego</t>
  </si>
  <si>
    <t xml:space="preserve">Consultoría especializada para Desarrollo e implementación de un plan piloto de evaluación de proyectos de inversión incluyendo evaluaciones de resultado e impacto (incluye Recopilación de información y selección de la muestra de proyectos y desarrollo de metodologías de evaluación de resultado (medio plazo) e impacto (largo plazo) por sectores). </t>
  </si>
  <si>
    <t>Consultoría especializada para diseño de un sistema piloto de Gestión Estratégica de Activos Públicos (incluye Recopilación de información y selección de la muestra, desarrollo del sistema de gestión estratégica e Implementación del sistema Piloto en un sector), interoperable con el SISIN</t>
  </si>
  <si>
    <t>Especialista técnico Medio Ambiente</t>
  </si>
  <si>
    <t>Especialista técnico Infraestructura</t>
  </si>
  <si>
    <t xml:space="preserve">Especialista técnico </t>
  </si>
  <si>
    <t>Consultoría especializada en Fortalecimiento de los contenidos del informe técnico de condiciones previas (ITCP) con una evaluación socioeconómica preliminar .</t>
  </si>
  <si>
    <t>3.5 Diagnóstico del análisis de género en la preinversión elaborado</t>
  </si>
  <si>
    <t>Consultoría especializada para el diagnóstico del análisis de género en la preinversión</t>
  </si>
  <si>
    <t>Consultoría para elaboración Estudios de preinversión de la CONSTRUCCIÓN DE TERMINAL DE BUSES - Villaserrano (MOPSV-GAM)</t>
  </si>
  <si>
    <t>Consultoría para elaboración Estudios de preinversión de CONSTRUCCIÓN DEL PARQUE INDUSTRIAL TARIJA</t>
  </si>
  <si>
    <t>Consultoría para elaboración Estudios de preinversión de CONST. Y EQUIPAMIENTO HOSPITAL DE PANDO</t>
  </si>
  <si>
    <t>Consultoría para elaboración Estudios de preinversión de CONST. E IMPL. CENTRO DE MEDICINA NUCLEAR - RADIOTERAPIA</t>
  </si>
  <si>
    <t>Consultoría para elaboración Estudios de preinversión de CONSTRUCCIÓN DE LA DOBLE VÍA COBIJA - PORVENIR (Ensanchar, rehabilitar, carpeta de cemento asfaltico)</t>
  </si>
  <si>
    <t>Consultoría para elaboración Estudios de preinversión de REHABILITACIÓN DEL TRAMO KM 19 - BERMEJO (PUENTE INTERNACIONAL Tarija - Argentina)</t>
  </si>
  <si>
    <t>Consultoría para elaboración Estudios de preinversión de CAMPO FERIAL PARA LA CIUDAD DE EL ALTO</t>
  </si>
  <si>
    <t xml:space="preserve">Consultoría para elaboración Estudios de preinversión de CIUDADELA CIENTÍFICA  TECNOLÓGICA E INNOVACIÓN (Cochabamba). </t>
  </si>
  <si>
    <t>Consultoría para elaboración Estudios de preinversión de GESTIÓN INTEGRAL DE RESIDUOS SÓLIDOS SAN BUENAVENTURA (norte de La Paz)</t>
  </si>
  <si>
    <t>Consultoría para elaboración ESTUDIO BÁSICO DE CUENCAS HIDRICAS (INCLUYENDO LA IDENTIFICACION DE AREAS POTENCIALES PARA PROYECTOS MULTIPROSITO (ABASTECIMIENTO DE AGUA, RIEGO Y GENERACION DE ENERGIA)</t>
  </si>
  <si>
    <t>Consultoría para elaboración Estudios de preinversión de CONST. CONSTRUCCION DE HOSPITAL DE 3ER NIVEL BENI</t>
  </si>
  <si>
    <t>Consultoría para elaboración Estudios de preinversión de CONST. CONSTRUCCION DE HOSPITAL DE 3ER NIVEL de POTOSI</t>
  </si>
  <si>
    <t xml:space="preserve">Consultoría para elaboración Estudios de preinversión de PROGRAMA DE REPOTENCIAMIENTO DE MICRO CENTRALES HIDROELÉCTRICAS </t>
  </si>
  <si>
    <t>Consultoría para elaboración Estudios de preinversión de PROYECTO DE DRENAJE EN LOS MUNICIPIOS DE LA PAZ Y EL ALTO</t>
  </si>
  <si>
    <t>Consultoría para elaboración Estudios de preinversión de CONSERVACIÓN Y REHABILITACIÓN DE PRESAS DE KARI KARI (Potosí)</t>
  </si>
  <si>
    <t>Consultoría para elaboración Estudios de preinversión de GESTIÓN INTEGRAL DE RESIDUOS SÓLIDOS CHAYANTA (Potosí)</t>
  </si>
  <si>
    <t xml:space="preserve">Consultores de línea especialistas técnicos, de apoyo a la Unidad de Programación de la Inversión para certificación de estudios de preinversión </t>
  </si>
  <si>
    <t>Estación de conferencias unificadas. Permitirá mejorar la calidad las actividades de capacitación que impartan en salas de videoconferencia a diferentes grupos fura de las oficina central del VIPFE.</t>
  </si>
  <si>
    <t xml:space="preserve">Talleres de socialización sobre el Fondo de Preinversión </t>
  </si>
  <si>
    <t>Taller de socialización sobre el fortalecimiento de la estructura de la DGPP</t>
  </si>
  <si>
    <t>3.1 Estructura organizacional de la Dirección General de Programación y Preinversión (DGPP) fortalecida</t>
  </si>
  <si>
    <t>Contratación de nueve consultores individuales para apoyo a la ejecución del Programa Componente de Preinversión</t>
  </si>
  <si>
    <t>Contratación de dos consultores individuales para apoyo a la ejecución del Programa Componente de Preinversión</t>
  </si>
  <si>
    <t>Evaluación Económica (ex-post)</t>
  </si>
  <si>
    <t xml:space="preserve">MONTO PROGRAMADO
2021($us)
</t>
  </si>
  <si>
    <t xml:space="preserve">MONTO PROGRAMADO
2022 ($us)
</t>
  </si>
  <si>
    <t xml:space="preserve">MONTO PROGRAMADO
2023 ($us)
</t>
  </si>
  <si>
    <t>Contratación de consultores individuales para apoyo a licitación de los estudios de Preinversión</t>
  </si>
  <si>
    <t>Evaluación Reflexiva</t>
  </si>
  <si>
    <t>Evaluación Intermedia</t>
  </si>
  <si>
    <t>Evaluación de Impacto</t>
  </si>
  <si>
    <t>Computadoras para el desarrollo del Módulo de Preinversión y servicios web</t>
  </si>
  <si>
    <t>Servidores de aplicación y Sistema de Alimentación Ininterrumpida (Uninterruptible Power Supply -UPS) 20KVA con autonomía de 15 minutos a carga completa</t>
  </si>
  <si>
    <t>se solicitará a la especialista la flexibilización del método por el tipo de bien y cantidades</t>
  </si>
  <si>
    <t xml:space="preserve">Consultoría especializada para Desarrollo e implementación de un plan piloto de evaluación de proyectos de inversión incluyendo evaluaciones de resultado e impacto </t>
  </si>
  <si>
    <t xml:space="preserve">Consultoría especializada para diseño de un sistema piloto de Gestión Estratégica de Activos Públicos </t>
  </si>
  <si>
    <t>Consultoría especializada Metodologías para Building Information Modelling</t>
  </si>
  <si>
    <t xml:space="preserve">En base al inciso 3.10 c) podría optarse por contratación directa </t>
  </si>
  <si>
    <t>Elaboración Estudios de preinversión de la Construcción Terminal de Buses Villaserrano (MOPSV-GAM)</t>
  </si>
  <si>
    <t>Supervisión  Estudios de preinversión de la Construcción Terminal de Buses Villaserrano (MOPSV-GAM)</t>
  </si>
  <si>
    <t>Consultoría para elaboración Estudios de preinversión de Contrucción Parque Industrial Tarija</t>
  </si>
  <si>
    <t>Supervisión Estudios de preinversión de Contrucción Parque Industrial Tarija</t>
  </si>
  <si>
    <t>Supervisión Estudios de preinversión de CONSERVACIÓN Y REHABILITACIÓN DE PRESAS DE KARI KARI (Potosí)</t>
  </si>
  <si>
    <t>Supervisión Estudios de preinversión de CONST. E IMPL. CENTRO DE MEDICINA NUCLEAR - RADIOTERAPIA</t>
  </si>
  <si>
    <t xml:space="preserve">Consultoría para elaboración Estudios de preinversión de CONSTRUCCIÓN DE LA DOBLE VÍA COBIJA - PORVENIR </t>
  </si>
  <si>
    <t xml:space="preserve">Supervisión Estudios de preinversión de CONSTRUCCIÓN DE LA DOBLE VÍA COBIJA - PORVENIR </t>
  </si>
  <si>
    <t>Supervisión Estudios de preinversión de REHABILITACIÓN DEL TRAMO KM 19 - BERMEJO (PUENTE INTERNACIONAL Tarija - Argentina)</t>
  </si>
  <si>
    <t>SUpervisión Estudios de preinversión de CAMPO FERIAL PARA LA CIUDAD DE EL ALTO</t>
  </si>
  <si>
    <t xml:space="preserve">Supervisión Estudios de preinversión de CIUDADELA CIENTÍFICA  TECNOLÓGICA E INNOVACIÓN (Cochabamba). </t>
  </si>
  <si>
    <t>Supervisión Estudios de preinversión de GESTIÓN INTEGRAL DE RESIDUOS SÓLIDOS CHAYANTA (Potosí)</t>
  </si>
  <si>
    <t>Supervisión Estudios de preinversión de GESTIÓN INTEGRAL DE RESIDUOS SÓLIDOS SAN BUENAVENTURA (norte de La Paz)</t>
  </si>
  <si>
    <t>Supervisión ESTUDIO BÁSICO DE CUENCAS HIDRICAS (INCLUYENDO LA IDENTIFICACION DE AREAS POTENCIALES PARA PROYECTOS MULTIPROSITO (ABASTECIMIENTO DE AGUA, RIEGO Y GENERACION DE ENERGIA)</t>
  </si>
  <si>
    <t xml:space="preserve">Supervisión Estudios de preinversión de PROGRAMA DE REPOTENCIAMIENTO DE MICRO CENTRALES HIDROELÉCTRICAS </t>
  </si>
  <si>
    <t>Consultoría especializada para implementación de una metodología de análisis de brechas y su aplicación a la planificación, programación y presupuestación de la inversión y la preinversión</t>
  </si>
  <si>
    <t>Consultoría para Fortalecimiento de los contenidos del estudio de diseño técnico de preinversión (EDTP) con modelos de términos de referencia y de presupuestos detallados por sectoresP)</t>
  </si>
  <si>
    <t>Especialista financiero</t>
  </si>
  <si>
    <t>Especialista en adquisiciones</t>
  </si>
  <si>
    <t>Especialista en monitoreo y evaluación</t>
  </si>
  <si>
    <t>Especalista abogado</t>
  </si>
  <si>
    <t>el persona ya forma parte del ejecutor con el prestamo BO-L1101, en aplicación del inciso 5.4 a) GN-2350-9 se realizará contratación directa</t>
  </si>
  <si>
    <t>consultores para desarrollo de estudios de conocimiento</t>
  </si>
  <si>
    <t>contratación consultores de apoyo a entidades subejecutoras</t>
  </si>
  <si>
    <r>
      <t xml:space="preserve">Método de Selección/Adquisición
</t>
    </r>
    <r>
      <rPr>
        <i/>
        <sz val="10"/>
        <color theme="0"/>
        <rFont val="Arial"/>
        <family val="2"/>
      </rPr>
      <t>(Seleccionar una de las opciones)</t>
    </r>
    <r>
      <rPr>
        <sz val="10"/>
        <color theme="0"/>
        <rFont val="Arial"/>
        <family val="2"/>
      </rPr>
      <t>:</t>
    </r>
  </si>
  <si>
    <r>
      <t xml:space="preserve">Método de Revisión </t>
    </r>
    <r>
      <rPr>
        <i/>
        <sz val="10"/>
        <color theme="0"/>
        <rFont val="Arial"/>
        <family val="2"/>
      </rPr>
      <t>(Seleccionar una de las opciones)</t>
    </r>
    <r>
      <rPr>
        <sz val="10"/>
        <color theme="0"/>
        <rFont val="Arial"/>
        <family val="2"/>
      </rPr>
      <t>:</t>
    </r>
  </si>
  <si>
    <r>
      <t>Comentarios</t>
    </r>
    <r>
      <rPr>
        <sz val="8"/>
        <color theme="0"/>
        <rFont val="Arial"/>
        <family val="2"/>
      </rPr>
      <t xml:space="preserve"> - para UCS incluir método de selección</t>
    </r>
  </si>
  <si>
    <r>
      <t xml:space="preserve">Método de Adquisición
</t>
    </r>
    <r>
      <rPr>
        <i/>
        <sz val="10"/>
        <color theme="0"/>
        <rFont val="Arial"/>
        <family val="2"/>
      </rPr>
      <t>(Seleccionar una de las opciones)</t>
    </r>
    <r>
      <rPr>
        <sz val="10"/>
        <color theme="0"/>
        <rFont val="Arial"/>
        <family val="2"/>
      </rPr>
      <t>:</t>
    </r>
  </si>
  <si>
    <r>
      <t xml:space="preserve">Método de Adquisición
</t>
    </r>
    <r>
      <rPr>
        <i/>
        <sz val="10"/>
        <color indexed="9"/>
        <rFont val="Arial"/>
        <family val="2"/>
      </rPr>
      <t>(Seleccionar una de las opciones)</t>
    </r>
    <r>
      <rPr>
        <sz val="10"/>
        <color indexed="9"/>
        <rFont val="Arial"/>
        <family val="2"/>
      </rPr>
      <t>:</t>
    </r>
  </si>
  <si>
    <r>
      <t xml:space="preserve">Método de Revisión </t>
    </r>
    <r>
      <rPr>
        <i/>
        <sz val="10"/>
        <color indexed="9"/>
        <rFont val="Arial"/>
        <family val="2"/>
      </rPr>
      <t>(Seleccionar una de las opciones)</t>
    </r>
    <r>
      <rPr>
        <sz val="10"/>
        <color indexed="9"/>
        <rFont val="Arial"/>
        <family val="2"/>
      </rPr>
      <t>:</t>
    </r>
  </si>
  <si>
    <r>
      <t>Comentarios</t>
    </r>
    <r>
      <rPr>
        <sz val="8"/>
        <color indexed="9"/>
        <rFont val="Arial"/>
        <family val="2"/>
      </rPr>
      <t xml:space="preserve"> - para UCS incluir método de selección</t>
    </r>
  </si>
  <si>
    <t xml:space="preserve">         licencias building information modellings</t>
  </si>
  <si>
    <t>evaluación intermedia</t>
  </si>
  <si>
    <t>evaluación final</t>
  </si>
  <si>
    <t>talleres de socialización fondos de preinversión</t>
  </si>
  <si>
    <t>otros gastos administrativo</t>
  </si>
  <si>
    <t>DISEÑO Y ACTUALIZACIÓN DEL EQUIPAMIENTO DEL PLAN DE HOSPITALES</t>
  </si>
  <si>
    <t>CONSTRUCCIÓN Y EQUIPAMIENTO INSTITUTO NEFROUROLÓGICO - NEUROLÓGICO (4TO NIVEL) SANTA CRUZ</t>
  </si>
  <si>
    <t>Supervisión Estudios de preinversión de DISEÑO Y ACTUALIZACIÓN DEL EQUIPAMIENTO DEL PLAN DE HOSPITALES</t>
  </si>
  <si>
    <t>Supervisión Estudios de preinversión de CONSTRUCCIÓN Y EQUIPAMIENTO INSTITUTO NEFROUROLÓGICO - NEUROLÓGICO (4TO NIVEL) SANTA CRUZ</t>
  </si>
  <si>
    <t>Consultoría para elaboración Estudios de preinversión de Construccion del Tramo Viacha-Charana</t>
  </si>
  <si>
    <t>Supervisión Estudios de preinversión de Construccion del Tramo Viacha-Charana</t>
  </si>
  <si>
    <t xml:space="preserve">      1.5 Plan Piloto utilizando la tecnología Building Información Modellings (BIM) implementado</t>
  </si>
  <si>
    <t xml:space="preserve">1.1 Sistema de gestión de la inversión pública (SISIN) fortalecido (incluye: (i) el diseño de un módulo de registro de la preinversión; y (ii) el desarrollo e implementación de una propuesta de interoperabilidad del sistema de registro y gestión de la preinversión con otros sistemas de información nacionales </t>
  </si>
  <si>
    <t>1.2 Plan piloto de evaluación de proyectos de inversión incluyendo evaluaciones de resultado e impacto implementado</t>
  </si>
  <si>
    <t>1.3 Sistema de Gestión Estratégica de Activos Públicos diseñado</t>
  </si>
  <si>
    <t>1.4 Metodología para la evaluación temprana de viabilidad económica de proyectos desarrollada</t>
  </si>
  <si>
    <t>1.5 Plan Piloto utilizando la tecnología Building Información Modellings (BIM) implementado</t>
  </si>
  <si>
    <t>1.6 Metodología de análisis de brechas de inversión que facilite la priorización de proyectos implementada</t>
  </si>
  <si>
    <t>2.3 Fondo de Preinversión que garantice la sostenibilidad de recursos disponibles fortalecido</t>
  </si>
  <si>
    <t>3.2 Informe técnico de condiciones previas (ITCP) con evaluación socioeconómica preliminar; y (b) estudio de diseño técnico de preinversión (EDTP) con términos de referencia y presupuestos detallados por sectores fortalecidos</t>
  </si>
  <si>
    <t>3.2 Metodologías y aspectos técnicos de: (a) Informe técnico de condiciones previas (ITCP) con evaluación socioeconómica preliminar; y (b) estudio de diseño técnico de preinversión (EDTP) con términos de referencia y presupuestos detallados por sectores fortalecidos</t>
  </si>
  <si>
    <t>Duration</t>
  </si>
  <si>
    <t>Start</t>
  </si>
  <si>
    <t>Finish</t>
  </si>
  <si>
    <t>Costo Total</t>
  </si>
  <si>
    <t xml:space="preserve">BO-L1111 PEP POA </t>
  </si>
  <si>
    <t>1341 days</t>
  </si>
  <si>
    <t>Wed 9/12/18</t>
  </si>
  <si>
    <t>Wed 11/1/23</t>
  </si>
  <si>
    <t>906 days</t>
  </si>
  <si>
    <t>Mon 4/15/19</t>
  </si>
  <si>
    <t>Mon 10/3/22</t>
  </si>
  <si>
    <t xml:space="preserve">      1.1 Sistema de gestión de la inversión pública (SISIN) fortalecido (incluye: (i) el diseño de un módulo de registro de la preinversión; y (ii) el desarrollo e implementación de una propuesta de interoperabilidad del sistema de registro y gestión de la preinversión con otros sistemas de información nacionales </t>
  </si>
  <si>
    <t>444 days</t>
  </si>
  <si>
    <t>Thu 1/16/20</t>
  </si>
  <si>
    <t>Tue 9/28/21</t>
  </si>
  <si>
    <t xml:space="preserve">         Consultoría especializada para el desarrollo del Módulo de Preinversión y su incorporación al SISIN</t>
  </si>
  <si>
    <t>342 days</t>
  </si>
  <si>
    <t>Fri 5/7/21</t>
  </si>
  <si>
    <t xml:space="preserve">         compra servidor de aplicación, UPS y equipos de computación para pruebas</t>
  </si>
  <si>
    <t>102 days</t>
  </si>
  <si>
    <t>Mon 5/10/21</t>
  </si>
  <si>
    <t xml:space="preserve">         Consultoría especializada para la implementación de Servicios Web para la interoperabilidad con otros sistemas de gestión nacionales (SISIN, SISFIN, SIGEP y SICOES. SISPRO Incluye del Desarrollo de las interfaces de usuario).</t>
  </si>
  <si>
    <t>432 days</t>
  </si>
  <si>
    <t>Wed 1/22/20</t>
  </si>
  <si>
    <t>Thu 9/16/21</t>
  </si>
  <si>
    <t xml:space="preserve">         Adquisición de computadoras para servicios web</t>
  </si>
  <si>
    <t xml:space="preserve">         Consultoría especializada para la revisión del SISIN y propuesta de mejora </t>
  </si>
  <si>
    <t>192 days</t>
  </si>
  <si>
    <t>Mon 3/16/20</t>
  </si>
  <si>
    <t>Tue 12/8/20</t>
  </si>
  <si>
    <t xml:space="preserve">      1.2 Plan piloto de evaluación de proyectos de inversión incluyendo evaluaciones de resultado e impacto implementado</t>
  </si>
  <si>
    <t xml:space="preserve">         Consultoría especializada para Desarrollo e implementación de un plan piloto de evaluación de proyectos de inversión</t>
  </si>
  <si>
    <t xml:space="preserve">      1.3 Sistema de Gestión Estratégica de Activos Públicos diseñado</t>
  </si>
  <si>
    <t>545 days</t>
  </si>
  <si>
    <t>Mon 6/8/20</t>
  </si>
  <si>
    <t>Fri 7/8/22</t>
  </si>
  <si>
    <t xml:space="preserve">         Consultoría especializada para diseño de un sistema piloto de Gestión Estratégica de Activos Públicos</t>
  </si>
  <si>
    <t xml:space="preserve">      1.4 Metodología para la evaluación temprana de viabilidad económica de proyectos desarrollada</t>
  </si>
  <si>
    <t>252 days</t>
  </si>
  <si>
    <t>Mon 10/19/20</t>
  </si>
  <si>
    <t>Tue 10/5/21</t>
  </si>
  <si>
    <t xml:space="preserve">         Consultoría especializada para la evaluación temprana de viabilidad económica de proyectos </t>
  </si>
  <si>
    <t>335 days</t>
  </si>
  <si>
    <t>Mon 11/23/20</t>
  </si>
  <si>
    <t>Fri 3/4/22</t>
  </si>
  <si>
    <t xml:space="preserve">         Consultoría especializada Metodologías para Building Information Modellings</t>
  </si>
  <si>
    <t>Fri 5/28/21</t>
  </si>
  <si>
    <t>Mon 10/18/21</t>
  </si>
  <si>
    <t xml:space="preserve">      1.6 Metodología de análisis de brechas de inversión que facilite la priorización de proyectos implementada</t>
  </si>
  <si>
    <t>Mon 8/10/20</t>
  </si>
  <si>
    <t>Tue 7/27/21</t>
  </si>
  <si>
    <t xml:space="preserve">         Consultoría especializada para implementación de una metodología de análisis de brechas </t>
  </si>
  <si>
    <t xml:space="preserve">   Componente 2 Apoyo a la financiación de la preinversión </t>
  </si>
  <si>
    <t>1103 days</t>
  </si>
  <si>
    <t>Mon 8/12/19</t>
  </si>
  <si>
    <t xml:space="preserve">      2.1 Estudios de preinversión financiados</t>
  </si>
  <si>
    <t xml:space="preserve">         Estudios de preinversión de la CONSTRUCCIÓN DE TERMINAL DE BUSES - Villaserrano (MOPSV-GAM)</t>
  </si>
  <si>
    <t>620 days</t>
  </si>
  <si>
    <t>Tue 3/9/21</t>
  </si>
  <si>
    <t>Mon 7/24/23</t>
  </si>
  <si>
    <t xml:space="preserve">         Estudios de preinversión de CONSTRUCCIÓN DEL PARQUE INDUSTRIAL TARIJA</t>
  </si>
  <si>
    <t>Wed 8/19/20</t>
  </si>
  <si>
    <t>Tue 1/3/23</t>
  </si>
  <si>
    <t xml:space="preserve">         Estudios de preinversión de CONSERVACIÓN Y REHABILITACIÓN DE PRESAS DE KARI KARI (Potosí)</t>
  </si>
  <si>
    <t>Fri 12/24/21</t>
  </si>
  <si>
    <t xml:space="preserve">         Estudio de preinversión de Construccion del Tramo Viacha-Charana</t>
  </si>
  <si>
    <t>Thu 2/18/21</t>
  </si>
  <si>
    <t>Wed 7/5/23</t>
  </si>
  <si>
    <t xml:space="preserve">         Estudio de preinversión de CONST. E IMPL. CENTRO DE MEDICINA NUCLEAR - RADIOTERAPIA</t>
  </si>
  <si>
    <t>Fri 9/22/23</t>
  </si>
  <si>
    <t xml:space="preserve">         Estudio de preinversión de CONSTRUCCIÓN DE LA DOBLE VÍA COBIJA - PORVENIR (Ensanchar, rehabilitar, carpeta de cemento asfaltico)</t>
  </si>
  <si>
    <t>Thu 7/23/20</t>
  </si>
  <si>
    <t>Wed 12/7/22</t>
  </si>
  <si>
    <t xml:space="preserve">          Estudio de preinversión de REHABILITACIÓN DEL TRAMO KM 19 - BERMEJO (PUENTE INTERNACIONAL Tarija - Argentina)</t>
  </si>
  <si>
    <t>Thu 6/17/21</t>
  </si>
  <si>
    <t xml:space="preserve">         Estudio de preinversión de CAMPO FERIAL PARA LA CIUDAD DE EL ALTO</t>
  </si>
  <si>
    <t>Fri 6/11/21</t>
  </si>
  <si>
    <t>Thu 10/26/23</t>
  </si>
  <si>
    <t xml:space="preserve">         Estudio de preinversión de CIUDADELA CIENTÍFICA TECNOLÓGICA E INNOVACIÓN (Cochabamba).</t>
  </si>
  <si>
    <t xml:space="preserve">         Estudio de preinversión de GESTIÓN INTEGRAL DE RESIDUOS SÓLIDOS CHAYANTA (Potosí)</t>
  </si>
  <si>
    <t>Mon 5/11/20</t>
  </si>
  <si>
    <t>Fri 9/23/22</t>
  </si>
  <si>
    <t xml:space="preserve">         Estudio de preinversión de GESTIÓN INTEGRAL DE RESIDUOS SÓLIDOS SAN BUENAVENTURA (norte de La Paz)</t>
  </si>
  <si>
    <t>Wed 11/4/20</t>
  </si>
  <si>
    <t>Tue 3/21/23</t>
  </si>
  <si>
    <t xml:space="preserve">         ESTUDIO BÁSICO DE CUENCAS HIDRICAS (INCLUYENDO LA IDENTIFICACION DE AREAS POTENCIALES PARA PROYECTOS MULTIPROSITO (ABASTECIMIENTO DE AGUA, RIEGO Y GENERACION DE ENERGIA)</t>
  </si>
  <si>
    <t>Thu 2/4/21</t>
  </si>
  <si>
    <t>Wed 6/21/23</t>
  </si>
  <si>
    <t>Wed 8/28/19</t>
  </si>
  <si>
    <t>Tue 1/11/22</t>
  </si>
  <si>
    <t>Tue 3/16/21</t>
  </si>
  <si>
    <t>Mon 7/31/23</t>
  </si>
  <si>
    <t xml:space="preserve">         Estudio de preinversión de PROGRAMA DE REPOTENCIAMIENTO DE MICRO CENTRALES HIDROELÉCTRICAS</t>
  </si>
  <si>
    <t>Tue 4/14/20</t>
  </si>
  <si>
    <t>Mon 8/29/22</t>
  </si>
  <si>
    <t xml:space="preserve">         Contratación consultores de apoyo entidades subejecutoras</t>
  </si>
  <si>
    <t>361 days</t>
  </si>
  <si>
    <t>Tue 3/10/20</t>
  </si>
  <si>
    <t xml:space="preserve">      2.2 Base de datos de costos unitarios de la preinversión desarrollada</t>
  </si>
  <si>
    <t>Fri 6/12/20</t>
  </si>
  <si>
    <t>Mon 5/31/21</t>
  </si>
  <si>
    <t xml:space="preserve">         Consultoría especializada para el desarrollo de la Conceptualización del sistema y determinación de rubros a usar; Recopilación de costos de mercado a nivel nacional/internacional y desarrollo de la solución informática. </t>
  </si>
  <si>
    <t xml:space="preserve">      2.3 Fondo de Preinversión que garantice la sostenibilidad de recursos disponibles fortalecido</t>
  </si>
  <si>
    <t>Mon 8/17/20</t>
  </si>
  <si>
    <t>Tue 8/3/21</t>
  </si>
  <si>
    <t xml:space="preserve">         Talleres de socialización sobre el Fondo de Preinversión </t>
  </si>
  <si>
    <t xml:space="preserve">   Componente 3. Mejora de las capacidades de gestión de la preinversión </t>
  </si>
  <si>
    <t>932 days</t>
  </si>
  <si>
    <t>Thu 8/1/19</t>
  </si>
  <si>
    <t>Fri 2/24/23</t>
  </si>
  <si>
    <t xml:space="preserve">      3.1 Estructura organizacional de la Dirección General de Programación y Preinversión (DGPP) fortalecida</t>
  </si>
  <si>
    <t xml:space="preserve">      3.2 Metodologías y aspectos técnicos de (a) Informe técnico de condiciones previas (ITCP) con evaluación socioeconómica preliminar; y (b) estudio de diseño técnico de preinversión (EDTP) con términos de referencia y presupuestos detallados por sectores fortalecidos</t>
  </si>
  <si>
    <t>Fri 1/17/20</t>
  </si>
  <si>
    <t>Mon 1/4/21</t>
  </si>
  <si>
    <t xml:space="preserve">      3.3 Estrategia de capacitación en preinversión implementada</t>
  </si>
  <si>
    <t>725 days</t>
  </si>
  <si>
    <t>Thu 3/5/20</t>
  </si>
  <si>
    <t>Wed 12/14/22</t>
  </si>
  <si>
    <t xml:space="preserve">      3.4 Proyectos tipo-modulares en áreas relevantes para los municipios definidos</t>
  </si>
  <si>
    <t>Thu 5/21/20</t>
  </si>
  <si>
    <t xml:space="preserve">      3.5 Diagnóstico del análisis de género en la preinversión elaborado</t>
  </si>
  <si>
    <t>Fri 8/14/20</t>
  </si>
  <si>
    <t>Mon 8/2/21</t>
  </si>
  <si>
    <t xml:space="preserve">   Administración, evaluación y auditoría</t>
  </si>
  <si>
    <t>445 days</t>
  </si>
  <si>
    <t>Wed 8/14/19</t>
  </si>
  <si>
    <t>Tue 4/27/21</t>
  </si>
  <si>
    <t xml:space="preserve">      recontratación personal unidad ejecutora BO-L1101</t>
  </si>
  <si>
    <t>30 days</t>
  </si>
  <si>
    <t>Fri 1/1/21</t>
  </si>
  <si>
    <t>Thu 2/11/21</t>
  </si>
  <si>
    <t xml:space="preserve">      contratación personal técnico de apoyo unidad ejecutora</t>
  </si>
  <si>
    <t>Tue 9/24/19</t>
  </si>
  <si>
    <t xml:space="preserve">      evaluación</t>
  </si>
  <si>
    <t>Wed 3/17/21</t>
  </si>
  <si>
    <t xml:space="preserve">      auditoría</t>
  </si>
  <si>
    <t>Tue 12/31/19</t>
  </si>
  <si>
    <t>Mon 2/10/20</t>
  </si>
  <si>
    <t xml:space="preserve">      estudios de conocimiento </t>
  </si>
  <si>
    <t xml:space="preserve">      gastos administrativos (comisiones, publicaciones, etc)</t>
  </si>
  <si>
    <r>
      <t xml:space="preserve">Consultoría especializada para la implementación de Servicios Web para la interoperabilidad con otros sistemas de gestión nacionales (SISIN, SISFIN, SIGEP y SICOES. </t>
    </r>
    <r>
      <rPr>
        <sz val="11"/>
        <color rgb="FFFF0000"/>
        <rFont val="Calibri"/>
        <family val="2"/>
        <scheme val="minor"/>
      </rPr>
      <t>SISPRO</t>
    </r>
    <r>
      <rPr>
        <sz val="11"/>
        <rFont val="Calibri"/>
        <family val="2"/>
        <scheme val="minor"/>
      </rPr>
      <t xml:space="preserve"> Incluye del Desarrollo de las interfaces de usuario).</t>
    </r>
  </si>
  <si>
    <t>Construccion del Tramo Viacha-Charana</t>
  </si>
  <si>
    <t>Contratación de consultores individuales para apoyo de Preinversión a entidades subejecutoras</t>
  </si>
  <si>
    <t>2.3 Fondo de Preinversión que garantice la sostenibilidad de recursos disponibles implementado</t>
  </si>
  <si>
    <t>3.2 Metodologías y aspectos técnicos: (a) Informe técnico de condiciones previas (ITCP) con evaluación socioeconómica preliminar; y (b) estudio de diseño técnico de preinversión (EDTP) con términos de referencia y presupuestos detallados por sectores fortalecidos</t>
  </si>
  <si>
    <t>Experto financiero</t>
  </si>
  <si>
    <t>Evaluación Final</t>
  </si>
  <si>
    <t>Consultores prodcutos de conocimiento</t>
  </si>
  <si>
    <t xml:space="preserve">   Componente 1 Fortalecimiento de los procesos de gestión de la preinversión y de la coordinación con el ciclo de IP</t>
  </si>
  <si>
    <t>Componente 1. Fortalecimiento de los procesos de gestión de la preinversión y de la coordinación con el ciclo de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</si>
</sst>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%"/>
    <numFmt numFmtId="165" formatCode="[$-409]dd\-mmm\-yy;@"/>
    <numFmt numFmtId="166" formatCode="[$USD]\ #,##0"/>
    <numFmt numFmtId="167" formatCode="[$USD]\ #,##0.00"/>
    <numFmt numFmtId="168" formatCode="_(* #,##0_);_(* \(#,##0\);_(* &quot;-&quot;??_);_(@_)"/>
    <numFmt numFmtId="169" formatCode="[$-409]mmm\-yy;@"/>
    <numFmt numFmtId="170" formatCode="[$-409]d\-mmm\-yy;@"/>
  </numFmts>
  <fonts count="7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rgb="FF000000"/>
      <name val="Calibri"/>
      <family val="2"/>
      <charset val="1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sz val="8"/>
      <color theme="0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  <font>
      <sz val="10"/>
      <color indexed="9"/>
      <name val="Arial"/>
      <family val="2"/>
    </font>
    <font>
      <i/>
      <sz val="10"/>
      <color indexed="9"/>
      <name val="Arial"/>
      <family val="2"/>
    </font>
    <font>
      <sz val="8"/>
      <color indexed="9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rgb="FF363636"/>
      <name val="Segoe UI"/>
      <family val="2"/>
    </font>
    <font>
      <b/>
      <sz val="12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8" tint="0.79998168889431442"/>
      </patternFill>
    </fill>
    <fill>
      <patternFill patternType="solid">
        <fgColor rgb="FFDFE3E8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EEBF6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0">
    <xf numFmtId="0" fontId="0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23" borderId="3" applyNumberFormat="0" applyAlignment="0" applyProtection="0"/>
    <xf numFmtId="0" fontId="22" fillId="23" borderId="3" applyNumberFormat="0" applyAlignment="0" applyProtection="0"/>
    <xf numFmtId="0" fontId="22" fillId="23" borderId="3" applyNumberFormat="0" applyAlignment="0" applyProtection="0"/>
    <xf numFmtId="0" fontId="23" fillId="24" borderId="4" applyNumberFormat="0" applyAlignment="0" applyProtection="0"/>
    <xf numFmtId="0" fontId="23" fillId="24" borderId="4" applyNumberFormat="0" applyAlignment="0" applyProtection="0"/>
    <xf numFmtId="0" fontId="23" fillId="24" borderId="4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7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0" borderId="3" applyNumberFormat="0" applyAlignment="0" applyProtection="0"/>
    <xf numFmtId="0" fontId="29" fillId="10" borderId="3" applyNumberFormat="0" applyAlignment="0" applyProtection="0"/>
    <xf numFmtId="0" fontId="29" fillId="10" borderId="3" applyNumberFormat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26" borderId="9" applyNumberFormat="0" applyFont="0" applyAlignment="0" applyProtection="0"/>
    <xf numFmtId="0" fontId="15" fillId="26" borderId="9" applyNumberFormat="0" applyFont="0" applyAlignment="0" applyProtection="0"/>
    <xf numFmtId="0" fontId="15" fillId="26" borderId="9" applyNumberFormat="0" applyFont="0" applyAlignment="0" applyProtection="0"/>
    <xf numFmtId="0" fontId="32" fillId="23" borderId="10" applyNumberFormat="0" applyAlignment="0" applyProtection="0"/>
    <xf numFmtId="0" fontId="32" fillId="23" borderId="10" applyNumberFormat="0" applyAlignment="0" applyProtection="0"/>
    <xf numFmtId="0" fontId="32" fillId="23" borderId="10" applyNumberFormat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0" fontId="34" fillId="0" borderId="11" applyNumberFormat="0" applyFill="0" applyAlignment="0" applyProtection="0"/>
    <xf numFmtId="0" fontId="34" fillId="0" borderId="11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2" fillId="0" borderId="0"/>
    <xf numFmtId="0" fontId="36" fillId="0" borderId="0"/>
    <xf numFmtId="43" fontId="17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0" fontId="9" fillId="0" borderId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465">
    <xf numFmtId="0" fontId="0" fillId="0" borderId="0" xfId="0"/>
    <xf numFmtId="0" fontId="37" fillId="0" borderId="0" xfId="3" applyFont="1" applyProtection="1">
      <protection locked="0"/>
    </xf>
    <xf numFmtId="43" fontId="37" fillId="0" borderId="0" xfId="3" applyNumberFormat="1" applyFont="1" applyProtection="1">
      <protection locked="0"/>
    </xf>
    <xf numFmtId="0" fontId="11" fillId="0" borderId="0" xfId="0" applyFont="1"/>
    <xf numFmtId="0" fontId="37" fillId="27" borderId="2" xfId="0" applyFont="1" applyFill="1" applyBorder="1" applyAlignment="1" applyProtection="1">
      <alignment horizontal="left" vertical="center" wrapText="1"/>
      <protection locked="0"/>
    </xf>
    <xf numFmtId="3" fontId="37" fillId="27" borderId="2" xfId="0" applyNumberFormat="1" applyFont="1" applyFill="1" applyBorder="1" applyAlignment="1" applyProtection="1">
      <alignment horizontal="right" vertical="center" wrapText="1"/>
      <protection locked="0"/>
    </xf>
    <xf numFmtId="3" fontId="37" fillId="27" borderId="2" xfId="3" applyNumberFormat="1" applyFont="1" applyFill="1" applyBorder="1" applyAlignment="1" applyProtection="1">
      <alignment horizontal="right" vertical="center" wrapText="1"/>
    </xf>
    <xf numFmtId="0" fontId="37" fillId="0" borderId="2" xfId="3" applyFont="1" applyFill="1" applyBorder="1" applyAlignment="1" applyProtection="1">
      <alignment horizontal="left" vertical="center" wrapText="1"/>
      <protection locked="0"/>
    </xf>
    <xf numFmtId="3" fontId="37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7" fillId="0" borderId="2" xfId="3" applyNumberFormat="1" applyFont="1" applyFill="1" applyBorder="1" applyAlignment="1" applyProtection="1">
      <alignment horizontal="right" vertical="center" wrapText="1"/>
    </xf>
    <xf numFmtId="0" fontId="37" fillId="27" borderId="2" xfId="3" applyFont="1" applyFill="1" applyBorder="1" applyAlignment="1" applyProtection="1">
      <alignment horizontal="left" vertical="center" wrapText="1"/>
      <protection locked="0"/>
    </xf>
    <xf numFmtId="0" fontId="16" fillId="0" borderId="0" xfId="3" applyFont="1" applyAlignment="1" applyProtection="1">
      <alignment horizontal="left"/>
      <protection locked="0"/>
    </xf>
    <xf numFmtId="167" fontId="0" fillId="0" borderId="0" xfId="0" applyNumberFormat="1"/>
    <xf numFmtId="3" fontId="37" fillId="0" borderId="0" xfId="3" applyNumberFormat="1" applyFont="1" applyProtection="1">
      <protection locked="0"/>
    </xf>
    <xf numFmtId="6" fontId="37" fillId="0" borderId="0" xfId="3" applyNumberFormat="1" applyFont="1" applyProtection="1">
      <protection locked="0"/>
    </xf>
    <xf numFmtId="0" fontId="42" fillId="0" borderId="22" xfId="116" applyFont="1" applyFill="1" applyBorder="1" applyAlignment="1">
      <alignment horizontal="left" vertical="center" wrapText="1"/>
    </xf>
    <xf numFmtId="165" fontId="43" fillId="0" borderId="21" xfId="2" applyNumberFormat="1" applyFont="1" applyFill="1" applyBorder="1" applyAlignment="1">
      <alignment horizontal="center" vertical="center" wrapText="1"/>
    </xf>
    <xf numFmtId="0" fontId="42" fillId="0" borderId="22" xfId="2" applyFont="1" applyFill="1" applyBorder="1" applyAlignment="1">
      <alignment horizontal="left" vertical="center" wrapText="1"/>
    </xf>
    <xf numFmtId="0" fontId="43" fillId="0" borderId="23" xfId="116" applyFont="1" applyBorder="1" applyAlignment="1" applyProtection="1"/>
    <xf numFmtId="0" fontId="43" fillId="0" borderId="23" xfId="2" applyFont="1" applyBorder="1" applyAlignment="1" applyProtection="1"/>
    <xf numFmtId="4" fontId="37" fillId="0" borderId="0" xfId="3" applyNumberFormat="1" applyFont="1" applyProtection="1">
      <protection locked="0"/>
    </xf>
    <xf numFmtId="0" fontId="37" fillId="0" borderId="0" xfId="3" applyFont="1" applyFill="1" applyProtection="1">
      <protection locked="0"/>
    </xf>
    <xf numFmtId="3" fontId="37" fillId="0" borderId="0" xfId="3" applyNumberFormat="1" applyFont="1" applyFill="1" applyProtection="1">
      <protection locked="0"/>
    </xf>
    <xf numFmtId="0" fontId="16" fillId="28" borderId="26" xfId="3" applyFont="1" applyFill="1" applyBorder="1" applyAlignment="1" applyProtection="1">
      <alignment horizontal="left" vertical="center" wrapText="1"/>
      <protection locked="0"/>
    </xf>
    <xf numFmtId="4" fontId="16" fillId="28" borderId="26" xfId="3" applyNumberFormat="1" applyFont="1" applyFill="1" applyBorder="1" applyAlignment="1" applyProtection="1">
      <alignment horizontal="center"/>
      <protection locked="0"/>
    </xf>
    <xf numFmtId="0" fontId="37" fillId="0" borderId="26" xfId="3" applyFont="1" applyBorder="1" applyProtection="1">
      <protection locked="0"/>
    </xf>
    <xf numFmtId="3" fontId="16" fillId="2" borderId="26" xfId="0" applyNumberFormat="1" applyFont="1" applyFill="1" applyBorder="1" applyAlignment="1" applyProtection="1">
      <alignment horizontal="center" wrapText="1"/>
      <protection locked="0"/>
    </xf>
    <xf numFmtId="0" fontId="16" fillId="3" borderId="26" xfId="3" applyFont="1" applyFill="1" applyBorder="1" applyAlignment="1" applyProtection="1">
      <alignment horizontal="center" vertical="center" wrapText="1"/>
      <protection locked="0"/>
    </xf>
    <xf numFmtId="0" fontId="16" fillId="28" borderId="26" xfId="3" applyFont="1" applyFill="1" applyBorder="1" applyAlignment="1" applyProtection="1">
      <alignment horizontal="left"/>
      <protection locked="0"/>
    </xf>
    <xf numFmtId="3" fontId="16" fillId="28" borderId="26" xfId="3" applyNumberFormat="1" applyFont="1" applyFill="1" applyBorder="1" applyAlignment="1" applyProtection="1">
      <alignment horizontal="center"/>
      <protection locked="0"/>
    </xf>
    <xf numFmtId="0" fontId="37" fillId="27" borderId="26" xfId="0" applyFont="1" applyFill="1" applyBorder="1" applyAlignment="1" applyProtection="1">
      <alignment horizontal="left" vertical="center" wrapText="1"/>
      <protection locked="0"/>
    </xf>
    <xf numFmtId="3" fontId="37" fillId="27" borderId="26" xfId="0" applyNumberFormat="1" applyFont="1" applyFill="1" applyBorder="1" applyAlignment="1" applyProtection="1">
      <alignment horizontal="right" vertical="center" wrapText="1"/>
      <protection locked="0"/>
    </xf>
    <xf numFmtId="3" fontId="37" fillId="27" borderId="26" xfId="3" applyNumberFormat="1" applyFont="1" applyFill="1" applyBorder="1" applyAlignment="1" applyProtection="1">
      <alignment horizontal="right" vertical="center" wrapText="1"/>
    </xf>
    <xf numFmtId="0" fontId="37" fillId="0" borderId="26" xfId="3" applyFont="1" applyFill="1" applyBorder="1" applyAlignment="1" applyProtection="1">
      <alignment horizontal="left" vertical="center" wrapText="1"/>
      <protection locked="0"/>
    </xf>
    <xf numFmtId="3" fontId="37" fillId="0" borderId="26" xfId="0" applyNumberFormat="1" applyFont="1" applyFill="1" applyBorder="1" applyAlignment="1" applyProtection="1">
      <alignment horizontal="right" vertical="center" wrapText="1"/>
      <protection locked="0"/>
    </xf>
    <xf numFmtId="3" fontId="37" fillId="0" borderId="26" xfId="3" applyNumberFormat="1" applyFont="1" applyFill="1" applyBorder="1" applyAlignment="1" applyProtection="1">
      <alignment horizontal="right" vertical="center" wrapText="1"/>
    </xf>
    <xf numFmtId="164" fontId="37" fillId="0" borderId="26" xfId="142" applyNumberFormat="1" applyFont="1" applyFill="1" applyBorder="1" applyAlignment="1" applyProtection="1">
      <alignment horizontal="left" vertical="center" wrapText="1"/>
      <protection locked="0"/>
    </xf>
    <xf numFmtId="0" fontId="37" fillId="27" borderId="26" xfId="3" applyFont="1" applyFill="1" applyBorder="1" applyAlignment="1" applyProtection="1">
      <alignment horizontal="left" vertical="center" wrapText="1"/>
      <protection locked="0"/>
    </xf>
    <xf numFmtId="0" fontId="37" fillId="0" borderId="26" xfId="0" applyFont="1" applyFill="1" applyBorder="1" applyAlignment="1" applyProtection="1">
      <alignment horizontal="left" vertical="center" wrapText="1"/>
      <protection locked="0"/>
    </xf>
    <xf numFmtId="0" fontId="16" fillId="2" borderId="26" xfId="3" applyFont="1" applyFill="1" applyBorder="1" applyAlignment="1" applyProtection="1">
      <alignment horizontal="left" wrapText="1"/>
      <protection locked="0"/>
    </xf>
    <xf numFmtId="3" fontId="16" fillId="2" borderId="26" xfId="3" applyNumberFormat="1" applyFont="1" applyFill="1" applyBorder="1" applyAlignment="1" applyProtection="1">
      <alignment horizontal="center" vertical="center"/>
      <protection locked="0"/>
    </xf>
    <xf numFmtId="0" fontId="16" fillId="0" borderId="26" xfId="3" applyFont="1" applyFill="1" applyBorder="1" applyAlignment="1" applyProtection="1">
      <alignment horizontal="left" vertical="center" wrapText="1"/>
      <protection locked="0"/>
    </xf>
    <xf numFmtId="3" fontId="16" fillId="0" borderId="26" xfId="3" applyNumberFormat="1" applyFont="1" applyFill="1" applyBorder="1" applyAlignment="1" applyProtection="1">
      <alignment horizontal="right" vertical="center" wrapText="1"/>
      <protection locked="0"/>
    </xf>
    <xf numFmtId="0" fontId="16" fillId="29" borderId="26" xfId="0" applyFont="1" applyFill="1" applyBorder="1" applyAlignment="1" applyProtection="1">
      <alignment horizontal="left" vertical="center" wrapText="1"/>
      <protection locked="0"/>
    </xf>
    <xf numFmtId="3" fontId="16" fillId="29" borderId="26" xfId="0" applyNumberFormat="1" applyFont="1" applyFill="1" applyBorder="1" applyAlignment="1" applyProtection="1">
      <alignment horizontal="right" vertical="center" wrapText="1"/>
      <protection locked="0"/>
    </xf>
    <xf numFmtId="3" fontId="16" fillId="29" borderId="26" xfId="3" applyNumberFormat="1" applyFont="1" applyFill="1" applyBorder="1" applyAlignment="1" applyProtection="1">
      <alignment horizontal="right" vertical="center" wrapText="1"/>
    </xf>
    <xf numFmtId="0" fontId="16" fillId="29" borderId="26" xfId="3" applyFont="1" applyFill="1" applyBorder="1" applyAlignment="1" applyProtection="1">
      <alignment horizontal="left" vertical="center" wrapText="1"/>
      <protection locked="0"/>
    </xf>
    <xf numFmtId="0" fontId="16" fillId="2" borderId="26" xfId="3" applyFont="1" applyFill="1" applyBorder="1" applyAlignment="1" applyProtection="1">
      <alignment horizontal="left"/>
      <protection locked="0"/>
    </xf>
    <xf numFmtId="4" fontId="16" fillId="2" borderId="26" xfId="3" applyNumberFormat="1" applyFont="1" applyFill="1" applyBorder="1" applyAlignment="1" applyProtection="1">
      <alignment horizontal="center"/>
      <protection locked="0"/>
    </xf>
    <xf numFmtId="166" fontId="43" fillId="0" borderId="26" xfId="2" applyNumberFormat="1" applyFont="1" applyFill="1" applyBorder="1" applyAlignment="1">
      <alignment horizontal="right" vertical="center" wrapText="1"/>
    </xf>
    <xf numFmtId="0" fontId="43" fillId="0" borderId="26" xfId="2" applyFont="1" applyBorder="1" applyAlignment="1" applyProtection="1">
      <alignment wrapText="1"/>
    </xf>
    <xf numFmtId="0" fontId="43" fillId="0" borderId="26" xfId="2" applyFont="1" applyBorder="1" applyAlignment="1" applyProtection="1"/>
    <xf numFmtId="0" fontId="18" fillId="27" borderId="26" xfId="0" applyFont="1" applyFill="1" applyBorder="1" applyAlignment="1">
      <alignment vertical="center"/>
    </xf>
    <xf numFmtId="0" fontId="18" fillId="27" borderId="26" xfId="0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top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/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3" fontId="38" fillId="27" borderId="26" xfId="0" applyNumberFormat="1" applyFont="1" applyFill="1" applyBorder="1" applyAlignment="1" applyProtection="1">
      <alignment vertical="center" wrapText="1"/>
      <protection locked="0"/>
    </xf>
    <xf numFmtId="3" fontId="38" fillId="27" borderId="26" xfId="3" applyNumberFormat="1" applyFont="1" applyFill="1" applyBorder="1" applyAlignment="1" applyProtection="1">
      <alignment vertical="center" wrapText="1"/>
    </xf>
    <xf numFmtId="0" fontId="46" fillId="0" borderId="0" xfId="0" applyFont="1"/>
    <xf numFmtId="0" fontId="37" fillId="0" borderId="26" xfId="3" applyFont="1" applyBorder="1" applyAlignment="1" applyProtection="1">
      <alignment wrapText="1"/>
      <protection locked="0"/>
    </xf>
    <xf numFmtId="0" fontId="16" fillId="4" borderId="26" xfId="0" applyFont="1" applyFill="1" applyBorder="1" applyAlignment="1" applyProtection="1">
      <alignment vertical="center" wrapText="1"/>
      <protection locked="0"/>
    </xf>
    <xf numFmtId="0" fontId="16" fillId="0" borderId="13" xfId="3" applyFont="1" applyFill="1" applyBorder="1" applyAlignment="1" applyProtection="1">
      <alignment horizontal="left" vertical="center" wrapText="1"/>
      <protection locked="0"/>
    </xf>
    <xf numFmtId="3" fontId="16" fillId="0" borderId="26" xfId="3" applyNumberFormat="1" applyFont="1" applyFill="1" applyBorder="1" applyAlignment="1" applyProtection="1">
      <alignment horizontal="right" wrapText="1"/>
      <protection locked="0"/>
    </xf>
    <xf numFmtId="3" fontId="16" fillId="0" borderId="26" xfId="0" applyNumberFormat="1" applyFont="1" applyBorder="1" applyAlignment="1" applyProtection="1">
      <alignment horizontal="right" vertical="center" wrapText="1"/>
    </xf>
    <xf numFmtId="0" fontId="16" fillId="3" borderId="26" xfId="3" applyFont="1" applyFill="1" applyBorder="1" applyAlignment="1" applyProtection="1">
      <alignment horizontal="center" vertical="center"/>
      <protection locked="0"/>
    </xf>
    <xf numFmtId="0" fontId="16" fillId="2" borderId="26" xfId="3" applyFont="1" applyFill="1" applyBorder="1" applyAlignment="1" applyProtection="1">
      <alignment horizontal="center" vertical="center"/>
      <protection locked="0"/>
    </xf>
    <xf numFmtId="0" fontId="37" fillId="2" borderId="26" xfId="0" applyFont="1" applyFill="1" applyBorder="1" applyAlignment="1" applyProtection="1">
      <alignment horizontal="center" vertical="center"/>
      <protection locked="0"/>
    </xf>
    <xf numFmtId="0" fontId="37" fillId="0" borderId="26" xfId="0" applyFont="1" applyBorder="1" applyAlignment="1">
      <alignment wrapText="1"/>
    </xf>
    <xf numFmtId="0" fontId="37" fillId="30" borderId="26" xfId="0" applyFont="1" applyFill="1" applyBorder="1" applyAlignment="1" applyProtection="1">
      <alignment horizontal="left" vertical="center" wrapText="1"/>
      <protection locked="0"/>
    </xf>
    <xf numFmtId="3" fontId="16" fillId="0" borderId="13" xfId="0" applyNumberFormat="1" applyFont="1" applyBorder="1" applyAlignment="1" applyProtection="1">
      <alignment vertical="center" wrapText="1"/>
    </xf>
    <xf numFmtId="0" fontId="37" fillId="0" borderId="26" xfId="0" applyFont="1" applyBorder="1" applyAlignment="1">
      <alignment wrapText="1"/>
    </xf>
    <xf numFmtId="3" fontId="16" fillId="0" borderId="13" xfId="0" applyNumberFormat="1" applyFont="1" applyBorder="1" applyAlignment="1" applyProtection="1">
      <alignment vertical="center" wrapText="1"/>
    </xf>
    <xf numFmtId="0" fontId="37" fillId="0" borderId="26" xfId="0" applyFont="1" applyBorder="1" applyAlignment="1">
      <alignment wrapText="1"/>
    </xf>
    <xf numFmtId="0" fontId="16" fillId="4" borderId="31" xfId="0" applyFont="1" applyFill="1" applyBorder="1" applyAlignment="1" applyProtection="1">
      <alignment vertical="center" wrapText="1"/>
      <protection locked="0"/>
    </xf>
    <xf numFmtId="0" fontId="2" fillId="0" borderId="0" xfId="213"/>
    <xf numFmtId="0" fontId="41" fillId="34" borderId="35" xfId="2" applyFont="1" applyFill="1" applyBorder="1" applyAlignment="1">
      <alignment horizontal="center" vertical="center" wrapText="1"/>
    </xf>
    <xf numFmtId="0" fontId="15" fillId="0" borderId="0" xfId="2" applyFont="1" applyBorder="1"/>
    <xf numFmtId="0" fontId="15" fillId="0" borderId="0" xfId="1" applyFont="1" applyBorder="1"/>
    <xf numFmtId="4" fontId="2" fillId="0" borderId="0" xfId="213" applyNumberFormat="1"/>
    <xf numFmtId="0" fontId="41" fillId="35" borderId="35" xfId="2" applyFont="1" applyFill="1" applyBorder="1" applyAlignment="1">
      <alignment horizontal="center" vertical="center" wrapText="1"/>
    </xf>
    <xf numFmtId="0" fontId="41" fillId="35" borderId="23" xfId="116" applyFont="1" applyFill="1" applyBorder="1" applyAlignment="1">
      <alignment horizontal="center" vertical="center" wrapText="1"/>
    </xf>
    <xf numFmtId="0" fontId="41" fillId="35" borderId="26" xfId="116" applyFont="1" applyFill="1" applyBorder="1" applyAlignment="1">
      <alignment horizontal="center" vertical="center" wrapText="1"/>
    </xf>
    <xf numFmtId="0" fontId="41" fillId="35" borderId="24" xfId="116" applyFont="1" applyFill="1" applyBorder="1" applyAlignment="1">
      <alignment horizontal="center" vertical="center" wrapText="1"/>
    </xf>
    <xf numFmtId="0" fontId="15" fillId="0" borderId="0" xfId="1" applyFont="1"/>
    <xf numFmtId="0" fontId="50" fillId="0" borderId="0" xfId="2" applyFont="1" applyBorder="1"/>
    <xf numFmtId="0" fontId="2" fillId="31" borderId="0" xfId="213" applyFill="1" applyAlignment="1">
      <alignment horizontal="right" vertical="center"/>
    </xf>
    <xf numFmtId="0" fontId="2" fillId="0" borderId="0" xfId="213" applyAlignment="1">
      <alignment horizontal="right" vertical="center"/>
    </xf>
    <xf numFmtId="0" fontId="18" fillId="0" borderId="26" xfId="213" applyFont="1" applyBorder="1" applyAlignment="1">
      <alignment horizontal="center" vertical="center"/>
    </xf>
    <xf numFmtId="0" fontId="48" fillId="36" borderId="26" xfId="213" applyFont="1" applyFill="1" applyBorder="1" applyAlignment="1">
      <alignment horizontal="center" vertical="center"/>
    </xf>
    <xf numFmtId="0" fontId="48" fillId="36" borderId="26" xfId="213" applyFont="1" applyFill="1" applyBorder="1" applyAlignment="1">
      <alignment horizontal="center" vertical="center" wrapText="1"/>
    </xf>
    <xf numFmtId="170" fontId="48" fillId="36" borderId="26" xfId="213" applyNumberFormat="1" applyFont="1" applyFill="1" applyBorder="1" applyAlignment="1">
      <alignment horizontal="center" vertical="center" wrapText="1"/>
    </xf>
    <xf numFmtId="0" fontId="2" fillId="0" borderId="26" xfId="213" applyBorder="1" applyAlignment="1">
      <alignment horizontal="center" vertical="center"/>
    </xf>
    <xf numFmtId="0" fontId="18" fillId="0" borderId="26" xfId="213" applyFont="1" applyBorder="1" applyAlignment="1">
      <alignment wrapText="1"/>
    </xf>
    <xf numFmtId="170" fontId="2" fillId="0" borderId="26" xfId="213" applyNumberFormat="1" applyBorder="1" applyAlignment="1">
      <alignment horizontal="center" vertical="center"/>
    </xf>
    <xf numFmtId="4" fontId="40" fillId="31" borderId="26" xfId="213" applyNumberFormat="1" applyFont="1" applyFill="1" applyBorder="1" applyAlignment="1">
      <alignment horizontal="right" vertical="center"/>
    </xf>
    <xf numFmtId="2" fontId="2" fillId="0" borderId="0" xfId="213" applyNumberFormat="1"/>
    <xf numFmtId="0" fontId="2" fillId="0" borderId="26" xfId="213" applyFont="1" applyBorder="1" applyAlignment="1">
      <alignment wrapText="1"/>
    </xf>
    <xf numFmtId="43" fontId="37" fillId="0" borderId="26" xfId="214" applyFont="1" applyFill="1" applyBorder="1" applyAlignment="1">
      <alignment horizontal="center" vertical="center"/>
    </xf>
    <xf numFmtId="170" fontId="37" fillId="0" borderId="26" xfId="213" applyNumberFormat="1" applyFont="1" applyFill="1" applyBorder="1" applyAlignment="1">
      <alignment horizontal="center" vertical="center"/>
    </xf>
    <xf numFmtId="0" fontId="2" fillId="0" borderId="26" xfId="213" applyFill="1" applyBorder="1" applyAlignment="1">
      <alignment horizontal="center" vertical="center"/>
    </xf>
    <xf numFmtId="0" fontId="48" fillId="36" borderId="26" xfId="213" applyFont="1" applyFill="1" applyBorder="1" applyAlignment="1">
      <alignment wrapText="1"/>
    </xf>
    <xf numFmtId="0" fontId="49" fillId="36" borderId="26" xfId="213" applyFont="1" applyFill="1" applyBorder="1" applyAlignment="1">
      <alignment horizontal="center" vertical="center"/>
    </xf>
    <xf numFmtId="170" fontId="49" fillId="36" borderId="26" xfId="213" applyNumberFormat="1" applyFont="1" applyFill="1" applyBorder="1" applyAlignment="1">
      <alignment horizontal="center" vertical="center"/>
    </xf>
    <xf numFmtId="4" fontId="48" fillId="36" borderId="26" xfId="213" applyNumberFormat="1" applyFont="1" applyFill="1" applyBorder="1" applyAlignment="1">
      <alignment horizontal="right" vertical="center"/>
    </xf>
    <xf numFmtId="0" fontId="2" fillId="0" borderId="0" xfId="213" applyFill="1" applyBorder="1" applyAlignment="1">
      <alignment horizontal="center" vertical="center"/>
    </xf>
    <xf numFmtId="0" fontId="48" fillId="37" borderId="26" xfId="213" applyFont="1" applyFill="1" applyBorder="1" applyAlignment="1">
      <alignment horizontal="justify"/>
    </xf>
    <xf numFmtId="0" fontId="49" fillId="37" borderId="26" xfId="213" applyFont="1" applyFill="1" applyBorder="1" applyAlignment="1">
      <alignment horizontal="center" vertical="center"/>
    </xf>
    <xf numFmtId="43" fontId="49" fillId="37" borderId="26" xfId="214" applyFont="1" applyFill="1" applyBorder="1" applyAlignment="1">
      <alignment horizontal="center" vertical="center"/>
    </xf>
    <xf numFmtId="170" fontId="49" fillId="37" borderId="26" xfId="213" applyNumberFormat="1" applyFont="1" applyFill="1" applyBorder="1" applyAlignment="1">
      <alignment horizontal="center" vertical="center"/>
    </xf>
    <xf numFmtId="4" fontId="48" fillId="37" borderId="26" xfId="213" applyNumberFormat="1" applyFont="1" applyFill="1" applyBorder="1" applyAlignment="1">
      <alignment horizontal="right" vertical="center"/>
    </xf>
    <xf numFmtId="0" fontId="2" fillId="31" borderId="26" xfId="213" applyFill="1" applyBorder="1" applyAlignment="1">
      <alignment horizontal="center" vertical="center"/>
    </xf>
    <xf numFmtId="0" fontId="37" fillId="31" borderId="26" xfId="213" applyFont="1" applyFill="1" applyBorder="1" applyAlignment="1">
      <alignment horizontal="center" vertical="center"/>
    </xf>
    <xf numFmtId="170" fontId="37" fillId="31" borderId="26" xfId="213" applyNumberFormat="1" applyFont="1" applyFill="1" applyBorder="1" applyAlignment="1">
      <alignment horizontal="center" vertical="center"/>
    </xf>
    <xf numFmtId="4" fontId="16" fillId="31" borderId="26" xfId="213" applyNumberFormat="1" applyFont="1" applyFill="1" applyBorder="1" applyAlignment="1">
      <alignment horizontal="right" vertical="center"/>
    </xf>
    <xf numFmtId="0" fontId="2" fillId="31" borderId="0" xfId="213" applyFill="1"/>
    <xf numFmtId="0" fontId="2" fillId="0" borderId="26" xfId="213" applyBorder="1" applyAlignment="1">
      <alignment wrapText="1"/>
    </xf>
    <xf numFmtId="0" fontId="18" fillId="0" borderId="26" xfId="213" applyFont="1" applyBorder="1" applyAlignment="1">
      <alignment horizontal="justify"/>
    </xf>
    <xf numFmtId="0" fontId="2" fillId="0" borderId="26" xfId="213" applyBorder="1" applyAlignment="1">
      <alignment horizontal="right" vertical="center"/>
    </xf>
    <xf numFmtId="0" fontId="2" fillId="0" borderId="26" xfId="213" applyFill="1" applyBorder="1" applyAlignment="1">
      <alignment wrapText="1"/>
    </xf>
    <xf numFmtId="0" fontId="2" fillId="0" borderId="26" xfId="213" applyBorder="1"/>
    <xf numFmtId="43" fontId="0" fillId="0" borderId="26" xfId="214" applyFont="1" applyBorder="1" applyAlignment="1">
      <alignment horizontal="center" vertical="center"/>
    </xf>
    <xf numFmtId="4" fontId="2" fillId="0" borderId="26" xfId="213" applyNumberFormat="1" applyBorder="1" applyAlignment="1">
      <alignment horizontal="right" vertical="center"/>
    </xf>
    <xf numFmtId="0" fontId="2" fillId="0" borderId="26" xfId="213" applyFill="1" applyBorder="1"/>
    <xf numFmtId="43" fontId="18" fillId="0" borderId="26" xfId="214" applyFont="1" applyBorder="1" applyAlignment="1">
      <alignment horizontal="right" vertical="center"/>
    </xf>
    <xf numFmtId="43" fontId="16" fillId="31" borderId="26" xfId="214" applyFont="1" applyFill="1" applyBorder="1" applyAlignment="1">
      <alignment horizontal="right" vertical="center"/>
    </xf>
    <xf numFmtId="170" fontId="2" fillId="0" borderId="26" xfId="213" applyNumberFormat="1" applyFill="1" applyBorder="1" applyAlignment="1">
      <alignment horizontal="center" vertical="center"/>
    </xf>
    <xf numFmtId="0" fontId="2" fillId="0" borderId="27" xfId="213" applyFill="1" applyBorder="1" applyAlignment="1">
      <alignment horizontal="center" vertical="center"/>
    </xf>
    <xf numFmtId="0" fontId="18" fillId="0" borderId="26" xfId="213" applyFont="1" applyFill="1" applyBorder="1" applyAlignment="1">
      <alignment horizontal="justify"/>
    </xf>
    <xf numFmtId="0" fontId="2" fillId="0" borderId="26" xfId="213" applyFont="1" applyFill="1" applyBorder="1" applyAlignment="1">
      <alignment wrapText="1"/>
    </xf>
    <xf numFmtId="0" fontId="39" fillId="36" borderId="1" xfId="213" applyFont="1" applyFill="1" applyBorder="1" applyAlignment="1">
      <alignment wrapText="1"/>
    </xf>
    <xf numFmtId="0" fontId="39" fillId="36" borderId="0" xfId="213" applyFont="1" applyFill="1" applyAlignment="1">
      <alignment horizontal="center" vertical="center"/>
    </xf>
    <xf numFmtId="170" fontId="39" fillId="36" borderId="0" xfId="213" applyNumberFormat="1" applyFont="1" applyFill="1" applyAlignment="1">
      <alignment horizontal="center" vertical="center"/>
    </xf>
    <xf numFmtId="168" fontId="39" fillId="36" borderId="0" xfId="214" applyNumberFormat="1" applyFont="1" applyFill="1" applyAlignment="1">
      <alignment horizontal="right" vertical="center"/>
    </xf>
    <xf numFmtId="0" fontId="2" fillId="0" borderId="0" xfId="213" applyAlignment="1">
      <alignment horizontal="center" vertical="center"/>
    </xf>
    <xf numFmtId="170" fontId="2" fillId="0" borderId="0" xfId="213" applyNumberFormat="1" applyAlignment="1">
      <alignment horizontal="center" vertical="center"/>
    </xf>
    <xf numFmtId="43" fontId="0" fillId="31" borderId="0" xfId="214" applyFont="1" applyFill="1" applyAlignment="1">
      <alignment horizontal="right" vertical="center"/>
    </xf>
    <xf numFmtId="9" fontId="0" fillId="0" borderId="0" xfId="215" applyFont="1" applyAlignment="1">
      <alignment horizontal="right" vertical="center"/>
    </xf>
    <xf numFmtId="4" fontId="2" fillId="31" borderId="0" xfId="213" applyNumberFormat="1" applyFill="1" applyAlignment="1">
      <alignment horizontal="right" vertical="center"/>
    </xf>
    <xf numFmtId="0" fontId="2" fillId="0" borderId="0" xfId="213" applyAlignment="1">
      <alignment vertical="center"/>
    </xf>
    <xf numFmtId="0" fontId="16" fillId="33" borderId="13" xfId="0" applyFont="1" applyFill="1" applyBorder="1" applyAlignment="1" applyProtection="1">
      <alignment horizontal="left" vertical="center" wrapText="1"/>
      <protection locked="0"/>
    </xf>
    <xf numFmtId="0" fontId="0" fillId="30" borderId="26" xfId="0" applyFill="1" applyBorder="1" applyAlignment="1">
      <alignment vertical="center" wrapText="1"/>
    </xf>
    <xf numFmtId="3" fontId="16" fillId="0" borderId="26" xfId="0" applyNumberFormat="1" applyFont="1" applyBorder="1" applyAlignment="1" applyProtection="1">
      <alignment horizontal="right" vertical="center" wrapText="1"/>
    </xf>
    <xf numFmtId="3" fontId="16" fillId="0" borderId="13" xfId="0" applyNumberFormat="1" applyFont="1" applyBorder="1" applyAlignment="1" applyProtection="1">
      <alignment vertical="center" wrapText="1"/>
    </xf>
    <xf numFmtId="3" fontId="16" fillId="0" borderId="13" xfId="0" applyNumberFormat="1" applyFont="1" applyBorder="1" applyAlignment="1" applyProtection="1">
      <alignment vertical="center" wrapText="1"/>
      <protection locked="0"/>
    </xf>
    <xf numFmtId="3" fontId="16" fillId="0" borderId="26" xfId="3" applyNumberFormat="1" applyFont="1" applyFill="1" applyBorder="1" applyAlignment="1" applyProtection="1">
      <alignment horizontal="right" wrapText="1"/>
      <protection locked="0"/>
    </xf>
    <xf numFmtId="0" fontId="16" fillId="33" borderId="26" xfId="0" applyFont="1" applyFill="1" applyBorder="1" applyAlignment="1" applyProtection="1">
      <alignment horizontal="left" vertical="center" wrapText="1"/>
      <protection locked="0"/>
    </xf>
    <xf numFmtId="0" fontId="37" fillId="27" borderId="31" xfId="0" applyFont="1" applyFill="1" applyBorder="1" applyAlignment="1" applyProtection="1">
      <alignment horizontal="left" vertical="center" wrapText="1"/>
      <protection locked="0"/>
    </xf>
    <xf numFmtId="3" fontId="37" fillId="27" borderId="31" xfId="0" applyNumberFormat="1" applyFont="1" applyFill="1" applyBorder="1" applyAlignment="1" applyProtection="1">
      <alignment horizontal="right" vertical="center" wrapText="1"/>
      <protection locked="0"/>
    </xf>
    <xf numFmtId="3" fontId="37" fillId="27" borderId="31" xfId="3" applyNumberFormat="1" applyFont="1" applyFill="1" applyBorder="1" applyAlignment="1" applyProtection="1">
      <alignment horizontal="right" vertical="center" wrapText="1"/>
    </xf>
    <xf numFmtId="0" fontId="37" fillId="0" borderId="31" xfId="3" applyFont="1" applyFill="1" applyBorder="1" applyAlignment="1" applyProtection="1">
      <alignment horizontal="left" vertical="center" wrapText="1"/>
      <protection locked="0"/>
    </xf>
    <xf numFmtId="3" fontId="37" fillId="0" borderId="31" xfId="0" applyNumberFormat="1" applyFont="1" applyFill="1" applyBorder="1" applyAlignment="1" applyProtection="1">
      <alignment horizontal="right" vertical="center" wrapText="1"/>
      <protection locked="0"/>
    </xf>
    <xf numFmtId="3" fontId="37" fillId="0" borderId="31" xfId="3" applyNumberFormat="1" applyFont="1" applyFill="1" applyBorder="1" applyAlignment="1" applyProtection="1">
      <alignment horizontal="right" vertical="center" wrapText="1"/>
    </xf>
    <xf numFmtId="0" fontId="37" fillId="0" borderId="31" xfId="3" applyFont="1" applyBorder="1" applyProtection="1">
      <protection locked="0"/>
    </xf>
    <xf numFmtId="0" fontId="0" fillId="0" borderId="41" xfId="0" applyFont="1" applyBorder="1" applyAlignment="1">
      <alignment horizontal="left" vertical="center" wrapText="1"/>
    </xf>
    <xf numFmtId="3" fontId="37" fillId="0" borderId="41" xfId="0" applyNumberFormat="1" applyFont="1" applyBorder="1" applyAlignment="1">
      <alignment horizontal="right" vertical="center"/>
    </xf>
    <xf numFmtId="0" fontId="0" fillId="38" borderId="41" xfId="0" applyFont="1" applyFill="1" applyBorder="1" applyAlignment="1">
      <alignment horizontal="left" vertical="center" wrapText="1"/>
    </xf>
    <xf numFmtId="3" fontId="37" fillId="38" borderId="41" xfId="134" applyNumberFormat="1" applyFont="1" applyFill="1" applyBorder="1" applyAlignment="1">
      <alignment horizontal="right" vertical="center"/>
    </xf>
    <xf numFmtId="3" fontId="37" fillId="0" borderId="41" xfId="134" applyNumberFormat="1" applyFont="1" applyBorder="1" applyAlignment="1">
      <alignment horizontal="right" vertical="center"/>
    </xf>
    <xf numFmtId="3" fontId="37" fillId="38" borderId="41" xfId="0" applyNumberFormat="1" applyFont="1" applyFill="1" applyBorder="1" applyAlignment="1">
      <alignment horizontal="right" vertical="center"/>
    </xf>
    <xf numFmtId="0" fontId="37" fillId="38" borderId="41" xfId="0" applyFont="1" applyFill="1" applyBorder="1" applyAlignment="1">
      <alignment horizontal="left" vertical="center" wrapText="1"/>
    </xf>
    <xf numFmtId="3" fontId="37" fillId="0" borderId="41" xfId="134" applyNumberFormat="1" applyFont="1" applyBorder="1" applyAlignment="1">
      <alignment horizontal="right" vertical="center" wrapText="1"/>
    </xf>
    <xf numFmtId="0" fontId="0" fillId="0" borderId="41" xfId="0" applyNumberFormat="1" applyFont="1" applyBorder="1" applyAlignment="1">
      <alignment horizontal="left" vertical="center" wrapText="1"/>
    </xf>
    <xf numFmtId="0" fontId="0" fillId="38" borderId="41" xfId="0" applyNumberFormat="1" applyFont="1" applyFill="1" applyBorder="1" applyAlignment="1">
      <alignment horizontal="left" vertical="center" wrapText="1"/>
    </xf>
    <xf numFmtId="0" fontId="0" fillId="38" borderId="41" xfId="0" applyFont="1" applyFill="1" applyBorder="1" applyAlignment="1">
      <alignment vertical="center" wrapText="1"/>
    </xf>
    <xf numFmtId="3" fontId="18" fillId="0" borderId="26" xfId="213" applyNumberFormat="1" applyFont="1" applyBorder="1" applyAlignment="1">
      <alignment wrapText="1"/>
    </xf>
    <xf numFmtId="4" fontId="47" fillId="31" borderId="26" xfId="213" applyNumberFormat="1" applyFont="1" applyFill="1" applyBorder="1" applyAlignment="1">
      <alignment horizontal="right" vertical="center"/>
    </xf>
    <xf numFmtId="0" fontId="47" fillId="0" borderId="26" xfId="213" applyFont="1" applyBorder="1" applyAlignment="1">
      <alignment horizontal="justify"/>
    </xf>
    <xf numFmtId="0" fontId="0" fillId="39" borderId="41" xfId="0" applyFont="1" applyFill="1" applyBorder="1" applyAlignment="1">
      <alignment vertical="center" wrapText="1"/>
    </xf>
    <xf numFmtId="3" fontId="37" fillId="39" borderId="26" xfId="0" applyNumberFormat="1" applyFont="1" applyFill="1" applyBorder="1" applyAlignment="1" applyProtection="1">
      <alignment horizontal="right" vertical="center" wrapText="1"/>
      <protection locked="0"/>
    </xf>
    <xf numFmtId="3" fontId="37" fillId="39" borderId="41" xfId="0" applyNumberFormat="1" applyFont="1" applyFill="1" applyBorder="1" applyAlignment="1">
      <alignment horizontal="right" vertical="center"/>
    </xf>
    <xf numFmtId="0" fontId="0" fillId="40" borderId="41" xfId="0" applyFont="1" applyFill="1" applyBorder="1" applyAlignment="1">
      <alignment vertical="center" wrapText="1"/>
    </xf>
    <xf numFmtId="3" fontId="37" fillId="40" borderId="41" xfId="0" applyNumberFormat="1" applyFont="1" applyFill="1" applyBorder="1" applyAlignment="1">
      <alignment horizontal="right" vertical="center"/>
    </xf>
    <xf numFmtId="0" fontId="0" fillId="39" borderId="41" xfId="0" applyFont="1" applyFill="1" applyBorder="1" applyAlignment="1">
      <alignment horizontal="left" vertical="center" wrapText="1"/>
    </xf>
    <xf numFmtId="3" fontId="37" fillId="39" borderId="41" xfId="134" applyNumberFormat="1" applyFont="1" applyFill="1" applyBorder="1" applyAlignment="1">
      <alignment horizontal="right" vertical="center"/>
    </xf>
    <xf numFmtId="0" fontId="37" fillId="4" borderId="26" xfId="0" applyFont="1" applyFill="1" applyBorder="1" applyAlignment="1" applyProtection="1">
      <alignment horizontal="left" vertical="center" wrapText="1"/>
      <protection locked="0"/>
    </xf>
    <xf numFmtId="3" fontId="37" fillId="4" borderId="26" xfId="0" applyNumberFormat="1" applyFont="1" applyFill="1" applyBorder="1" applyAlignment="1" applyProtection="1">
      <alignment horizontal="right" vertical="center" wrapText="1"/>
      <protection locked="0"/>
    </xf>
    <xf numFmtId="3" fontId="37" fillId="4" borderId="26" xfId="3" applyNumberFormat="1" applyFont="1" applyFill="1" applyBorder="1" applyAlignment="1" applyProtection="1">
      <alignment horizontal="right" vertical="center" wrapText="1"/>
    </xf>
    <xf numFmtId="0" fontId="37" fillId="4" borderId="26" xfId="3" applyFont="1" applyFill="1" applyBorder="1" applyAlignment="1" applyProtection="1">
      <alignment horizontal="left" vertical="center" wrapText="1"/>
      <protection locked="0"/>
    </xf>
    <xf numFmtId="43" fontId="0" fillId="0" borderId="0" xfId="0" applyNumberFormat="1"/>
    <xf numFmtId="168" fontId="43" fillId="0" borderId="26" xfId="134" applyNumberFormat="1" applyFont="1" applyFill="1" applyBorder="1" applyAlignment="1">
      <alignment horizontal="right" vertical="center" wrapText="1"/>
    </xf>
    <xf numFmtId="168" fontId="41" fillId="34" borderId="35" xfId="134" applyNumberFormat="1" applyFont="1" applyFill="1" applyBorder="1" applyAlignment="1">
      <alignment horizontal="center" vertical="center" wrapText="1"/>
    </xf>
    <xf numFmtId="0" fontId="54" fillId="0" borderId="0" xfId="213" applyFont="1"/>
    <xf numFmtId="4" fontId="54" fillId="0" borderId="0" xfId="213" applyNumberFormat="1" applyFont="1"/>
    <xf numFmtId="10" fontId="54" fillId="0" borderId="0" xfId="213" applyNumberFormat="1" applyFont="1"/>
    <xf numFmtId="10" fontId="55" fillId="0" borderId="0" xfId="213" applyNumberFormat="1" applyFont="1"/>
    <xf numFmtId="169" fontId="55" fillId="0" borderId="0" xfId="213" applyNumberFormat="1" applyFont="1"/>
    <xf numFmtId="0" fontId="15" fillId="0" borderId="26" xfId="1" applyFont="1" applyFill="1" applyBorder="1" applyAlignment="1">
      <alignment vertical="center" wrapText="1"/>
    </xf>
    <xf numFmtId="0" fontId="15" fillId="0" borderId="35" xfId="1" applyFont="1" applyFill="1" applyBorder="1" applyAlignment="1">
      <alignment vertical="center" wrapText="1"/>
    </xf>
    <xf numFmtId="43" fontId="15" fillId="31" borderId="26" xfId="214" applyFont="1" applyFill="1" applyBorder="1" applyAlignment="1">
      <alignment vertical="center" wrapText="1"/>
    </xf>
    <xf numFmtId="9" fontId="15" fillId="0" borderId="26" xfId="215" applyFont="1" applyFill="1" applyBorder="1" applyAlignment="1">
      <alignment vertical="center" wrapText="1"/>
    </xf>
    <xf numFmtId="10" fontId="15" fillId="0" borderId="26" xfId="1" applyNumberFormat="1" applyFont="1" applyFill="1" applyBorder="1" applyAlignment="1">
      <alignment vertical="center" wrapText="1"/>
    </xf>
    <xf numFmtId="169" fontId="15" fillId="0" borderId="26" xfId="1" applyNumberFormat="1" applyFont="1" applyFill="1" applyBorder="1" applyAlignment="1">
      <alignment vertical="center" wrapText="1"/>
    </xf>
    <xf numFmtId="0" fontId="15" fillId="0" borderId="36" xfId="1" applyFont="1" applyFill="1" applyBorder="1" applyAlignment="1">
      <alignment vertical="center" wrapText="1"/>
    </xf>
    <xf numFmtId="169" fontId="15" fillId="0" borderId="41" xfId="1" applyNumberFormat="1" applyFont="1" applyFill="1" applyBorder="1" applyAlignment="1">
      <alignment vertical="center" wrapText="1"/>
    </xf>
    <xf numFmtId="43" fontId="15" fillId="0" borderId="26" xfId="214" applyFont="1" applyFill="1" applyBorder="1" applyAlignment="1">
      <alignment vertical="center" wrapText="1"/>
    </xf>
    <xf numFmtId="4" fontId="15" fillId="0" borderId="26" xfId="1" applyNumberFormat="1" applyFont="1" applyFill="1" applyBorder="1" applyAlignment="1">
      <alignment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56" fillId="0" borderId="16" xfId="1" applyFont="1" applyFill="1" applyBorder="1" applyAlignment="1">
      <alignment horizontal="left" vertical="center"/>
    </xf>
    <xf numFmtId="0" fontId="56" fillId="0" borderId="16" xfId="1" applyFont="1" applyFill="1" applyBorder="1" applyAlignment="1">
      <alignment horizontal="left" vertical="center" wrapText="1"/>
    </xf>
    <xf numFmtId="0" fontId="15" fillId="0" borderId="0" xfId="2" applyFont="1" applyFill="1" applyBorder="1" applyAlignment="1">
      <alignment vertical="center" wrapText="1"/>
    </xf>
    <xf numFmtId="4" fontId="58" fillId="34" borderId="26" xfId="1" applyNumberFormat="1" applyFont="1" applyFill="1" applyBorder="1" applyAlignment="1">
      <alignment horizontal="center" vertical="center" wrapText="1"/>
    </xf>
    <xf numFmtId="10" fontId="58" fillId="34" borderId="26" xfId="1" applyNumberFormat="1" applyFont="1" applyFill="1" applyBorder="1" applyAlignment="1">
      <alignment horizontal="center" vertical="center" wrapText="1"/>
    </xf>
    <xf numFmtId="169" fontId="58" fillId="34" borderId="26" xfId="1" applyNumberFormat="1" applyFont="1" applyFill="1" applyBorder="1" applyAlignment="1">
      <alignment horizontal="center" vertical="center" wrapText="1"/>
    </xf>
    <xf numFmtId="0" fontId="61" fillId="0" borderId="0" xfId="213" applyFont="1" applyBorder="1"/>
    <xf numFmtId="0" fontId="61" fillId="0" borderId="0" xfId="213" applyFont="1"/>
    <xf numFmtId="0" fontId="15" fillId="0" borderId="32" xfId="1" applyFont="1" applyFill="1" applyBorder="1" applyAlignment="1">
      <alignment vertical="center" wrapText="1"/>
    </xf>
    <xf numFmtId="0" fontId="15" fillId="0" borderId="33" xfId="1" applyFont="1" applyFill="1" applyBorder="1" applyAlignment="1">
      <alignment vertical="center" wrapText="1"/>
    </xf>
    <xf numFmtId="4" fontId="15" fillId="0" borderId="33" xfId="1" applyNumberFormat="1" applyFont="1" applyFill="1" applyBorder="1" applyAlignment="1">
      <alignment vertical="center" wrapText="1"/>
    </xf>
    <xf numFmtId="10" fontId="15" fillId="0" borderId="33" xfId="1" applyNumberFormat="1" applyFont="1" applyFill="1" applyBorder="1" applyAlignment="1">
      <alignment vertical="center" wrapText="1"/>
    </xf>
    <xf numFmtId="169" fontId="15" fillId="0" borderId="33" xfId="1" applyNumberFormat="1" applyFont="1" applyFill="1" applyBorder="1" applyAlignment="1">
      <alignment vertical="center" wrapText="1"/>
    </xf>
    <xf numFmtId="0" fontId="15" fillId="0" borderId="34" xfId="1" applyFont="1" applyFill="1" applyBorder="1" applyAlignment="1">
      <alignment vertical="center" wrapText="1"/>
    </xf>
    <xf numFmtId="4" fontId="61" fillId="0" borderId="0" xfId="213" applyNumberFormat="1" applyFont="1"/>
    <xf numFmtId="10" fontId="61" fillId="0" borderId="0" xfId="213" applyNumberFormat="1" applyFont="1"/>
    <xf numFmtId="169" fontId="61" fillId="0" borderId="0" xfId="213" applyNumberFormat="1" applyFont="1"/>
    <xf numFmtId="0" fontId="15" fillId="31" borderId="35" xfId="1" applyFont="1" applyFill="1" applyBorder="1" applyAlignment="1">
      <alignment vertical="center" wrapText="1"/>
    </xf>
    <xf numFmtId="0" fontId="15" fillId="31" borderId="26" xfId="1" applyFont="1" applyFill="1" applyBorder="1" applyAlignment="1">
      <alignment vertical="center" wrapText="1"/>
    </xf>
    <xf numFmtId="43" fontId="15" fillId="31" borderId="26" xfId="134" applyFont="1" applyFill="1" applyBorder="1" applyAlignment="1">
      <alignment vertical="center" wrapText="1"/>
    </xf>
    <xf numFmtId="10" fontId="15" fillId="31" borderId="26" xfId="1" applyNumberFormat="1" applyFont="1" applyFill="1" applyBorder="1" applyAlignment="1">
      <alignment vertical="center" wrapText="1"/>
    </xf>
    <xf numFmtId="169" fontId="15" fillId="31" borderId="26" xfId="1" applyNumberFormat="1" applyFont="1" applyFill="1" applyBorder="1" applyAlignment="1">
      <alignment vertical="center" wrapText="1"/>
    </xf>
    <xf numFmtId="0" fontId="15" fillId="31" borderId="42" xfId="1" applyFont="1" applyFill="1" applyBorder="1" applyAlignment="1">
      <alignment vertical="center" wrapText="1"/>
    </xf>
    <xf numFmtId="0" fontId="15" fillId="31" borderId="36" xfId="1" applyFont="1" applyFill="1" applyBorder="1" applyAlignment="1">
      <alignment vertical="center" wrapText="1"/>
    </xf>
    <xf numFmtId="4" fontId="63" fillId="0" borderId="0" xfId="213" applyNumberFormat="1" applyFont="1"/>
    <xf numFmtId="3" fontId="15" fillId="31" borderId="26" xfId="1" applyNumberFormat="1" applyFont="1" applyFill="1" applyBorder="1" applyAlignment="1">
      <alignment vertical="center" wrapText="1"/>
    </xf>
    <xf numFmtId="0" fontId="58" fillId="34" borderId="27" xfId="1" applyFont="1" applyFill="1" applyBorder="1" applyAlignment="1">
      <alignment horizontal="center" vertical="center" wrapText="1"/>
    </xf>
    <xf numFmtId="0" fontId="58" fillId="34" borderId="29" xfId="1" applyFont="1" applyFill="1" applyBorder="1" applyAlignment="1">
      <alignment horizontal="center" vertical="center" wrapText="1"/>
    </xf>
    <xf numFmtId="0" fontId="58" fillId="34" borderId="26" xfId="1" applyFont="1" applyFill="1" applyBorder="1" applyAlignment="1">
      <alignment horizontal="center" vertical="center" wrapText="1"/>
    </xf>
    <xf numFmtId="0" fontId="15" fillId="31" borderId="41" xfId="1" applyFont="1" applyFill="1" applyBorder="1" applyAlignment="1">
      <alignment vertical="center" wrapText="1"/>
    </xf>
    <xf numFmtId="0" fontId="15" fillId="31" borderId="43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10" fontId="15" fillId="0" borderId="0" xfId="1" applyNumberFormat="1" applyFont="1" applyFill="1" applyBorder="1" applyAlignment="1">
      <alignment vertical="center" wrapText="1"/>
    </xf>
    <xf numFmtId="10" fontId="64" fillId="0" borderId="0" xfId="1" applyNumberFormat="1" applyFont="1" applyFill="1" applyBorder="1" applyAlignment="1">
      <alignment vertical="center" wrapText="1"/>
    </xf>
    <xf numFmtId="169" fontId="64" fillId="0" borderId="0" xfId="1" applyNumberFormat="1" applyFont="1" applyFill="1" applyBorder="1" applyAlignment="1">
      <alignment vertical="center" wrapText="1"/>
    </xf>
    <xf numFmtId="0" fontId="15" fillId="0" borderId="0" xfId="2" applyFont="1" applyFill="1" applyBorder="1" applyAlignment="1">
      <alignment horizontal="left" vertical="center" wrapText="1"/>
    </xf>
    <xf numFmtId="0" fontId="65" fillId="34" borderId="26" xfId="1" applyFont="1" applyFill="1" applyBorder="1" applyAlignment="1">
      <alignment horizontal="center" vertical="center" wrapText="1"/>
    </xf>
    <xf numFmtId="4" fontId="65" fillId="34" borderId="26" xfId="1" applyNumberFormat="1" applyFont="1" applyFill="1" applyBorder="1" applyAlignment="1">
      <alignment horizontal="center" vertical="center" wrapText="1"/>
    </xf>
    <xf numFmtId="10" fontId="65" fillId="34" borderId="26" xfId="1" applyNumberFormat="1" applyFont="1" applyFill="1" applyBorder="1" applyAlignment="1">
      <alignment horizontal="center" vertical="center" wrapText="1"/>
    </xf>
    <xf numFmtId="43" fontId="68" fillId="0" borderId="0" xfId="214" applyFont="1"/>
    <xf numFmtId="10" fontId="64" fillId="0" borderId="26" xfId="1" applyNumberFormat="1" applyFont="1" applyFill="1" applyBorder="1" applyAlignment="1">
      <alignment vertical="center" wrapText="1"/>
    </xf>
    <xf numFmtId="169" fontId="64" fillId="0" borderId="26" xfId="1" applyNumberFormat="1" applyFont="1" applyFill="1" applyBorder="1" applyAlignment="1">
      <alignment vertical="center" wrapText="1"/>
    </xf>
    <xf numFmtId="10" fontId="64" fillId="0" borderId="33" xfId="1" applyNumberFormat="1" applyFont="1" applyFill="1" applyBorder="1" applyAlignment="1">
      <alignment vertical="center" wrapText="1"/>
    </xf>
    <xf numFmtId="169" fontId="64" fillId="0" borderId="33" xfId="1" applyNumberFormat="1" applyFont="1" applyFill="1" applyBorder="1" applyAlignment="1">
      <alignment vertical="center" wrapText="1"/>
    </xf>
    <xf numFmtId="4" fontId="15" fillId="0" borderId="0" xfId="1" applyNumberFormat="1" applyFont="1" applyFill="1" applyBorder="1" applyAlignment="1">
      <alignment vertical="center" wrapText="1"/>
    </xf>
    <xf numFmtId="4" fontId="64" fillId="0" borderId="26" xfId="1" applyNumberFormat="1" applyFont="1" applyFill="1" applyBorder="1" applyAlignment="1">
      <alignment vertical="center" wrapText="1"/>
    </xf>
    <xf numFmtId="0" fontId="15" fillId="0" borderId="33" xfId="1" applyFont="1" applyFill="1" applyBorder="1" applyAlignment="1">
      <alignment horizontal="center" vertical="center" wrapText="1"/>
    </xf>
    <xf numFmtId="4" fontId="64" fillId="0" borderId="33" xfId="1" applyNumberFormat="1" applyFont="1" applyFill="1" applyBorder="1" applyAlignment="1">
      <alignment vertical="center" wrapText="1"/>
    </xf>
    <xf numFmtId="43" fontId="50" fillId="0" borderId="26" xfId="214" applyFont="1" applyFill="1" applyBorder="1" applyAlignment="1">
      <alignment vertical="center" wrapText="1"/>
    </xf>
    <xf numFmtId="0" fontId="63" fillId="0" borderId="0" xfId="213" applyFont="1"/>
    <xf numFmtId="10" fontId="63" fillId="0" borderId="0" xfId="213" applyNumberFormat="1" applyFont="1"/>
    <xf numFmtId="10" fontId="69" fillId="0" borderId="0" xfId="213" applyNumberFormat="1" applyFont="1"/>
    <xf numFmtId="169" fontId="69" fillId="0" borderId="0" xfId="213" applyNumberFormat="1" applyFont="1"/>
    <xf numFmtId="9" fontId="15" fillId="31" borderId="26" xfId="215" applyFont="1" applyFill="1" applyBorder="1" applyAlignment="1">
      <alignment vertical="center" wrapText="1"/>
    </xf>
    <xf numFmtId="0" fontId="15" fillId="0" borderId="45" xfId="1" applyFont="1" applyFill="1" applyBorder="1" applyAlignment="1">
      <alignment vertical="center" wrapText="1"/>
    </xf>
    <xf numFmtId="0" fontId="15" fillId="0" borderId="44" xfId="1" applyFont="1" applyFill="1" applyBorder="1" applyAlignment="1">
      <alignment vertical="center" wrapText="1"/>
    </xf>
    <xf numFmtId="0" fontId="43" fillId="0" borderId="44" xfId="2" applyFont="1" applyBorder="1" applyAlignment="1" applyProtection="1"/>
    <xf numFmtId="166" fontId="43" fillId="0" borderId="29" xfId="2" applyNumberFormat="1" applyFont="1" applyFill="1" applyBorder="1" applyAlignment="1">
      <alignment horizontal="right" vertical="center" wrapText="1"/>
    </xf>
    <xf numFmtId="3" fontId="16" fillId="0" borderId="13" xfId="0" applyNumberFormat="1" applyFont="1" applyBorder="1" applyAlignment="1" applyProtection="1">
      <alignment vertical="center" wrapText="1"/>
      <protection locked="0"/>
    </xf>
    <xf numFmtId="3" fontId="16" fillId="0" borderId="13" xfId="0" applyNumberFormat="1" applyFont="1" applyBorder="1" applyAlignment="1" applyProtection="1">
      <alignment vertical="center" wrapText="1"/>
    </xf>
    <xf numFmtId="10" fontId="0" fillId="0" borderId="0" xfId="216" applyNumberFormat="1" applyFont="1"/>
    <xf numFmtId="0" fontId="1" fillId="0" borderId="0" xfId="217"/>
    <xf numFmtId="0" fontId="70" fillId="41" borderId="47" xfId="217" applyFont="1" applyFill="1" applyBorder="1" applyAlignment="1">
      <alignment horizontal="center" vertical="center" wrapText="1"/>
    </xf>
    <xf numFmtId="9" fontId="70" fillId="41" borderId="47" xfId="216" applyFont="1" applyFill="1" applyBorder="1" applyAlignment="1">
      <alignment horizontal="center" vertical="center" wrapText="1"/>
    </xf>
    <xf numFmtId="0" fontId="71" fillId="42" borderId="47" xfId="217" applyFont="1" applyFill="1" applyBorder="1" applyAlignment="1">
      <alignment vertical="center" wrapText="1"/>
    </xf>
    <xf numFmtId="168" fontId="72" fillId="43" borderId="47" xfId="218" applyNumberFormat="1" applyFont="1" applyFill="1" applyBorder="1" applyAlignment="1">
      <alignment horizontal="center" vertical="center" wrapText="1"/>
    </xf>
    <xf numFmtId="0" fontId="73" fillId="44" borderId="47" xfId="217" applyFont="1" applyFill="1" applyBorder="1" applyAlignment="1">
      <alignment vertical="center" wrapText="1"/>
    </xf>
    <xf numFmtId="0" fontId="72" fillId="43" borderId="47" xfId="217" applyFont="1" applyFill="1" applyBorder="1" applyAlignment="1">
      <alignment vertical="center" wrapText="1"/>
    </xf>
    <xf numFmtId="168" fontId="72" fillId="43" borderId="47" xfId="218" applyNumberFormat="1" applyFont="1" applyFill="1" applyBorder="1" applyAlignment="1">
      <alignment horizontal="right" vertical="center" wrapText="1"/>
    </xf>
    <xf numFmtId="0" fontId="72" fillId="45" borderId="47" xfId="217" applyFont="1" applyFill="1" applyBorder="1" applyAlignment="1">
      <alignment vertical="center" wrapText="1"/>
    </xf>
    <xf numFmtId="168" fontId="72" fillId="43" borderId="47" xfId="218" applyNumberFormat="1" applyFont="1" applyFill="1" applyBorder="1" applyAlignment="1">
      <alignment vertical="center" wrapText="1"/>
    </xf>
    <xf numFmtId="0" fontId="73" fillId="46" borderId="47" xfId="217" applyFont="1" applyFill="1" applyBorder="1" applyAlignment="1">
      <alignment vertical="center" wrapText="1"/>
    </xf>
    <xf numFmtId="0" fontId="72" fillId="47" borderId="47" xfId="217" applyFont="1" applyFill="1" applyBorder="1" applyAlignment="1">
      <alignment vertical="center" wrapText="1"/>
    </xf>
    <xf numFmtId="0" fontId="74" fillId="47" borderId="47" xfId="217" applyFont="1" applyFill="1" applyBorder="1" applyAlignment="1">
      <alignment vertical="center" wrapText="1"/>
    </xf>
    <xf numFmtId="0" fontId="72" fillId="48" borderId="47" xfId="217" applyFont="1" applyFill="1" applyBorder="1" applyAlignment="1">
      <alignment vertical="center" wrapText="1"/>
    </xf>
    <xf numFmtId="0" fontId="75" fillId="43" borderId="47" xfId="217" applyFont="1" applyFill="1" applyBorder="1" applyAlignment="1">
      <alignment vertical="center" wrapText="1"/>
    </xf>
    <xf numFmtId="168" fontId="75" fillId="43" borderId="47" xfId="218" applyNumberFormat="1" applyFont="1" applyFill="1" applyBorder="1" applyAlignment="1">
      <alignment horizontal="right" vertical="center" wrapText="1"/>
    </xf>
    <xf numFmtId="168" fontId="75" fillId="43" borderId="47" xfId="218" applyNumberFormat="1" applyFont="1" applyFill="1" applyBorder="1" applyAlignment="1">
      <alignment vertical="center" wrapText="1"/>
    </xf>
    <xf numFmtId="8" fontId="1" fillId="0" borderId="0" xfId="217" applyNumberFormat="1"/>
    <xf numFmtId="0" fontId="16" fillId="0" borderId="0" xfId="219" applyFont="1" applyAlignment="1" applyProtection="1">
      <alignment horizontal="left"/>
      <protection locked="0"/>
    </xf>
    <xf numFmtId="3" fontId="37" fillId="0" borderId="0" xfId="219" applyNumberFormat="1" applyFont="1" applyProtection="1">
      <protection locked="0"/>
    </xf>
    <xf numFmtId="0" fontId="37" fillId="0" borderId="0" xfId="219" applyFont="1" applyProtection="1">
      <protection locked="0"/>
    </xf>
    <xf numFmtId="43" fontId="37" fillId="0" borderId="0" xfId="219" applyNumberFormat="1" applyFont="1" applyProtection="1">
      <protection locked="0"/>
    </xf>
    <xf numFmtId="0" fontId="76" fillId="0" borderId="0" xfId="0" applyFont="1"/>
    <xf numFmtId="43" fontId="37" fillId="0" borderId="0" xfId="134" applyFont="1" applyProtection="1">
      <protection locked="0"/>
    </xf>
    <xf numFmtId="0" fontId="16" fillId="28" borderId="45" xfId="219" applyFont="1" applyFill="1" applyBorder="1" applyAlignment="1" applyProtection="1">
      <alignment horizontal="left" vertical="center" wrapText="1"/>
      <protection locked="0"/>
    </xf>
    <xf numFmtId="4" fontId="16" fillId="28" borderId="45" xfId="219" applyNumberFormat="1" applyFont="1" applyFill="1" applyBorder="1" applyAlignment="1" applyProtection="1">
      <alignment horizontal="center"/>
      <protection locked="0"/>
    </xf>
    <xf numFmtId="0" fontId="37" fillId="0" borderId="45" xfId="219" applyFont="1" applyBorder="1" applyProtection="1">
      <protection locked="0"/>
    </xf>
    <xf numFmtId="3" fontId="16" fillId="2" borderId="45" xfId="0" applyNumberFormat="1" applyFont="1" applyFill="1" applyBorder="1" applyAlignment="1" applyProtection="1">
      <alignment horizontal="center" wrapText="1"/>
      <protection locked="0"/>
    </xf>
    <xf numFmtId="0" fontId="16" fillId="2" borderId="45" xfId="219" applyFont="1" applyFill="1" applyBorder="1" applyAlignment="1" applyProtection="1">
      <alignment horizontal="center" vertical="center"/>
      <protection locked="0"/>
    </xf>
    <xf numFmtId="0" fontId="37" fillId="2" borderId="45" xfId="0" applyFont="1" applyFill="1" applyBorder="1" applyAlignment="1" applyProtection="1">
      <alignment horizontal="center" vertical="center"/>
      <protection locked="0"/>
    </xf>
    <xf numFmtId="0" fontId="16" fillId="3" borderId="45" xfId="219" applyFont="1" applyFill="1" applyBorder="1" applyAlignment="1" applyProtection="1">
      <alignment horizontal="center" vertical="center"/>
      <protection locked="0"/>
    </xf>
    <xf numFmtId="0" fontId="16" fillId="3" borderId="45" xfId="219" applyFont="1" applyFill="1" applyBorder="1" applyAlignment="1" applyProtection="1">
      <alignment horizontal="center" vertical="center" wrapText="1"/>
      <protection locked="0"/>
    </xf>
    <xf numFmtId="0" fontId="16" fillId="28" borderId="45" xfId="219" applyFont="1" applyFill="1" applyBorder="1" applyAlignment="1" applyProtection="1">
      <alignment horizontal="left"/>
      <protection locked="0"/>
    </xf>
    <xf numFmtId="3" fontId="16" fillId="28" borderId="45" xfId="219" applyNumberFormat="1" applyFont="1" applyFill="1" applyBorder="1" applyAlignment="1" applyProtection="1">
      <alignment horizontal="center"/>
      <protection locked="0"/>
    </xf>
    <xf numFmtId="0" fontId="37" fillId="30" borderId="45" xfId="0" applyFont="1" applyFill="1" applyBorder="1" applyAlignment="1" applyProtection="1">
      <alignment horizontal="left" vertical="center" wrapText="1"/>
      <protection locked="0"/>
    </xf>
    <xf numFmtId="3" fontId="37" fillId="27" borderId="45" xfId="0" applyNumberFormat="1" applyFont="1" applyFill="1" applyBorder="1" applyAlignment="1" applyProtection="1">
      <alignment horizontal="right" vertical="center" wrapText="1"/>
      <protection locked="0"/>
    </xf>
    <xf numFmtId="3" fontId="37" fillId="27" borderId="45" xfId="219" applyNumberFormat="1" applyFont="1" applyFill="1" applyBorder="1" applyAlignment="1" applyProtection="1">
      <alignment horizontal="right" vertical="center" wrapText="1"/>
    </xf>
    <xf numFmtId="0" fontId="37" fillId="0" borderId="45" xfId="0" applyFont="1" applyBorder="1" applyAlignment="1">
      <alignment wrapText="1"/>
    </xf>
    <xf numFmtId="0" fontId="0" fillId="30" borderId="45" xfId="0" applyFill="1" applyBorder="1" applyAlignment="1">
      <alignment vertical="center" wrapText="1"/>
    </xf>
    <xf numFmtId="0" fontId="37" fillId="27" borderId="45" xfId="219" applyFont="1" applyFill="1" applyBorder="1" applyAlignment="1" applyProtection="1">
      <alignment horizontal="left" vertical="center" wrapText="1"/>
      <protection locked="0"/>
    </xf>
    <xf numFmtId="0" fontId="37" fillId="0" borderId="45" xfId="219" applyFont="1" applyBorder="1" applyAlignment="1" applyProtection="1">
      <alignment wrapText="1"/>
      <protection locked="0"/>
    </xf>
    <xf numFmtId="0" fontId="37" fillId="0" borderId="45" xfId="0" applyFont="1" applyFill="1" applyBorder="1" applyAlignment="1" applyProtection="1">
      <alignment horizontal="left" vertical="center" wrapText="1"/>
      <protection locked="0"/>
    </xf>
    <xf numFmtId="3" fontId="37" fillId="0" borderId="45" xfId="0" applyNumberFormat="1" applyFont="1" applyFill="1" applyBorder="1" applyAlignment="1" applyProtection="1">
      <alignment horizontal="right" vertical="center" wrapText="1"/>
      <protection locked="0"/>
    </xf>
    <xf numFmtId="3" fontId="37" fillId="0" borderId="45" xfId="219" applyNumberFormat="1" applyFont="1" applyFill="1" applyBorder="1" applyAlignment="1" applyProtection="1">
      <alignment horizontal="right" vertical="center" wrapText="1"/>
    </xf>
    <xf numFmtId="0" fontId="37" fillId="0" borderId="45" xfId="219" applyFont="1" applyFill="1" applyBorder="1" applyAlignment="1" applyProtection="1">
      <alignment horizontal="left" vertical="center" wrapText="1"/>
      <protection locked="0"/>
    </xf>
    <xf numFmtId="0" fontId="37" fillId="27" borderId="45" xfId="0" applyFont="1" applyFill="1" applyBorder="1" applyAlignment="1" applyProtection="1">
      <alignment horizontal="left" vertical="center" wrapText="1"/>
      <protection locked="0"/>
    </xf>
    <xf numFmtId="164" fontId="37" fillId="0" borderId="45" xfId="142" applyNumberFormat="1" applyFont="1" applyFill="1" applyBorder="1" applyAlignment="1" applyProtection="1">
      <alignment horizontal="left" vertical="center" wrapText="1"/>
      <protection locked="0"/>
    </xf>
    <xf numFmtId="0" fontId="16" fillId="4" borderId="45" xfId="0" applyFont="1" applyFill="1" applyBorder="1" applyAlignment="1" applyProtection="1">
      <alignment vertical="center" wrapText="1"/>
      <protection locked="0"/>
    </xf>
    <xf numFmtId="3" fontId="16" fillId="0" borderId="45" xfId="0" applyNumberFormat="1" applyFont="1" applyBorder="1" applyAlignment="1" applyProtection="1">
      <alignment horizontal="right" vertical="center" wrapText="1"/>
    </xf>
    <xf numFmtId="3" fontId="38" fillId="27" borderId="45" xfId="0" applyNumberFormat="1" applyFont="1" applyFill="1" applyBorder="1" applyAlignment="1" applyProtection="1">
      <alignment vertical="center" wrapText="1"/>
      <protection locked="0"/>
    </xf>
    <xf numFmtId="3" fontId="38" fillId="27" borderId="45" xfId="219" applyNumberFormat="1" applyFont="1" applyFill="1" applyBorder="1" applyAlignment="1" applyProtection="1">
      <alignment vertical="center" wrapText="1"/>
    </xf>
    <xf numFmtId="0" fontId="0" fillId="0" borderId="45" xfId="0" applyFont="1" applyBorder="1" applyAlignment="1">
      <alignment horizontal="left" vertical="center" wrapText="1"/>
    </xf>
    <xf numFmtId="3" fontId="37" fillId="0" borderId="45" xfId="0" applyNumberFormat="1" applyFont="1" applyBorder="1" applyAlignment="1">
      <alignment horizontal="right" vertical="center"/>
    </xf>
    <xf numFmtId="0" fontId="0" fillId="38" borderId="45" xfId="0" applyFont="1" applyFill="1" applyBorder="1" applyAlignment="1">
      <alignment horizontal="left" vertical="center" wrapText="1"/>
    </xf>
    <xf numFmtId="3" fontId="37" fillId="38" borderId="45" xfId="134" applyNumberFormat="1" applyFont="1" applyFill="1" applyBorder="1" applyAlignment="1">
      <alignment horizontal="right" vertical="center"/>
    </xf>
    <xf numFmtId="0" fontId="0" fillId="39" borderId="45" xfId="0" applyFont="1" applyFill="1" applyBorder="1" applyAlignment="1">
      <alignment horizontal="left" vertical="center" wrapText="1"/>
    </xf>
    <xf numFmtId="3" fontId="37" fillId="39" borderId="45" xfId="0" applyNumberFormat="1" applyFont="1" applyFill="1" applyBorder="1" applyAlignment="1" applyProtection="1">
      <alignment horizontal="right" vertical="center" wrapText="1"/>
      <protection locked="0"/>
    </xf>
    <xf numFmtId="3" fontId="37" fillId="39" borderId="45" xfId="134" applyNumberFormat="1" applyFont="1" applyFill="1" applyBorder="1" applyAlignment="1">
      <alignment horizontal="right" vertical="center"/>
    </xf>
    <xf numFmtId="3" fontId="37" fillId="38" borderId="45" xfId="0" applyNumberFormat="1" applyFont="1" applyFill="1" applyBorder="1" applyAlignment="1">
      <alignment horizontal="right" vertical="center"/>
    </xf>
    <xf numFmtId="3" fontId="37" fillId="0" borderId="45" xfId="134" applyNumberFormat="1" applyFont="1" applyBorder="1" applyAlignment="1">
      <alignment horizontal="right" vertical="center"/>
    </xf>
    <xf numFmtId="0" fontId="37" fillId="38" borderId="45" xfId="0" applyFont="1" applyFill="1" applyBorder="1" applyAlignment="1">
      <alignment horizontal="left" vertical="center" wrapText="1"/>
    </xf>
    <xf numFmtId="3" fontId="37" fillId="0" borderId="45" xfId="134" applyNumberFormat="1" applyFont="1" applyBorder="1" applyAlignment="1">
      <alignment horizontal="right" vertical="center" wrapText="1"/>
    </xf>
    <xf numFmtId="0" fontId="0" fillId="0" borderId="45" xfId="0" applyNumberFormat="1" applyFont="1" applyBorder="1" applyAlignment="1">
      <alignment horizontal="left" vertical="center" wrapText="1"/>
    </xf>
    <xf numFmtId="0" fontId="0" fillId="38" borderId="45" xfId="0" applyNumberFormat="1" applyFont="1" applyFill="1" applyBorder="1" applyAlignment="1">
      <alignment horizontal="left" vertical="center" wrapText="1"/>
    </xf>
    <xf numFmtId="0" fontId="0" fillId="40" borderId="45" xfId="0" applyFont="1" applyFill="1" applyBorder="1" applyAlignment="1">
      <alignment vertical="center" wrapText="1"/>
    </xf>
    <xf numFmtId="3" fontId="37" fillId="40" borderId="45" xfId="0" applyNumberFormat="1" applyFont="1" applyFill="1" applyBorder="1" applyAlignment="1">
      <alignment horizontal="right" vertical="center"/>
    </xf>
    <xf numFmtId="0" fontId="0" fillId="39" borderId="45" xfId="0" applyFont="1" applyFill="1" applyBorder="1" applyAlignment="1">
      <alignment vertical="center" wrapText="1"/>
    </xf>
    <xf numFmtId="3" fontId="37" fillId="39" borderId="45" xfId="0" applyNumberFormat="1" applyFont="1" applyFill="1" applyBorder="1" applyAlignment="1">
      <alignment horizontal="right" vertical="center"/>
    </xf>
    <xf numFmtId="0" fontId="0" fillId="38" borderId="45" xfId="0" applyFont="1" applyFill="1" applyBorder="1" applyAlignment="1">
      <alignment vertical="center" wrapText="1"/>
    </xf>
    <xf numFmtId="0" fontId="37" fillId="4" borderId="45" xfId="0" applyFont="1" applyFill="1" applyBorder="1" applyAlignment="1" applyProtection="1">
      <alignment horizontal="left" vertical="center" wrapText="1"/>
      <protection locked="0"/>
    </xf>
    <xf numFmtId="3" fontId="37" fillId="4" borderId="45" xfId="0" applyNumberFormat="1" applyFont="1" applyFill="1" applyBorder="1" applyAlignment="1" applyProtection="1">
      <alignment horizontal="right" vertical="center" wrapText="1"/>
      <protection locked="0"/>
    </xf>
    <xf numFmtId="3" fontId="37" fillId="4" borderId="45" xfId="219" applyNumberFormat="1" applyFont="1" applyFill="1" applyBorder="1" applyAlignment="1" applyProtection="1">
      <alignment horizontal="right" vertical="center" wrapText="1"/>
    </xf>
    <xf numFmtId="0" fontId="16" fillId="33" borderId="45" xfId="0" applyFont="1" applyFill="1" applyBorder="1" applyAlignment="1" applyProtection="1">
      <alignment horizontal="left" vertical="center" wrapText="1"/>
      <protection locked="0"/>
    </xf>
    <xf numFmtId="3" fontId="37" fillId="27" borderId="2" xfId="219" applyNumberFormat="1" applyFont="1" applyFill="1" applyBorder="1" applyAlignment="1" applyProtection="1">
      <alignment horizontal="right" vertical="center" wrapText="1"/>
    </xf>
    <xf numFmtId="0" fontId="37" fillId="0" borderId="2" xfId="219" applyFont="1" applyFill="1" applyBorder="1" applyAlignment="1" applyProtection="1">
      <alignment horizontal="left" vertical="center" wrapText="1"/>
      <protection locked="0"/>
    </xf>
    <xf numFmtId="3" fontId="37" fillId="0" borderId="2" xfId="219" applyNumberFormat="1" applyFont="1" applyFill="1" applyBorder="1" applyAlignment="1" applyProtection="1">
      <alignment horizontal="right" vertical="center" wrapText="1"/>
    </xf>
    <xf numFmtId="0" fontId="37" fillId="27" borderId="2" xfId="219" applyFont="1" applyFill="1" applyBorder="1" applyAlignment="1" applyProtection="1">
      <alignment horizontal="left" vertical="center" wrapText="1"/>
      <protection locked="0"/>
    </xf>
    <xf numFmtId="0" fontId="37" fillId="4" borderId="45" xfId="219" applyFont="1" applyFill="1" applyBorder="1" applyAlignment="1" applyProtection="1">
      <alignment horizontal="left" vertical="center" wrapText="1"/>
      <protection locked="0"/>
    </xf>
    <xf numFmtId="0" fontId="16" fillId="2" borderId="45" xfId="219" applyFont="1" applyFill="1" applyBorder="1" applyAlignment="1" applyProtection="1">
      <alignment horizontal="left" wrapText="1"/>
      <protection locked="0"/>
    </xf>
    <xf numFmtId="3" fontId="16" fillId="2" borderId="45" xfId="219" applyNumberFormat="1" applyFont="1" applyFill="1" applyBorder="1" applyAlignment="1" applyProtection="1">
      <alignment horizontal="center" vertical="center"/>
      <protection locked="0"/>
    </xf>
    <xf numFmtId="0" fontId="16" fillId="0" borderId="45" xfId="219" applyFont="1" applyFill="1" applyBorder="1" applyAlignment="1" applyProtection="1">
      <alignment horizontal="left" vertical="center" wrapText="1"/>
      <protection locked="0"/>
    </xf>
    <xf numFmtId="3" fontId="16" fillId="0" borderId="45" xfId="219" applyNumberFormat="1" applyFont="1" applyFill="1" applyBorder="1" applyAlignment="1" applyProtection="1">
      <alignment horizontal="right" wrapText="1"/>
      <protection locked="0"/>
    </xf>
    <xf numFmtId="0" fontId="16" fillId="0" borderId="13" xfId="219" applyFont="1" applyFill="1" applyBorder="1" applyAlignment="1" applyProtection="1">
      <alignment horizontal="left" vertical="center" wrapText="1"/>
      <protection locked="0"/>
    </xf>
    <xf numFmtId="3" fontId="16" fillId="0" borderId="45" xfId="219" applyNumberFormat="1" applyFont="1" applyFill="1" applyBorder="1" applyAlignment="1" applyProtection="1">
      <alignment horizontal="right" vertical="center" wrapText="1"/>
      <protection locked="0"/>
    </xf>
    <xf numFmtId="0" fontId="16" fillId="29" borderId="45" xfId="0" applyFont="1" applyFill="1" applyBorder="1" applyAlignment="1" applyProtection="1">
      <alignment horizontal="left" vertical="center" wrapText="1"/>
      <protection locked="0"/>
    </xf>
    <xf numFmtId="3" fontId="16" fillId="29" borderId="45" xfId="0" applyNumberFormat="1" applyFont="1" applyFill="1" applyBorder="1" applyAlignment="1" applyProtection="1">
      <alignment horizontal="right" vertical="center" wrapText="1"/>
      <protection locked="0"/>
    </xf>
    <xf numFmtId="3" fontId="16" fillId="29" borderId="45" xfId="219" applyNumberFormat="1" applyFont="1" applyFill="1" applyBorder="1" applyAlignment="1" applyProtection="1">
      <alignment horizontal="right" vertical="center" wrapText="1"/>
    </xf>
    <xf numFmtId="0" fontId="16" fillId="29" borderId="45" xfId="219" applyFont="1" applyFill="1" applyBorder="1" applyAlignment="1" applyProtection="1">
      <alignment horizontal="left" vertical="center" wrapText="1"/>
      <protection locked="0"/>
    </xf>
    <xf numFmtId="0" fontId="16" fillId="2" borderId="45" xfId="219" applyFont="1" applyFill="1" applyBorder="1" applyAlignment="1" applyProtection="1">
      <alignment horizontal="left"/>
      <protection locked="0"/>
    </xf>
    <xf numFmtId="4" fontId="16" fillId="2" borderId="45" xfId="219" applyNumberFormat="1" applyFont="1" applyFill="1" applyBorder="1" applyAlignment="1" applyProtection="1">
      <alignment horizontal="center"/>
      <protection locked="0"/>
    </xf>
    <xf numFmtId="6" fontId="37" fillId="0" borderId="0" xfId="219" applyNumberFormat="1" applyFont="1" applyProtection="1">
      <protection locked="0"/>
    </xf>
    <xf numFmtId="0" fontId="37" fillId="0" borderId="0" xfId="219" applyFont="1" applyFill="1" applyProtection="1">
      <protection locked="0"/>
    </xf>
    <xf numFmtId="3" fontId="37" fillId="0" borderId="0" xfId="219" applyNumberFormat="1" applyFont="1" applyFill="1" applyProtection="1">
      <protection locked="0"/>
    </xf>
    <xf numFmtId="4" fontId="37" fillId="0" borderId="0" xfId="219" applyNumberFormat="1" applyFont="1" applyProtection="1">
      <protection locked="0"/>
    </xf>
    <xf numFmtId="0" fontId="16" fillId="28" borderId="26" xfId="3" applyFont="1" applyFill="1" applyBorder="1" applyAlignment="1" applyProtection="1">
      <alignment horizontal="center" wrapText="1"/>
      <protection locked="0"/>
    </xf>
    <xf numFmtId="0" fontId="37" fillId="0" borderId="26" xfId="0" applyFont="1" applyBorder="1" applyAlignment="1">
      <alignment wrapText="1"/>
    </xf>
    <xf numFmtId="0" fontId="16" fillId="3" borderId="26" xfId="3" applyFont="1" applyFill="1" applyBorder="1" applyAlignment="1" applyProtection="1">
      <alignment horizontal="center" vertical="center"/>
      <protection locked="0"/>
    </xf>
    <xf numFmtId="0" fontId="37" fillId="3" borderId="26" xfId="0" applyFont="1" applyFill="1" applyBorder="1" applyAlignment="1" applyProtection="1">
      <alignment horizontal="center" vertical="center"/>
      <protection locked="0"/>
    </xf>
    <xf numFmtId="0" fontId="16" fillId="2" borderId="26" xfId="3" applyFont="1" applyFill="1" applyBorder="1" applyAlignment="1" applyProtection="1">
      <alignment horizontal="center" wrapText="1"/>
      <protection locked="0"/>
    </xf>
    <xf numFmtId="0" fontId="37" fillId="0" borderId="26" xfId="0" applyFont="1" applyBorder="1" applyAlignment="1">
      <alignment horizontal="center" wrapText="1"/>
    </xf>
    <xf numFmtId="0" fontId="16" fillId="2" borderId="26" xfId="3" applyFont="1" applyFill="1" applyBorder="1" applyAlignment="1" applyProtection="1">
      <alignment horizontal="center" vertical="center"/>
      <protection locked="0"/>
    </xf>
    <xf numFmtId="0" fontId="37" fillId="2" borderId="26" xfId="0" applyFont="1" applyFill="1" applyBorder="1" applyAlignment="1" applyProtection="1">
      <alignment horizontal="center" vertical="center"/>
      <protection locked="0"/>
    </xf>
    <xf numFmtId="0" fontId="16" fillId="28" borderId="26" xfId="3" applyFont="1" applyFill="1" applyBorder="1" applyAlignment="1" applyProtection="1">
      <alignment horizontal="left" wrapText="1"/>
      <protection locked="0"/>
    </xf>
    <xf numFmtId="0" fontId="37" fillId="0" borderId="26" xfId="0" applyFont="1" applyBorder="1" applyAlignment="1">
      <alignment horizontal="left" wrapText="1"/>
    </xf>
    <xf numFmtId="0" fontId="16" fillId="0" borderId="13" xfId="3" applyFont="1" applyFill="1" applyBorder="1" applyAlignment="1" applyProtection="1">
      <alignment horizontal="left" vertical="center" wrapText="1"/>
      <protection locked="0"/>
    </xf>
    <xf numFmtId="0" fontId="16" fillId="0" borderId="1" xfId="3" applyFont="1" applyFill="1" applyBorder="1" applyAlignment="1" applyProtection="1">
      <alignment horizontal="left" vertical="center" wrapText="1"/>
      <protection locked="0"/>
    </xf>
    <xf numFmtId="0" fontId="16" fillId="0" borderId="2" xfId="3" applyFont="1" applyFill="1" applyBorder="1" applyAlignment="1" applyProtection="1">
      <alignment horizontal="left" vertical="center" wrapText="1"/>
      <protection locked="0"/>
    </xf>
    <xf numFmtId="3" fontId="16" fillId="0" borderId="26" xfId="3" applyNumberFormat="1" applyFont="1" applyFill="1" applyBorder="1" applyAlignment="1" applyProtection="1">
      <alignment horizontal="right" wrapText="1"/>
      <protection locked="0"/>
    </xf>
    <xf numFmtId="0" fontId="37" fillId="0" borderId="26" xfId="0" applyFont="1" applyBorder="1" applyAlignment="1" applyProtection="1">
      <alignment horizontal="right" wrapText="1"/>
      <protection locked="0"/>
    </xf>
    <xf numFmtId="3" fontId="16" fillId="0" borderId="26" xfId="0" applyNumberFormat="1" applyFont="1" applyBorder="1" applyAlignment="1" applyProtection="1">
      <alignment horizontal="right" vertical="center" wrapText="1"/>
    </xf>
    <xf numFmtId="0" fontId="16" fillId="32" borderId="13" xfId="0" applyFont="1" applyFill="1" applyBorder="1" applyAlignment="1" applyProtection="1">
      <alignment horizontal="left" vertical="center" wrapText="1"/>
      <protection locked="0"/>
    </xf>
    <xf numFmtId="0" fontId="37" fillId="32" borderId="1" xfId="0" applyFont="1" applyFill="1" applyBorder="1" applyAlignment="1">
      <alignment horizontal="left" vertical="center" wrapText="1"/>
    </xf>
    <xf numFmtId="0" fontId="16" fillId="33" borderId="26" xfId="0" applyFont="1" applyFill="1" applyBorder="1" applyAlignment="1" applyProtection="1">
      <alignment horizontal="left" vertical="center" wrapText="1"/>
      <protection locked="0"/>
    </xf>
    <xf numFmtId="3" fontId="16" fillId="0" borderId="13" xfId="0" applyNumberFormat="1" applyFont="1" applyBorder="1" applyAlignment="1" applyProtection="1">
      <alignment vertical="center" wrapText="1"/>
      <protection locked="0"/>
    </xf>
    <xf numFmtId="3" fontId="16" fillId="0" borderId="1" xfId="0" applyNumberFormat="1" applyFont="1" applyBorder="1" applyAlignment="1" applyProtection="1">
      <alignment vertical="center" wrapText="1"/>
      <protection locked="0"/>
    </xf>
    <xf numFmtId="0" fontId="37" fillId="0" borderId="1" xfId="0" applyFont="1" applyBorder="1" applyAlignment="1">
      <alignment vertical="center" wrapText="1"/>
    </xf>
    <xf numFmtId="3" fontId="16" fillId="0" borderId="13" xfId="0" applyNumberFormat="1" applyFont="1" applyBorder="1" applyAlignment="1" applyProtection="1">
      <alignment horizontal="center" vertical="center" wrapText="1"/>
      <protection locked="0"/>
    </xf>
    <xf numFmtId="3" fontId="16" fillId="0" borderId="1" xfId="0" applyNumberFormat="1" applyFont="1" applyBorder="1" applyAlignment="1" applyProtection="1">
      <alignment horizontal="center" vertical="center" wrapText="1"/>
      <protection locked="0"/>
    </xf>
    <xf numFmtId="3" fontId="16" fillId="0" borderId="2" xfId="0" applyNumberFormat="1" applyFont="1" applyBorder="1" applyAlignment="1" applyProtection="1">
      <alignment horizontal="center" vertical="center" wrapText="1"/>
      <protection locked="0"/>
    </xf>
    <xf numFmtId="0" fontId="16" fillId="32" borderId="13" xfId="0" applyFont="1" applyFill="1" applyBorder="1" applyAlignment="1" applyProtection="1">
      <alignment horizontal="center" vertical="center" wrapText="1"/>
      <protection locked="0"/>
    </xf>
    <xf numFmtId="0" fontId="16" fillId="32" borderId="2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16" fillId="29" borderId="26" xfId="0" applyFont="1" applyFill="1" applyBorder="1" applyAlignment="1" applyProtection="1">
      <alignment vertical="center" wrapText="1"/>
      <protection locked="0"/>
    </xf>
    <xf numFmtId="0" fontId="37" fillId="0" borderId="26" xfId="0" applyFont="1" applyBorder="1" applyAlignment="1">
      <alignment vertical="center" wrapText="1"/>
    </xf>
    <xf numFmtId="0" fontId="16" fillId="2" borderId="27" xfId="3" applyFont="1" applyFill="1" applyBorder="1" applyAlignment="1" applyProtection="1">
      <alignment horizontal="center" vertical="center" wrapText="1"/>
      <protection locked="0"/>
    </xf>
    <xf numFmtId="0" fontId="16" fillId="2" borderId="28" xfId="3" applyFont="1" applyFill="1" applyBorder="1" applyAlignment="1" applyProtection="1">
      <alignment horizontal="center" vertical="center" wrapText="1"/>
      <protection locked="0"/>
    </xf>
    <xf numFmtId="0" fontId="16" fillId="2" borderId="29" xfId="3" applyFont="1" applyFill="1" applyBorder="1" applyAlignment="1" applyProtection="1">
      <alignment horizontal="center" vertical="center" wrapText="1"/>
      <protection locked="0"/>
    </xf>
    <xf numFmtId="0" fontId="16" fillId="32" borderId="1" xfId="0" applyFont="1" applyFill="1" applyBorder="1" applyAlignment="1" applyProtection="1">
      <alignment horizontal="left" vertical="center" wrapText="1"/>
      <protection locked="0"/>
    </xf>
    <xf numFmtId="3" fontId="16" fillId="0" borderId="13" xfId="0" applyNumberFormat="1" applyFont="1" applyBorder="1" applyAlignment="1" applyProtection="1">
      <alignment vertical="center" wrapText="1"/>
    </xf>
    <xf numFmtId="3" fontId="16" fillId="0" borderId="1" xfId="0" applyNumberFormat="1" applyFont="1" applyBorder="1" applyAlignment="1" applyProtection="1">
      <alignment vertical="center" wrapText="1"/>
    </xf>
    <xf numFmtId="3" fontId="16" fillId="0" borderId="2" xfId="0" applyNumberFormat="1" applyFont="1" applyBorder="1" applyAlignment="1" applyProtection="1">
      <alignment vertical="center" wrapText="1"/>
    </xf>
    <xf numFmtId="0" fontId="16" fillId="29" borderId="45" xfId="0" applyFont="1" applyFill="1" applyBorder="1" applyAlignment="1" applyProtection="1">
      <alignment vertical="center" wrapText="1"/>
      <protection locked="0"/>
    </xf>
    <xf numFmtId="0" fontId="37" fillId="0" borderId="45" xfId="0" applyFont="1" applyBorder="1" applyAlignment="1">
      <alignment vertical="center" wrapText="1"/>
    </xf>
    <xf numFmtId="0" fontId="16" fillId="2" borderId="27" xfId="219" applyFont="1" applyFill="1" applyBorder="1" applyAlignment="1" applyProtection="1">
      <alignment horizontal="center" vertical="center" wrapText="1"/>
      <protection locked="0"/>
    </xf>
    <xf numFmtId="0" fontId="16" fillId="2" borderId="28" xfId="219" applyFont="1" applyFill="1" applyBorder="1" applyAlignment="1" applyProtection="1">
      <alignment horizontal="center" vertical="center" wrapText="1"/>
      <protection locked="0"/>
    </xf>
    <xf numFmtId="0" fontId="16" fillId="2" borderId="29" xfId="219" applyFont="1" applyFill="1" applyBorder="1" applyAlignment="1" applyProtection="1">
      <alignment horizontal="center" vertical="center" wrapText="1"/>
      <protection locked="0"/>
    </xf>
    <xf numFmtId="3" fontId="16" fillId="0" borderId="45" xfId="0" applyNumberFormat="1" applyFont="1" applyBorder="1" applyAlignment="1" applyProtection="1">
      <alignment horizontal="right" vertical="center" wrapText="1"/>
    </xf>
    <xf numFmtId="0" fontId="16" fillId="0" borderId="13" xfId="219" applyFont="1" applyFill="1" applyBorder="1" applyAlignment="1" applyProtection="1">
      <alignment horizontal="left" vertical="center" wrapText="1"/>
      <protection locked="0"/>
    </xf>
    <xf numFmtId="0" fontId="16" fillId="0" borderId="1" xfId="219" applyFont="1" applyFill="1" applyBorder="1" applyAlignment="1" applyProtection="1">
      <alignment horizontal="left" vertical="center" wrapText="1"/>
      <protection locked="0"/>
    </xf>
    <xf numFmtId="0" fontId="16" fillId="0" borderId="2" xfId="219" applyFont="1" applyFill="1" applyBorder="1" applyAlignment="1" applyProtection="1">
      <alignment horizontal="left" vertical="center" wrapText="1"/>
      <protection locked="0"/>
    </xf>
    <xf numFmtId="3" fontId="16" fillId="0" borderId="45" xfId="219" applyNumberFormat="1" applyFont="1" applyFill="1" applyBorder="1" applyAlignment="1" applyProtection="1">
      <alignment horizontal="right" wrapText="1"/>
      <protection locked="0"/>
    </xf>
    <xf numFmtId="0" fontId="37" fillId="0" borderId="45" xfId="0" applyFont="1" applyBorder="1" applyAlignment="1" applyProtection="1">
      <alignment horizontal="right" wrapText="1"/>
      <protection locked="0"/>
    </xf>
    <xf numFmtId="0" fontId="16" fillId="28" borderId="45" xfId="219" applyFont="1" applyFill="1" applyBorder="1" applyAlignment="1" applyProtection="1">
      <alignment horizontal="left" wrapText="1"/>
      <protection locked="0"/>
    </xf>
    <xf numFmtId="0" fontId="37" fillId="0" borderId="45" xfId="0" applyFont="1" applyBorder="1" applyAlignment="1">
      <alignment horizontal="left" wrapText="1"/>
    </xf>
    <xf numFmtId="0" fontId="16" fillId="33" borderId="45" xfId="0" applyFont="1" applyFill="1" applyBorder="1" applyAlignment="1" applyProtection="1">
      <alignment horizontal="left" vertical="center" wrapText="1"/>
      <protection locked="0"/>
    </xf>
    <xf numFmtId="0" fontId="16" fillId="28" borderId="45" xfId="219" applyFont="1" applyFill="1" applyBorder="1" applyAlignment="1" applyProtection="1">
      <alignment horizontal="center" wrapText="1"/>
      <protection locked="0"/>
    </xf>
    <xf numFmtId="0" fontId="37" fillId="0" borderId="45" xfId="0" applyFont="1" applyBorder="1" applyAlignment="1">
      <alignment wrapText="1"/>
    </xf>
    <xf numFmtId="0" fontId="16" fillId="3" borderId="45" xfId="219" applyFont="1" applyFill="1" applyBorder="1" applyAlignment="1" applyProtection="1">
      <alignment horizontal="center" vertical="center"/>
      <protection locked="0"/>
    </xf>
    <xf numFmtId="0" fontId="37" fillId="3" borderId="45" xfId="0" applyFont="1" applyFill="1" applyBorder="1" applyAlignment="1" applyProtection="1">
      <alignment horizontal="center" vertical="center"/>
      <protection locked="0"/>
    </xf>
    <xf numFmtId="0" fontId="16" fillId="2" borderId="45" xfId="219" applyFont="1" applyFill="1" applyBorder="1" applyAlignment="1" applyProtection="1">
      <alignment horizontal="center" wrapText="1"/>
      <protection locked="0"/>
    </xf>
    <xf numFmtId="0" fontId="37" fillId="0" borderId="45" xfId="0" applyFont="1" applyBorder="1" applyAlignment="1">
      <alignment horizontal="center" wrapText="1"/>
    </xf>
    <xf numFmtId="0" fontId="16" fillId="2" borderId="45" xfId="219" applyFont="1" applyFill="1" applyBorder="1" applyAlignment="1" applyProtection="1">
      <alignment horizontal="center" vertical="center"/>
      <protection locked="0"/>
    </xf>
    <xf numFmtId="0" fontId="37" fillId="2" borderId="45" xfId="0" applyFont="1" applyFill="1" applyBorder="1" applyAlignment="1" applyProtection="1">
      <alignment horizontal="center" vertical="center"/>
      <protection locked="0"/>
    </xf>
    <xf numFmtId="0" fontId="15" fillId="31" borderId="39" xfId="1" applyFont="1" applyFill="1" applyBorder="1" applyAlignment="1">
      <alignment horizontal="center" vertical="center" wrapText="1"/>
    </xf>
    <xf numFmtId="0" fontId="15" fillId="31" borderId="46" xfId="1" applyFont="1" applyFill="1" applyBorder="1" applyAlignment="1">
      <alignment horizontal="center" vertical="center" wrapText="1"/>
    </xf>
    <xf numFmtId="0" fontId="15" fillId="31" borderId="40" xfId="1" applyFont="1" applyFill="1" applyBorder="1" applyAlignment="1">
      <alignment horizontal="center" vertical="center" wrapText="1"/>
    </xf>
    <xf numFmtId="0" fontId="57" fillId="34" borderId="15" xfId="1" applyFont="1" applyFill="1" applyBorder="1" applyAlignment="1">
      <alignment horizontal="left" vertical="center" wrapText="1"/>
    </xf>
    <xf numFmtId="0" fontId="57" fillId="34" borderId="14" xfId="1" applyFont="1" applyFill="1" applyBorder="1" applyAlignment="1">
      <alignment horizontal="left" vertical="center" wrapText="1"/>
    </xf>
    <xf numFmtId="0" fontId="57" fillId="34" borderId="20" xfId="1" applyFont="1" applyFill="1" applyBorder="1" applyAlignment="1">
      <alignment horizontal="left" vertical="center" wrapText="1"/>
    </xf>
    <xf numFmtId="0" fontId="58" fillId="34" borderId="35" xfId="1" applyFont="1" applyFill="1" applyBorder="1" applyAlignment="1">
      <alignment horizontal="center" vertical="center" wrapText="1"/>
    </xf>
    <xf numFmtId="0" fontId="58" fillId="34" borderId="26" xfId="1" applyFont="1" applyFill="1" applyBorder="1" applyAlignment="1">
      <alignment horizontal="center" vertical="center" wrapText="1"/>
    </xf>
    <xf numFmtId="0" fontId="58" fillId="34" borderId="26" xfId="1" applyFont="1" applyFill="1" applyBorder="1" applyAlignment="1">
      <alignment horizontal="center" vertical="center"/>
    </xf>
    <xf numFmtId="0" fontId="58" fillId="34" borderId="36" xfId="1" applyFont="1" applyFill="1" applyBorder="1" applyAlignment="1">
      <alignment horizontal="center" vertical="center" wrapText="1"/>
    </xf>
    <xf numFmtId="0" fontId="62" fillId="34" borderId="15" xfId="1" applyFont="1" applyFill="1" applyBorder="1" applyAlignment="1">
      <alignment horizontal="left" vertical="center" wrapText="1"/>
    </xf>
    <xf numFmtId="0" fontId="62" fillId="34" borderId="14" xfId="1" applyFont="1" applyFill="1" applyBorder="1" applyAlignment="1">
      <alignment horizontal="left" vertical="center" wrapText="1"/>
    </xf>
    <xf numFmtId="0" fontId="62" fillId="34" borderId="20" xfId="1" applyFont="1" applyFill="1" applyBorder="1" applyAlignment="1">
      <alignment horizontal="left" vertical="center" wrapText="1"/>
    </xf>
    <xf numFmtId="0" fontId="65" fillId="34" borderId="26" xfId="1" applyFont="1" applyFill="1" applyBorder="1" applyAlignment="1">
      <alignment horizontal="center" vertical="center" wrapText="1"/>
    </xf>
    <xf numFmtId="0" fontId="65" fillId="34" borderId="35" xfId="1" applyFont="1" applyFill="1" applyBorder="1" applyAlignment="1">
      <alignment horizontal="center" vertical="center" wrapText="1"/>
    </xf>
    <xf numFmtId="0" fontId="65" fillId="34" borderId="26" xfId="1" applyFont="1" applyFill="1" applyBorder="1" applyAlignment="1">
      <alignment horizontal="center" vertical="center"/>
    </xf>
    <xf numFmtId="0" fontId="58" fillId="34" borderId="27" xfId="1" applyFont="1" applyFill="1" applyBorder="1" applyAlignment="1">
      <alignment horizontal="center" vertical="center" wrapText="1"/>
    </xf>
    <xf numFmtId="0" fontId="58" fillId="34" borderId="29" xfId="1" applyFont="1" applyFill="1" applyBorder="1" applyAlignment="1">
      <alignment horizontal="center" vertical="center" wrapText="1"/>
    </xf>
    <xf numFmtId="10" fontId="58" fillId="34" borderId="26" xfId="1" applyNumberFormat="1" applyFont="1" applyFill="1" applyBorder="1" applyAlignment="1">
      <alignment horizontal="center" vertical="center" wrapText="1"/>
    </xf>
    <xf numFmtId="0" fontId="65" fillId="34" borderId="36" xfId="1" applyFont="1" applyFill="1" applyBorder="1" applyAlignment="1">
      <alignment horizontal="center" vertical="center" wrapText="1"/>
    </xf>
    <xf numFmtId="0" fontId="15" fillId="0" borderId="30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center" vertical="center" wrapText="1"/>
    </xf>
    <xf numFmtId="0" fontId="15" fillId="0" borderId="27" xfId="1" applyFont="1" applyFill="1" applyBorder="1" applyAlignment="1">
      <alignment horizontal="center" vertical="center" wrapText="1"/>
    </xf>
    <xf numFmtId="0" fontId="15" fillId="0" borderId="29" xfId="1" applyFont="1" applyFill="1" applyBorder="1" applyAlignment="1">
      <alignment horizontal="center" vertical="center" wrapText="1"/>
    </xf>
    <xf numFmtId="0" fontId="15" fillId="0" borderId="33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37" xfId="1" applyFont="1" applyFill="1" applyBorder="1" applyAlignment="1">
      <alignment horizontal="center" vertical="center" wrapText="1"/>
    </xf>
    <xf numFmtId="0" fontId="15" fillId="0" borderId="38" xfId="1" applyFont="1" applyFill="1" applyBorder="1" applyAlignment="1">
      <alignment horizontal="center" vertical="center" wrapText="1"/>
    </xf>
    <xf numFmtId="0" fontId="57" fillId="34" borderId="26" xfId="1" applyFont="1" applyFill="1" applyBorder="1" applyAlignment="1">
      <alignment horizontal="left" vertical="center" wrapText="1"/>
    </xf>
    <xf numFmtId="10" fontId="65" fillId="34" borderId="26" xfId="1" applyNumberFormat="1" applyFont="1" applyFill="1" applyBorder="1" applyAlignment="1">
      <alignment horizontal="center" vertical="center" wrapText="1"/>
    </xf>
    <xf numFmtId="0" fontId="65" fillId="34" borderId="39" xfId="1" applyFont="1" applyFill="1" applyBorder="1" applyAlignment="1">
      <alignment horizontal="center" vertical="center" wrapText="1"/>
    </xf>
    <xf numFmtId="0" fontId="65" fillId="34" borderId="40" xfId="1" applyFont="1" applyFill="1" applyBorder="1" applyAlignment="1">
      <alignment horizontal="center" vertical="center" wrapText="1"/>
    </xf>
    <xf numFmtId="0" fontId="41" fillId="35" borderId="15" xfId="116" applyFont="1" applyFill="1" applyBorder="1" applyAlignment="1">
      <alignment horizontal="center" vertical="center" wrapText="1"/>
    </xf>
    <xf numFmtId="0" fontId="41" fillId="35" borderId="14" xfId="116" applyFont="1" applyFill="1" applyBorder="1" applyAlignment="1">
      <alignment horizontal="center" vertical="center" wrapText="1"/>
    </xf>
    <xf numFmtId="0" fontId="41" fillId="35" borderId="20" xfId="116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0" fontId="41" fillId="35" borderId="17" xfId="116" applyFont="1" applyFill="1" applyBorder="1" applyAlignment="1">
      <alignment horizontal="center" vertical="center" wrapText="1"/>
    </xf>
    <xf numFmtId="0" fontId="41" fillId="35" borderId="18" xfId="116" applyFont="1" applyFill="1" applyBorder="1" applyAlignment="1">
      <alignment horizontal="center" vertical="center" wrapText="1"/>
    </xf>
    <xf numFmtId="0" fontId="41" fillId="35" borderId="19" xfId="116" applyFont="1" applyFill="1" applyBorder="1" applyAlignment="1">
      <alignment horizontal="center" vertical="center" wrapText="1"/>
    </xf>
    <xf numFmtId="0" fontId="42" fillId="0" borderId="1" xfId="2" applyFont="1" applyFill="1" applyBorder="1" applyAlignment="1">
      <alignment horizontal="center" vertical="center" wrapText="1"/>
    </xf>
    <xf numFmtId="0" fontId="41" fillId="35" borderId="27" xfId="116" applyFont="1" applyFill="1" applyBorder="1" applyAlignment="1">
      <alignment horizontal="center" vertical="center" wrapText="1"/>
    </xf>
    <xf numFmtId="0" fontId="41" fillId="35" borderId="28" xfId="116" applyFont="1" applyFill="1" applyBorder="1" applyAlignment="1">
      <alignment horizontal="center" vertical="center" wrapText="1"/>
    </xf>
    <xf numFmtId="0" fontId="41" fillId="35" borderId="29" xfId="116" applyFont="1" applyFill="1" applyBorder="1" applyAlignment="1">
      <alignment horizontal="center" vertical="center" wrapText="1"/>
    </xf>
    <xf numFmtId="17" fontId="43" fillId="0" borderId="21" xfId="2" applyNumberFormat="1" applyFont="1" applyFill="1" applyBorder="1" applyAlignment="1">
      <alignment horizontal="center" vertical="center" wrapText="1"/>
    </xf>
    <xf numFmtId="0" fontId="43" fillId="0" borderId="25" xfId="2" applyNumberFormat="1" applyFont="1" applyFill="1" applyBorder="1" applyAlignment="1">
      <alignment horizontal="center" vertical="center" wrapText="1"/>
    </xf>
    <xf numFmtId="0" fontId="51" fillId="0" borderId="0" xfId="213" applyFont="1" applyAlignment="1">
      <alignment horizontal="left" vertical="center"/>
    </xf>
  </cellXfs>
  <cellStyles count="220">
    <cellStyle name="20% - Accent1 2" xfId="5" xr:uid="{00000000-0005-0000-0000-000000000000}"/>
    <cellStyle name="20% - Accent1 3" xfId="6" xr:uid="{00000000-0005-0000-0000-000001000000}"/>
    <cellStyle name="20% - Accent1 4" xfId="7" xr:uid="{00000000-0005-0000-0000-000002000000}"/>
    <cellStyle name="20% - Accent2 2" xfId="8" xr:uid="{00000000-0005-0000-0000-000003000000}"/>
    <cellStyle name="20% - Accent2 3" xfId="9" xr:uid="{00000000-0005-0000-0000-000004000000}"/>
    <cellStyle name="20% - Accent2 4" xfId="10" xr:uid="{00000000-0005-0000-0000-000005000000}"/>
    <cellStyle name="20% - Accent3 2" xfId="11" xr:uid="{00000000-0005-0000-0000-000006000000}"/>
    <cellStyle name="20% - Accent3 3" xfId="12" xr:uid="{00000000-0005-0000-0000-000007000000}"/>
    <cellStyle name="20% - Accent3 4" xfId="13" xr:uid="{00000000-0005-0000-0000-000008000000}"/>
    <cellStyle name="20% - Accent4 2" xfId="14" xr:uid="{00000000-0005-0000-0000-000009000000}"/>
    <cellStyle name="20% - Accent4 3" xfId="15" xr:uid="{00000000-0005-0000-0000-00000A000000}"/>
    <cellStyle name="20% - Accent4 4" xfId="16" xr:uid="{00000000-0005-0000-0000-00000B000000}"/>
    <cellStyle name="20% - Accent5 2" xfId="17" xr:uid="{00000000-0005-0000-0000-00000C000000}"/>
    <cellStyle name="20% - Accent5 3" xfId="18" xr:uid="{00000000-0005-0000-0000-00000D000000}"/>
    <cellStyle name="20% - Accent5 4" xfId="19" xr:uid="{00000000-0005-0000-0000-00000E000000}"/>
    <cellStyle name="20% - Accent6 2" xfId="20" xr:uid="{00000000-0005-0000-0000-00000F000000}"/>
    <cellStyle name="20% - Accent6 3" xfId="21" xr:uid="{00000000-0005-0000-0000-000010000000}"/>
    <cellStyle name="20% - Accent6 4" xfId="22" xr:uid="{00000000-0005-0000-0000-000011000000}"/>
    <cellStyle name="40% - Accent1 2" xfId="23" xr:uid="{00000000-0005-0000-0000-000012000000}"/>
    <cellStyle name="40% - Accent1 3" xfId="24" xr:uid="{00000000-0005-0000-0000-000013000000}"/>
    <cellStyle name="40% - Accent1 4" xfId="25" xr:uid="{00000000-0005-0000-0000-000014000000}"/>
    <cellStyle name="40% - Accent2 2" xfId="26" xr:uid="{00000000-0005-0000-0000-000015000000}"/>
    <cellStyle name="40% - Accent2 3" xfId="27" xr:uid="{00000000-0005-0000-0000-000016000000}"/>
    <cellStyle name="40% - Accent2 4" xfId="28" xr:uid="{00000000-0005-0000-0000-000017000000}"/>
    <cellStyle name="40% - Accent3 2" xfId="29" xr:uid="{00000000-0005-0000-0000-000018000000}"/>
    <cellStyle name="40% - Accent3 3" xfId="30" xr:uid="{00000000-0005-0000-0000-000019000000}"/>
    <cellStyle name="40% - Accent3 4" xfId="31" xr:uid="{00000000-0005-0000-0000-00001A000000}"/>
    <cellStyle name="40% - Accent4 2" xfId="32" xr:uid="{00000000-0005-0000-0000-00001B000000}"/>
    <cellStyle name="40% - Accent4 3" xfId="33" xr:uid="{00000000-0005-0000-0000-00001C000000}"/>
    <cellStyle name="40% - Accent4 4" xfId="34" xr:uid="{00000000-0005-0000-0000-00001D000000}"/>
    <cellStyle name="40% - Accent5 2" xfId="35" xr:uid="{00000000-0005-0000-0000-00001E000000}"/>
    <cellStyle name="40% - Accent5 3" xfId="36" xr:uid="{00000000-0005-0000-0000-00001F000000}"/>
    <cellStyle name="40% - Accent5 4" xfId="37" xr:uid="{00000000-0005-0000-0000-000020000000}"/>
    <cellStyle name="40% - Accent6 2" xfId="38" xr:uid="{00000000-0005-0000-0000-000021000000}"/>
    <cellStyle name="40% - Accent6 3" xfId="39" xr:uid="{00000000-0005-0000-0000-000022000000}"/>
    <cellStyle name="40% - Accent6 4" xfId="40" xr:uid="{00000000-0005-0000-0000-000023000000}"/>
    <cellStyle name="60% - Accent1 2" xfId="41" xr:uid="{00000000-0005-0000-0000-000024000000}"/>
    <cellStyle name="60% - Accent1 3" xfId="42" xr:uid="{00000000-0005-0000-0000-000025000000}"/>
    <cellStyle name="60% - Accent1 4" xfId="43" xr:uid="{00000000-0005-0000-0000-000026000000}"/>
    <cellStyle name="60% - Accent2 2" xfId="44" xr:uid="{00000000-0005-0000-0000-000027000000}"/>
    <cellStyle name="60% - Accent2 3" xfId="45" xr:uid="{00000000-0005-0000-0000-000028000000}"/>
    <cellStyle name="60% - Accent2 4" xfId="46" xr:uid="{00000000-0005-0000-0000-000029000000}"/>
    <cellStyle name="60% - Accent3 2" xfId="47" xr:uid="{00000000-0005-0000-0000-00002A000000}"/>
    <cellStyle name="60% - Accent3 3" xfId="48" xr:uid="{00000000-0005-0000-0000-00002B000000}"/>
    <cellStyle name="60% - Accent3 4" xfId="49" xr:uid="{00000000-0005-0000-0000-00002C000000}"/>
    <cellStyle name="60% - Accent4 2" xfId="50" xr:uid="{00000000-0005-0000-0000-00002D000000}"/>
    <cellStyle name="60% - Accent4 3" xfId="51" xr:uid="{00000000-0005-0000-0000-00002E000000}"/>
    <cellStyle name="60% - Accent4 4" xfId="52" xr:uid="{00000000-0005-0000-0000-00002F000000}"/>
    <cellStyle name="60% - Accent5 2" xfId="53" xr:uid="{00000000-0005-0000-0000-000030000000}"/>
    <cellStyle name="60% - Accent5 3" xfId="54" xr:uid="{00000000-0005-0000-0000-000031000000}"/>
    <cellStyle name="60% - Accent5 4" xfId="55" xr:uid="{00000000-0005-0000-0000-000032000000}"/>
    <cellStyle name="60% - Accent6 2" xfId="56" xr:uid="{00000000-0005-0000-0000-000033000000}"/>
    <cellStyle name="60% - Accent6 3" xfId="57" xr:uid="{00000000-0005-0000-0000-000034000000}"/>
    <cellStyle name="60% - Accent6 4" xfId="58" xr:uid="{00000000-0005-0000-0000-000035000000}"/>
    <cellStyle name="Accent1 2" xfId="59" xr:uid="{00000000-0005-0000-0000-000036000000}"/>
    <cellStyle name="Accent1 3" xfId="60" xr:uid="{00000000-0005-0000-0000-000037000000}"/>
    <cellStyle name="Accent1 4" xfId="61" xr:uid="{00000000-0005-0000-0000-000038000000}"/>
    <cellStyle name="Accent2 2" xfId="62" xr:uid="{00000000-0005-0000-0000-000039000000}"/>
    <cellStyle name="Accent2 3" xfId="63" xr:uid="{00000000-0005-0000-0000-00003A000000}"/>
    <cellStyle name="Accent2 4" xfId="64" xr:uid="{00000000-0005-0000-0000-00003B000000}"/>
    <cellStyle name="Accent3 2" xfId="65" xr:uid="{00000000-0005-0000-0000-00003C000000}"/>
    <cellStyle name="Accent3 3" xfId="66" xr:uid="{00000000-0005-0000-0000-00003D000000}"/>
    <cellStyle name="Accent3 4" xfId="67" xr:uid="{00000000-0005-0000-0000-00003E000000}"/>
    <cellStyle name="Accent4 2" xfId="68" xr:uid="{00000000-0005-0000-0000-00003F000000}"/>
    <cellStyle name="Accent4 3" xfId="69" xr:uid="{00000000-0005-0000-0000-000040000000}"/>
    <cellStyle name="Accent4 4" xfId="70" xr:uid="{00000000-0005-0000-0000-000041000000}"/>
    <cellStyle name="Accent5 2" xfId="71" xr:uid="{00000000-0005-0000-0000-000042000000}"/>
    <cellStyle name="Accent5 3" xfId="72" xr:uid="{00000000-0005-0000-0000-000043000000}"/>
    <cellStyle name="Accent5 4" xfId="73" xr:uid="{00000000-0005-0000-0000-000044000000}"/>
    <cellStyle name="Accent6 2" xfId="74" xr:uid="{00000000-0005-0000-0000-000045000000}"/>
    <cellStyle name="Accent6 3" xfId="75" xr:uid="{00000000-0005-0000-0000-000046000000}"/>
    <cellStyle name="Accent6 4" xfId="76" xr:uid="{00000000-0005-0000-0000-000047000000}"/>
    <cellStyle name="Bad 2" xfId="77" xr:uid="{00000000-0005-0000-0000-000048000000}"/>
    <cellStyle name="Bad 3" xfId="78" xr:uid="{00000000-0005-0000-0000-000049000000}"/>
    <cellStyle name="Bad 4" xfId="79" xr:uid="{00000000-0005-0000-0000-00004A000000}"/>
    <cellStyle name="Calculation 2" xfId="80" xr:uid="{00000000-0005-0000-0000-00004B000000}"/>
    <cellStyle name="Calculation 3" xfId="81" xr:uid="{00000000-0005-0000-0000-00004C000000}"/>
    <cellStyle name="Calculation 4" xfId="82" xr:uid="{00000000-0005-0000-0000-00004D000000}"/>
    <cellStyle name="Check Cell 2" xfId="83" xr:uid="{00000000-0005-0000-0000-00004E000000}"/>
    <cellStyle name="Check Cell 3" xfId="84" xr:uid="{00000000-0005-0000-0000-00004F000000}"/>
    <cellStyle name="Check Cell 4" xfId="85" xr:uid="{00000000-0005-0000-0000-000050000000}"/>
    <cellStyle name="Comma" xfId="134" builtinId="3"/>
    <cellStyle name="Comma 2" xfId="136" xr:uid="{00000000-0005-0000-0000-000052000000}"/>
    <cellStyle name="Comma 2 2" xfId="138" xr:uid="{00000000-0005-0000-0000-000053000000}"/>
    <cellStyle name="Comma 2 3" xfId="141" xr:uid="{00000000-0005-0000-0000-000054000000}"/>
    <cellStyle name="Comma 2 4" xfId="146" xr:uid="{00000000-0005-0000-0000-000055000000}"/>
    <cellStyle name="Comma 3" xfId="149" xr:uid="{00000000-0005-0000-0000-000056000000}"/>
    <cellStyle name="Comma 4" xfId="214" xr:uid="{5A2D0BFB-A6E9-47AE-B14A-25B1B5D08AD5}"/>
    <cellStyle name="Comma 5" xfId="218" xr:uid="{1BA5EC8E-9BB7-47AA-9B40-7A091F1EABEB}"/>
    <cellStyle name="Explanatory Text 2" xfId="86" xr:uid="{00000000-0005-0000-0000-000057000000}"/>
    <cellStyle name="Explanatory Text 3" xfId="87" xr:uid="{00000000-0005-0000-0000-000058000000}"/>
    <cellStyle name="Explanatory Text 4" xfId="88" xr:uid="{00000000-0005-0000-0000-000059000000}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Good 2" xfId="89" xr:uid="{00000000-0005-0000-0000-000079000000}"/>
    <cellStyle name="Good 3" xfId="90" xr:uid="{00000000-0005-0000-0000-00007A000000}"/>
    <cellStyle name="Good 4" xfId="91" xr:uid="{00000000-0005-0000-0000-00007B000000}"/>
    <cellStyle name="Heading 1 2" xfId="92" xr:uid="{00000000-0005-0000-0000-00007C000000}"/>
    <cellStyle name="Heading 1 3" xfId="93" xr:uid="{00000000-0005-0000-0000-00007D000000}"/>
    <cellStyle name="Heading 1 4" xfId="94" xr:uid="{00000000-0005-0000-0000-00007E000000}"/>
    <cellStyle name="Heading 2 2" xfId="95" xr:uid="{00000000-0005-0000-0000-00007F000000}"/>
    <cellStyle name="Heading 2 3" xfId="96" xr:uid="{00000000-0005-0000-0000-000080000000}"/>
    <cellStyle name="Heading 2 4" xfId="97" xr:uid="{00000000-0005-0000-0000-000081000000}"/>
    <cellStyle name="Heading 3 2" xfId="98" xr:uid="{00000000-0005-0000-0000-000082000000}"/>
    <cellStyle name="Heading 3 3" xfId="99" xr:uid="{00000000-0005-0000-0000-000083000000}"/>
    <cellStyle name="Heading 3 4" xfId="100" xr:uid="{00000000-0005-0000-0000-000084000000}"/>
    <cellStyle name="Heading 4 2" xfId="101" xr:uid="{00000000-0005-0000-0000-000085000000}"/>
    <cellStyle name="Heading 4 3" xfId="102" xr:uid="{00000000-0005-0000-0000-000086000000}"/>
    <cellStyle name="Heading 4 4" xfId="103" xr:uid="{00000000-0005-0000-0000-000087000000}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Input 2" xfId="104" xr:uid="{00000000-0005-0000-0000-0000A7000000}"/>
    <cellStyle name="Input 3" xfId="105" xr:uid="{00000000-0005-0000-0000-0000A8000000}"/>
    <cellStyle name="Input 4" xfId="106" xr:uid="{00000000-0005-0000-0000-0000A9000000}"/>
    <cellStyle name="Linked Cell 2" xfId="107" xr:uid="{00000000-0005-0000-0000-0000AA000000}"/>
    <cellStyle name="Linked Cell 3" xfId="108" xr:uid="{00000000-0005-0000-0000-0000AB000000}"/>
    <cellStyle name="Linked Cell 4" xfId="109" xr:uid="{00000000-0005-0000-0000-0000AC000000}"/>
    <cellStyle name="Neutral 2" xfId="110" xr:uid="{00000000-0005-0000-0000-0000AD000000}"/>
    <cellStyle name="Neutral 3" xfId="111" xr:uid="{00000000-0005-0000-0000-0000AE000000}"/>
    <cellStyle name="Neutral 4" xfId="112" xr:uid="{00000000-0005-0000-0000-0000AF000000}"/>
    <cellStyle name="Normal" xfId="0" builtinId="0"/>
    <cellStyle name="Normal 10" xfId="213" xr:uid="{45AC38A5-AD16-44A0-B4AA-42D9EA1812AC}"/>
    <cellStyle name="Normal 11" xfId="217" xr:uid="{B1691BC6-9884-4E69-8A62-91989C921F20}"/>
    <cellStyle name="Normal 2" xfId="1" xr:uid="{00000000-0005-0000-0000-0000B1000000}"/>
    <cellStyle name="Normal 2 2" xfId="113" xr:uid="{00000000-0005-0000-0000-0000B2000000}"/>
    <cellStyle name="Normal 2 3" xfId="114" xr:uid="{00000000-0005-0000-0000-0000B3000000}"/>
    <cellStyle name="Normal 2 4" xfId="115" xr:uid="{00000000-0005-0000-0000-0000B4000000}"/>
    <cellStyle name="Normal 3" xfId="2" xr:uid="{00000000-0005-0000-0000-0000B5000000}"/>
    <cellStyle name="Normal 3 2" xfId="116" xr:uid="{00000000-0005-0000-0000-0000B6000000}"/>
    <cellStyle name="Normal 4" xfId="3" xr:uid="{00000000-0005-0000-0000-0000B7000000}"/>
    <cellStyle name="Normal 4 2" xfId="140" xr:uid="{00000000-0005-0000-0000-0000B8000000}"/>
    <cellStyle name="Normal 4 3" xfId="143" xr:uid="{00000000-0005-0000-0000-0000B9000000}"/>
    <cellStyle name="Normal 4 4" xfId="145" xr:uid="{00000000-0005-0000-0000-0000BA000000}"/>
    <cellStyle name="Normal 4 5" xfId="150" xr:uid="{00000000-0005-0000-0000-0000BB000000}"/>
    <cellStyle name="Normal 4 6" xfId="219" xr:uid="{4640D6A5-E863-40AD-A145-F3F12AEBBAE7}"/>
    <cellStyle name="Normal 5" xfId="4" xr:uid="{00000000-0005-0000-0000-0000BC000000}"/>
    <cellStyle name="Normal 5 2" xfId="144" xr:uid="{00000000-0005-0000-0000-0000BD000000}"/>
    <cellStyle name="Normal 5 3" xfId="147" xr:uid="{00000000-0005-0000-0000-0000BE000000}"/>
    <cellStyle name="Normal 6" xfId="132" xr:uid="{00000000-0005-0000-0000-0000BF000000}"/>
    <cellStyle name="Normal 7" xfId="135" xr:uid="{00000000-0005-0000-0000-0000C0000000}"/>
    <cellStyle name="Normal 8" xfId="137" xr:uid="{00000000-0005-0000-0000-0000C1000000}"/>
    <cellStyle name="Normal 8 2" xfId="139" xr:uid="{00000000-0005-0000-0000-0000C2000000}"/>
    <cellStyle name="Normal 9" xfId="148" xr:uid="{00000000-0005-0000-0000-0000C3000000}"/>
    <cellStyle name="Note 2" xfId="117" xr:uid="{00000000-0005-0000-0000-0000C4000000}"/>
    <cellStyle name="Note 3" xfId="118" xr:uid="{00000000-0005-0000-0000-0000C5000000}"/>
    <cellStyle name="Note 4" xfId="119" xr:uid="{00000000-0005-0000-0000-0000C6000000}"/>
    <cellStyle name="Output 2" xfId="120" xr:uid="{00000000-0005-0000-0000-0000C7000000}"/>
    <cellStyle name="Output 3" xfId="121" xr:uid="{00000000-0005-0000-0000-0000C8000000}"/>
    <cellStyle name="Output 4" xfId="122" xr:uid="{00000000-0005-0000-0000-0000C9000000}"/>
    <cellStyle name="Percent" xfId="142" builtinId="5"/>
    <cellStyle name="Percent 2" xfId="215" xr:uid="{90C080F1-EBF5-402B-8ED4-C97241F954E7}"/>
    <cellStyle name="Percent 3" xfId="216" xr:uid="{E09F3C01-7370-4125-A969-2892BB9BF534}"/>
    <cellStyle name="TableStyleLight1" xfId="133" xr:uid="{00000000-0005-0000-0000-0000CB000000}"/>
    <cellStyle name="Title 2" xfId="123" xr:uid="{00000000-0005-0000-0000-0000CC000000}"/>
    <cellStyle name="Title 3" xfId="124" xr:uid="{00000000-0005-0000-0000-0000CD000000}"/>
    <cellStyle name="Title 4" xfId="125" xr:uid="{00000000-0005-0000-0000-0000CE000000}"/>
    <cellStyle name="Total 2" xfId="126" xr:uid="{00000000-0005-0000-0000-0000CF000000}"/>
    <cellStyle name="Total 3" xfId="127" xr:uid="{00000000-0005-0000-0000-0000D0000000}"/>
    <cellStyle name="Total 4" xfId="128" xr:uid="{00000000-0005-0000-0000-0000D1000000}"/>
    <cellStyle name="Warning Text 2" xfId="129" xr:uid="{00000000-0005-0000-0000-0000D2000000}"/>
    <cellStyle name="Warning Text 3" xfId="130" xr:uid="{00000000-0005-0000-0000-0000D3000000}"/>
    <cellStyle name="Warning Text 4" xfId="131" xr:uid="{00000000-0005-0000-0000-0000D4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Medium4"/>
  <colors>
    <mruColors>
      <color rgb="FF3366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0"/>
  <sheetViews>
    <sheetView zoomScale="60" zoomScaleNormal="60" workbookViewId="0">
      <pane xSplit="2" ySplit="6" topLeftCell="C49" activePane="bottomRight" state="frozen"/>
      <selection pane="topRight" activeCell="M61" sqref="M61"/>
      <selection pane="bottomLeft" activeCell="M61" sqref="M61"/>
      <selection pane="bottomRight" activeCell="G82" sqref="G82"/>
    </sheetView>
  </sheetViews>
  <sheetFormatPr defaultColWidth="9" defaultRowHeight="14.4" x14ac:dyDescent="0.3"/>
  <cols>
    <col min="1" max="1" width="38.69921875" style="11" customWidth="1"/>
    <col min="2" max="2" width="16.3984375" style="1" customWidth="1"/>
    <col min="3" max="3" width="30.5" style="1" customWidth="1"/>
    <col min="4" max="4" width="15.69921875" style="1" customWidth="1"/>
    <col min="5" max="5" width="7.69921875" style="1" bestFit="1" customWidth="1"/>
    <col min="6" max="6" width="6.69921875" style="1" customWidth="1"/>
    <col min="7" max="7" width="12.69921875" style="1" bestFit="1" customWidth="1"/>
    <col min="8" max="8" width="45.5" style="1" customWidth="1"/>
    <col min="9" max="9" width="7.59765625" style="1" bestFit="1" customWidth="1"/>
    <col min="10" max="10" width="7.5" style="1" bestFit="1" customWidth="1"/>
    <col min="11" max="11" width="7.69921875" style="1" customWidth="1"/>
    <col min="12" max="12" width="11.19921875" style="1" customWidth="1"/>
    <col min="13" max="13" width="31.19921875" style="1" customWidth="1"/>
    <col min="14" max="14" width="13" style="1" bestFit="1" customWidth="1"/>
    <col min="15" max="15" width="8.19921875" style="1" bestFit="1" customWidth="1"/>
    <col min="16" max="16" width="12.19921875" style="1" customWidth="1"/>
    <col min="17" max="17" width="23" style="1" customWidth="1"/>
    <col min="18" max="18" width="11.19921875" style="1" customWidth="1"/>
    <col min="19" max="19" width="8.19921875" style="1" bestFit="1" customWidth="1"/>
    <col min="20" max="20" width="12.19921875" style="1" customWidth="1"/>
    <col min="21" max="21" width="17.19921875" style="1" customWidth="1"/>
    <col min="22" max="22" width="15" style="1" hidden="1" customWidth="1"/>
    <col min="23" max="23" width="8.19921875" style="1" customWidth="1"/>
    <col min="24" max="24" width="9.69921875" style="1" customWidth="1"/>
    <col min="25" max="16384" width="9" style="1"/>
  </cols>
  <sheetData>
    <row r="1" spans="1:24" x14ac:dyDescent="0.3">
      <c r="B1" s="13"/>
    </row>
    <row r="2" spans="1:24" x14ac:dyDescent="0.3">
      <c r="A2" s="64" t="s">
        <v>83</v>
      </c>
    </row>
    <row r="3" spans="1:24" s="25" customFormat="1" x14ac:dyDescent="0.3">
      <c r="A3" s="23" t="s">
        <v>0</v>
      </c>
      <c r="B3" s="24">
        <f>B7+B18+B38+B52</f>
        <v>14949881.199999999</v>
      </c>
      <c r="C3" s="358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</row>
    <row r="4" spans="1:24" s="25" customFormat="1" x14ac:dyDescent="0.3">
      <c r="A4" s="360" t="s">
        <v>1</v>
      </c>
      <c r="B4" s="361"/>
      <c r="C4" s="362" t="s">
        <v>2</v>
      </c>
      <c r="D4" s="363"/>
      <c r="E4" s="363"/>
      <c r="F4" s="26">
        <f>SUM(F11:F67)</f>
        <v>34</v>
      </c>
      <c r="G4" s="26">
        <f>SUM(G11:G67)</f>
        <v>1499800</v>
      </c>
      <c r="H4" s="362" t="s">
        <v>3</v>
      </c>
      <c r="I4" s="363"/>
      <c r="J4" s="363"/>
      <c r="K4" s="363"/>
      <c r="L4" s="363"/>
      <c r="M4" s="364" t="s">
        <v>4</v>
      </c>
      <c r="N4" s="365"/>
      <c r="O4" s="365"/>
      <c r="P4" s="365"/>
      <c r="Q4" s="364" t="s">
        <v>79</v>
      </c>
      <c r="R4" s="365"/>
      <c r="S4" s="365"/>
      <c r="T4" s="365"/>
      <c r="U4" s="364" t="s">
        <v>5</v>
      </c>
      <c r="V4" s="365"/>
      <c r="W4" s="365"/>
      <c r="X4" s="365"/>
    </row>
    <row r="5" spans="1:24" s="25" customFormat="1" x14ac:dyDescent="0.3">
      <c r="A5" s="360"/>
      <c r="B5" s="361"/>
      <c r="C5" s="363"/>
      <c r="D5" s="363"/>
      <c r="E5" s="363"/>
      <c r="F5" s="26">
        <v>0</v>
      </c>
      <c r="G5" s="26">
        <v>0</v>
      </c>
      <c r="H5" s="363"/>
      <c r="I5" s="363"/>
      <c r="J5" s="363"/>
      <c r="K5" s="363"/>
      <c r="L5" s="363"/>
      <c r="M5" s="71"/>
      <c r="N5" s="72"/>
      <c r="O5" s="72"/>
      <c r="P5" s="72"/>
      <c r="Q5" s="71"/>
      <c r="R5" s="72"/>
      <c r="S5" s="72"/>
      <c r="T5" s="72"/>
      <c r="U5" s="71"/>
      <c r="V5" s="72"/>
      <c r="W5" s="72"/>
      <c r="X5" s="72"/>
    </row>
    <row r="6" spans="1:24" s="25" customFormat="1" ht="72" customHeight="1" x14ac:dyDescent="0.3">
      <c r="A6" s="361"/>
      <c r="B6" s="361"/>
      <c r="C6" s="70" t="s">
        <v>6</v>
      </c>
      <c r="D6" s="27" t="s">
        <v>7</v>
      </c>
      <c r="E6" s="27" t="s">
        <v>8</v>
      </c>
      <c r="F6" s="27" t="s">
        <v>9</v>
      </c>
      <c r="G6" s="70" t="s">
        <v>10</v>
      </c>
      <c r="H6" s="70" t="s">
        <v>6</v>
      </c>
      <c r="I6" s="27" t="s">
        <v>11</v>
      </c>
      <c r="J6" s="27" t="s">
        <v>8</v>
      </c>
      <c r="K6" s="27" t="s">
        <v>9</v>
      </c>
      <c r="L6" s="70" t="s">
        <v>10</v>
      </c>
      <c r="M6" s="70" t="s">
        <v>6</v>
      </c>
      <c r="N6" s="27" t="s">
        <v>11</v>
      </c>
      <c r="O6" s="70" t="s">
        <v>12</v>
      </c>
      <c r="P6" s="70" t="s">
        <v>10</v>
      </c>
      <c r="Q6" s="70" t="s">
        <v>6</v>
      </c>
      <c r="R6" s="27" t="s">
        <v>11</v>
      </c>
      <c r="S6" s="70" t="s">
        <v>12</v>
      </c>
      <c r="T6" s="70" t="s">
        <v>10</v>
      </c>
      <c r="U6" s="70" t="s">
        <v>6</v>
      </c>
      <c r="V6" s="27" t="s">
        <v>11</v>
      </c>
      <c r="W6" s="70" t="s">
        <v>13</v>
      </c>
      <c r="X6" s="70" t="s">
        <v>10</v>
      </c>
    </row>
    <row r="7" spans="1:24" s="25" customFormat="1" ht="16.2" customHeight="1" x14ac:dyDescent="0.3">
      <c r="A7" s="28" t="s">
        <v>14</v>
      </c>
      <c r="B7" s="29">
        <f>SUM(B8:B17)</f>
        <v>929301.2</v>
      </c>
      <c r="C7" s="366" t="s">
        <v>492</v>
      </c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67"/>
      <c r="S7" s="367"/>
      <c r="T7" s="367"/>
      <c r="U7" s="367"/>
      <c r="V7" s="367"/>
      <c r="W7" s="367"/>
      <c r="X7" s="367"/>
    </row>
    <row r="8" spans="1:24" s="65" customFormat="1" ht="103.95" customHeight="1" x14ac:dyDescent="0.3">
      <c r="A8" s="385" t="s">
        <v>334</v>
      </c>
      <c r="B8" s="380">
        <f>SUM(G8:G10)+SUM(L8:L10)+SUM(P8:P10)+SUM(T8:T10)+SUM(X8:X10)</f>
        <v>103000</v>
      </c>
      <c r="C8" s="74" t="s">
        <v>234</v>
      </c>
      <c r="D8" s="31">
        <v>2000</v>
      </c>
      <c r="E8" s="31">
        <v>9</v>
      </c>
      <c r="F8" s="31">
        <v>2</v>
      </c>
      <c r="G8" s="32">
        <f t="shared" ref="G8" si="0">D8*E8*F8</f>
        <v>36000</v>
      </c>
      <c r="H8" s="73"/>
      <c r="I8" s="73"/>
      <c r="J8" s="73"/>
      <c r="K8" s="73"/>
      <c r="L8" s="73"/>
      <c r="M8" s="146" t="s">
        <v>235</v>
      </c>
      <c r="N8" s="32">
        <v>35000</v>
      </c>
      <c r="O8" s="32">
        <v>1</v>
      </c>
      <c r="P8" s="32">
        <f>O8*N8</f>
        <v>35000</v>
      </c>
      <c r="Q8" s="73"/>
      <c r="R8" s="73"/>
      <c r="S8" s="73"/>
      <c r="T8" s="73"/>
      <c r="U8" s="37"/>
      <c r="V8" s="31"/>
      <c r="W8" s="31"/>
      <c r="X8" s="32"/>
    </row>
    <row r="9" spans="1:24" s="65" customFormat="1" ht="62.4" customHeight="1" x14ac:dyDescent="0.3">
      <c r="A9" s="386"/>
      <c r="B9" s="381"/>
      <c r="C9" s="31"/>
      <c r="D9" s="31"/>
      <c r="E9" s="31"/>
      <c r="F9" s="31"/>
      <c r="G9" s="32"/>
      <c r="H9" s="76"/>
      <c r="I9" s="76"/>
      <c r="J9" s="76"/>
      <c r="K9" s="76"/>
      <c r="L9" s="76"/>
      <c r="M9" s="146" t="s">
        <v>236</v>
      </c>
      <c r="N9" s="32">
        <v>25000</v>
      </c>
      <c r="O9" s="32">
        <v>1</v>
      </c>
      <c r="P9" s="32">
        <f>O9*N9</f>
        <v>25000</v>
      </c>
      <c r="Q9" s="76"/>
      <c r="R9" s="76"/>
      <c r="S9" s="76"/>
      <c r="T9" s="76"/>
      <c r="U9" s="37"/>
      <c r="V9" s="31"/>
      <c r="W9" s="31"/>
      <c r="X9" s="32"/>
    </row>
    <row r="10" spans="1:24" s="65" customFormat="1" ht="62.4" customHeight="1" x14ac:dyDescent="0.3">
      <c r="A10" s="386"/>
      <c r="B10" s="382"/>
      <c r="C10" s="31"/>
      <c r="D10" s="31"/>
      <c r="E10" s="31"/>
      <c r="F10" s="31"/>
      <c r="G10" s="32"/>
      <c r="H10" s="78"/>
      <c r="I10" s="78"/>
      <c r="J10" s="78"/>
      <c r="K10" s="78"/>
      <c r="L10" s="78"/>
      <c r="M10" s="146" t="s">
        <v>237</v>
      </c>
      <c r="N10" s="32">
        <v>3500</v>
      </c>
      <c r="O10" s="32">
        <v>2</v>
      </c>
      <c r="P10" s="32">
        <f t="shared" ref="P10" si="1">O10*N10</f>
        <v>7000</v>
      </c>
      <c r="Q10" s="78"/>
      <c r="R10" s="78"/>
      <c r="S10" s="78"/>
      <c r="T10" s="78"/>
      <c r="U10" s="37"/>
      <c r="V10" s="31"/>
      <c r="W10" s="31"/>
      <c r="X10" s="32"/>
    </row>
    <row r="11" spans="1:24" s="25" customFormat="1" ht="171.6" customHeight="1" x14ac:dyDescent="0.3">
      <c r="A11" s="386"/>
      <c r="B11" s="147">
        <f>SUM(G11:G11)+SUM(L11:L11)+SUM(P11:P11)+SUM(T11:T11)+SUM(X11:X11)</f>
        <v>43000</v>
      </c>
      <c r="C11" s="74" t="s">
        <v>238</v>
      </c>
      <c r="D11" s="32">
        <v>2000</v>
      </c>
      <c r="E11" s="32">
        <v>18</v>
      </c>
      <c r="F11" s="32">
        <v>1</v>
      </c>
      <c r="G11" s="32">
        <f>F11*E11*D11</f>
        <v>36000</v>
      </c>
      <c r="H11" s="38"/>
      <c r="I11" s="34"/>
      <c r="J11" s="34"/>
      <c r="K11" s="34"/>
      <c r="L11" s="35"/>
      <c r="M11" s="146" t="s">
        <v>239</v>
      </c>
      <c r="N11" s="32">
        <v>3500</v>
      </c>
      <c r="O11" s="32">
        <v>2</v>
      </c>
      <c r="P11" s="32">
        <f t="shared" ref="P11" si="2">O11*N11</f>
        <v>7000</v>
      </c>
      <c r="Q11" s="33"/>
      <c r="R11" s="34"/>
      <c r="S11" s="34"/>
      <c r="T11" s="35"/>
      <c r="U11" s="37"/>
      <c r="V11" s="31"/>
      <c r="W11" s="31"/>
      <c r="X11" s="32">
        <f t="shared" ref="X11:X17" si="3">V11*W11</f>
        <v>0</v>
      </c>
    </row>
    <row r="12" spans="1:24" s="25" customFormat="1" ht="88.2" customHeight="1" x14ac:dyDescent="0.3">
      <c r="A12" s="387"/>
      <c r="B12" s="147">
        <f>SUM(G12)+SUM(L12)+SUM(P12)+SUM(T12)+SUM(X12)</f>
        <v>33000</v>
      </c>
      <c r="C12" s="30" t="s">
        <v>174</v>
      </c>
      <c r="D12" s="31">
        <f>Prices!D2</f>
        <v>16500</v>
      </c>
      <c r="E12" s="31">
        <v>2</v>
      </c>
      <c r="F12" s="31">
        <v>1</v>
      </c>
      <c r="G12" s="32">
        <f t="shared" ref="G12" si="4">D12*E12*F12</f>
        <v>33000</v>
      </c>
      <c r="H12" s="38"/>
      <c r="I12" s="34"/>
      <c r="J12" s="34"/>
      <c r="K12" s="34"/>
      <c r="L12" s="35"/>
      <c r="M12" s="30"/>
      <c r="N12" s="31"/>
      <c r="O12" s="31"/>
      <c r="P12" s="32"/>
      <c r="Q12" s="36"/>
      <c r="R12" s="34"/>
      <c r="S12" s="34"/>
      <c r="T12" s="35"/>
      <c r="U12" s="37"/>
      <c r="V12" s="31"/>
      <c r="W12" s="31"/>
      <c r="X12" s="32"/>
    </row>
    <row r="13" spans="1:24" s="25" customFormat="1" ht="157.19999999999999" customHeight="1" x14ac:dyDescent="0.3">
      <c r="A13" s="66" t="s">
        <v>335</v>
      </c>
      <c r="B13" s="69">
        <f>SUM(G13)+SUM(L13)+SUM(P13)+SUM(T13)+SUM(X13)</f>
        <v>396910.79999999993</v>
      </c>
      <c r="C13" s="30"/>
      <c r="D13" s="31"/>
      <c r="E13" s="31"/>
      <c r="F13" s="31"/>
      <c r="G13" s="32"/>
      <c r="H13" s="38" t="s">
        <v>245</v>
      </c>
      <c r="I13" s="34">
        <f>Prices!D4</f>
        <v>20354.399999999998</v>
      </c>
      <c r="J13" s="34">
        <v>6.5</v>
      </c>
      <c r="K13" s="34">
        <v>3</v>
      </c>
      <c r="L13" s="35">
        <f t="shared" ref="L13" si="5">I13*J13*K13</f>
        <v>396910.79999999993</v>
      </c>
      <c r="M13" s="30"/>
      <c r="N13" s="31"/>
      <c r="O13" s="31"/>
      <c r="P13" s="32"/>
      <c r="Q13" s="36"/>
      <c r="R13" s="34"/>
      <c r="S13" s="34"/>
      <c r="T13" s="35"/>
      <c r="U13" s="37"/>
      <c r="V13" s="31"/>
      <c r="W13" s="31"/>
      <c r="X13" s="32"/>
    </row>
    <row r="14" spans="1:24" s="25" customFormat="1" ht="128.4" customHeight="1" x14ac:dyDescent="0.3">
      <c r="A14" s="66" t="s">
        <v>336</v>
      </c>
      <c r="B14" s="147">
        <f>SUM(G14:G14)+SUM(L14:L14)+SUM(P14:P14)+SUM(T7:T14)+SUM(X14:X14)</f>
        <v>203543.99999999997</v>
      </c>
      <c r="C14" s="30"/>
      <c r="D14" s="31"/>
      <c r="E14" s="31"/>
      <c r="F14" s="31"/>
      <c r="G14" s="32"/>
      <c r="H14" s="38" t="s">
        <v>246</v>
      </c>
      <c r="I14" s="34">
        <f>Prices!D4</f>
        <v>20354.399999999998</v>
      </c>
      <c r="J14" s="34">
        <v>5</v>
      </c>
      <c r="K14" s="34">
        <v>2</v>
      </c>
      <c r="L14" s="35">
        <f t="shared" ref="L14" si="6">I14*J14*K14</f>
        <v>203543.99999999997</v>
      </c>
      <c r="M14" s="30"/>
      <c r="N14" s="31"/>
      <c r="O14" s="31"/>
      <c r="P14" s="32"/>
      <c r="Q14" s="33"/>
      <c r="R14" s="34"/>
      <c r="S14" s="34"/>
      <c r="T14" s="35"/>
      <c r="U14" s="37"/>
      <c r="V14" s="31"/>
      <c r="W14" s="31"/>
      <c r="X14" s="32"/>
    </row>
    <row r="15" spans="1:24" s="25" customFormat="1" ht="121.2" customHeight="1" x14ac:dyDescent="0.3">
      <c r="A15" s="79" t="s">
        <v>337</v>
      </c>
      <c r="B15" s="75">
        <f>SUM(G15:G15)+SUM(L15)+SUM(P15:P15)+SUM(T15)+SUM(X15:X15)</f>
        <v>9240</v>
      </c>
      <c r="C15" s="30" t="s">
        <v>96</v>
      </c>
      <c r="D15" s="31">
        <f>Prices!B3</f>
        <v>3080</v>
      </c>
      <c r="E15" s="31">
        <v>3</v>
      </c>
      <c r="F15" s="31">
        <v>1</v>
      </c>
      <c r="G15" s="32">
        <f t="shared" ref="G15" si="7">D15*E15*F15</f>
        <v>9240</v>
      </c>
      <c r="M15" s="30"/>
      <c r="N15" s="31"/>
      <c r="O15" s="31"/>
      <c r="P15" s="32">
        <f t="shared" ref="P15" si="8">N15*O15</f>
        <v>0</v>
      </c>
      <c r="U15" s="37"/>
      <c r="V15" s="31"/>
      <c r="W15" s="31"/>
      <c r="X15" s="32">
        <f t="shared" si="3"/>
        <v>0</v>
      </c>
    </row>
    <row r="16" spans="1:24" s="25" customFormat="1" ht="136.19999999999999" customHeight="1" x14ac:dyDescent="0.3">
      <c r="A16" s="79" t="s">
        <v>338</v>
      </c>
      <c r="B16" s="148">
        <f>SUM(G16:G16)+SUM(L16:L16)+SUM(P16:P16)+SUM(T10:T16)+SUM(X16:X16)</f>
        <v>122126.39999999999</v>
      </c>
      <c r="C16" s="30"/>
      <c r="D16" s="31"/>
      <c r="E16" s="31"/>
      <c r="F16" s="31"/>
      <c r="G16" s="32"/>
      <c r="H16" s="38" t="s">
        <v>233</v>
      </c>
      <c r="I16" s="34">
        <f>Prices!D4</f>
        <v>20354.399999999998</v>
      </c>
      <c r="J16" s="34">
        <v>3</v>
      </c>
      <c r="K16" s="34">
        <v>2</v>
      </c>
      <c r="L16" s="35">
        <f t="shared" ref="L16" si="9">I16*J16*K16</f>
        <v>122126.39999999999</v>
      </c>
      <c r="M16" s="30"/>
      <c r="N16" s="31"/>
      <c r="O16" s="31"/>
      <c r="P16" s="32"/>
      <c r="U16" s="37"/>
      <c r="V16" s="31"/>
      <c r="W16" s="31"/>
      <c r="X16" s="32"/>
    </row>
    <row r="17" spans="1:24" s="25" customFormat="1" ht="198" customHeight="1" x14ac:dyDescent="0.3">
      <c r="A17" s="66" t="s">
        <v>339</v>
      </c>
      <c r="B17" s="77">
        <f>SUM(G17:G17)+SUM(L17:L17)+SUM(P17:P17)+SUM(T11:T17)+SUM(X17:X17)</f>
        <v>18480</v>
      </c>
      <c r="C17" s="30" t="s">
        <v>97</v>
      </c>
      <c r="D17" s="31">
        <f>Prices!B3</f>
        <v>3080</v>
      </c>
      <c r="E17" s="31">
        <v>3</v>
      </c>
      <c r="F17" s="31">
        <v>2</v>
      </c>
      <c r="G17" s="32">
        <f t="shared" ref="G17" si="10">D17*E17*F17</f>
        <v>18480</v>
      </c>
      <c r="M17" s="30" t="s">
        <v>15</v>
      </c>
      <c r="N17" s="31" t="s">
        <v>15</v>
      </c>
      <c r="O17" s="31" t="s">
        <v>15</v>
      </c>
      <c r="P17" s="32" t="s">
        <v>15</v>
      </c>
      <c r="U17" s="37"/>
      <c r="V17" s="31"/>
      <c r="W17" s="31"/>
      <c r="X17" s="32">
        <f t="shared" si="3"/>
        <v>0</v>
      </c>
    </row>
    <row r="18" spans="1:24" s="25" customFormat="1" x14ac:dyDescent="0.3">
      <c r="A18" s="28" t="s">
        <v>16</v>
      </c>
      <c r="B18" s="29">
        <f>+SUM(B19:B37)</f>
        <v>12232720</v>
      </c>
      <c r="C18" s="366" t="s">
        <v>84</v>
      </c>
      <c r="D18" s="367"/>
      <c r="E18" s="367"/>
      <c r="F18" s="367"/>
      <c r="G18" s="367"/>
      <c r="H18" s="367"/>
      <c r="I18" s="367"/>
      <c r="J18" s="367"/>
      <c r="K18" s="367"/>
      <c r="L18" s="367"/>
      <c r="M18" s="367"/>
      <c r="N18" s="367"/>
      <c r="O18" s="367"/>
      <c r="P18" s="367"/>
      <c r="Q18" s="367"/>
      <c r="R18" s="367"/>
      <c r="S18" s="367"/>
      <c r="T18" s="367"/>
      <c r="U18" s="367"/>
      <c r="V18" s="367"/>
      <c r="W18" s="367"/>
      <c r="X18" s="367"/>
    </row>
    <row r="19" spans="1:24" s="25" customFormat="1" ht="52.2" customHeight="1" x14ac:dyDescent="0.3">
      <c r="A19" s="376" t="s">
        <v>85</v>
      </c>
      <c r="B19" s="377">
        <f>SUM(G19:G35)+SUM(L19:L35)+SUM(P19:P35)+SUM(T19:T35)+SUM(X19:X35)</f>
        <v>12180760</v>
      </c>
      <c r="C19" s="30"/>
      <c r="D19" s="31"/>
      <c r="E19" s="31"/>
      <c r="F19" s="31"/>
      <c r="G19" s="32"/>
      <c r="H19" s="33" t="s">
        <v>253</v>
      </c>
      <c r="I19" s="34">
        <v>0</v>
      </c>
      <c r="J19" s="34">
        <v>0</v>
      </c>
      <c r="K19" s="34">
        <v>0</v>
      </c>
      <c r="L19" s="34">
        <v>300000</v>
      </c>
      <c r="M19" s="30"/>
      <c r="N19" s="31"/>
      <c r="O19" s="31"/>
      <c r="P19" s="32"/>
      <c r="Q19" s="33" t="s">
        <v>15</v>
      </c>
      <c r="R19" s="34"/>
      <c r="S19" s="34"/>
      <c r="T19" s="35">
        <f t="shared" ref="T19:T37" si="11">R19*S19</f>
        <v>0</v>
      </c>
      <c r="U19" s="37"/>
      <c r="V19" s="31"/>
      <c r="W19" s="31"/>
      <c r="X19" s="32">
        <f t="shared" ref="X19:X36" si="12">V19*W19</f>
        <v>0</v>
      </c>
    </row>
    <row r="20" spans="1:24" s="25" customFormat="1" ht="52.2" customHeight="1" x14ac:dyDescent="0.3">
      <c r="A20" s="376"/>
      <c r="B20" s="378"/>
      <c r="C20" s="62"/>
      <c r="D20" s="62"/>
      <c r="E20" s="62"/>
      <c r="F20" s="62"/>
      <c r="G20" s="63"/>
      <c r="H20" s="159" t="s">
        <v>254</v>
      </c>
      <c r="I20" s="34">
        <v>0</v>
      </c>
      <c r="J20" s="34">
        <v>0</v>
      </c>
      <c r="K20" s="34">
        <v>0</v>
      </c>
      <c r="L20" s="160">
        <v>300000</v>
      </c>
      <c r="M20" s="30"/>
      <c r="N20" s="31"/>
      <c r="O20" s="31"/>
      <c r="P20" s="32"/>
      <c r="Q20" s="33"/>
      <c r="R20" s="34"/>
      <c r="S20" s="34"/>
      <c r="T20" s="35"/>
      <c r="U20" s="37"/>
      <c r="V20" s="31"/>
      <c r="W20" s="31"/>
      <c r="X20" s="32">
        <f>V20*W20</f>
        <v>0</v>
      </c>
    </row>
    <row r="21" spans="1:24" s="25" customFormat="1" ht="52.2" customHeight="1" x14ac:dyDescent="0.3">
      <c r="A21" s="376"/>
      <c r="B21" s="378"/>
      <c r="C21" s="62"/>
      <c r="D21" s="62"/>
      <c r="E21" s="62"/>
      <c r="F21" s="62"/>
      <c r="G21" s="63"/>
      <c r="H21" s="161" t="s">
        <v>267</v>
      </c>
      <c r="I21" s="34">
        <v>0</v>
      </c>
      <c r="J21" s="34">
        <v>0</v>
      </c>
      <c r="K21" s="34">
        <v>0</v>
      </c>
      <c r="L21" s="162">
        <v>100000</v>
      </c>
      <c r="M21" s="30"/>
      <c r="N21" s="31"/>
      <c r="O21" s="31"/>
      <c r="P21" s="32"/>
      <c r="Q21" s="33"/>
      <c r="R21" s="34"/>
      <c r="S21" s="34"/>
      <c r="T21" s="35"/>
      <c r="U21" s="37"/>
      <c r="V21" s="31"/>
      <c r="W21" s="31"/>
      <c r="X21" s="32">
        <f t="shared" ref="X21:X34" si="13">V21*W21</f>
        <v>0</v>
      </c>
    </row>
    <row r="22" spans="1:24" s="25" customFormat="1" ht="52.2" customHeight="1" x14ac:dyDescent="0.3">
      <c r="A22" s="376"/>
      <c r="B22" s="378"/>
      <c r="C22" s="62"/>
      <c r="D22" s="62"/>
      <c r="E22" s="62"/>
      <c r="F22" s="62"/>
      <c r="G22" s="63"/>
      <c r="H22" s="178" t="s">
        <v>255</v>
      </c>
      <c r="I22" s="174">
        <v>0</v>
      </c>
      <c r="J22" s="174">
        <v>0</v>
      </c>
      <c r="K22" s="174">
        <v>0</v>
      </c>
      <c r="L22" s="179">
        <v>1500000</v>
      </c>
      <c r="M22" s="30"/>
      <c r="N22" s="31"/>
      <c r="O22" s="31"/>
      <c r="P22" s="32"/>
      <c r="Q22" s="33"/>
      <c r="R22" s="34"/>
      <c r="S22" s="34"/>
      <c r="T22" s="35"/>
      <c r="U22" s="37"/>
      <c r="V22" s="31"/>
      <c r="W22" s="31"/>
      <c r="X22" s="32">
        <f t="shared" si="13"/>
        <v>0</v>
      </c>
    </row>
    <row r="23" spans="1:24" s="25" customFormat="1" ht="52.2" customHeight="1" x14ac:dyDescent="0.3">
      <c r="A23" s="376"/>
      <c r="B23" s="378"/>
      <c r="C23" s="62"/>
      <c r="D23" s="62"/>
      <c r="E23" s="62"/>
      <c r="F23" s="62"/>
      <c r="G23" s="63"/>
      <c r="H23" s="161" t="s">
        <v>256</v>
      </c>
      <c r="I23" s="34">
        <v>0</v>
      </c>
      <c r="J23" s="34">
        <v>0</v>
      </c>
      <c r="K23" s="34">
        <v>0</v>
      </c>
      <c r="L23" s="164">
        <v>1000000</v>
      </c>
      <c r="M23" s="30"/>
      <c r="N23" s="31"/>
      <c r="O23" s="31"/>
      <c r="P23" s="32"/>
      <c r="Q23" s="33"/>
      <c r="R23" s="34"/>
      <c r="S23" s="34"/>
      <c r="T23" s="35"/>
      <c r="U23" s="37"/>
      <c r="V23" s="31"/>
      <c r="W23" s="31"/>
      <c r="X23" s="32">
        <f t="shared" si="13"/>
        <v>0</v>
      </c>
    </row>
    <row r="24" spans="1:24" s="25" customFormat="1" ht="64.2" customHeight="1" x14ac:dyDescent="0.3">
      <c r="A24" s="376"/>
      <c r="B24" s="378"/>
      <c r="C24" s="62"/>
      <c r="D24" s="62"/>
      <c r="E24" s="62"/>
      <c r="F24" s="62"/>
      <c r="G24" s="63"/>
      <c r="H24" s="159" t="s">
        <v>257</v>
      </c>
      <c r="I24" s="34">
        <v>0</v>
      </c>
      <c r="J24" s="34">
        <v>0</v>
      </c>
      <c r="K24" s="34">
        <v>0</v>
      </c>
      <c r="L24" s="163">
        <v>550000</v>
      </c>
      <c r="M24" s="30"/>
      <c r="N24" s="31"/>
      <c r="O24" s="31"/>
      <c r="P24" s="32"/>
      <c r="Q24" s="33"/>
      <c r="R24" s="34"/>
      <c r="S24" s="34"/>
      <c r="T24" s="35"/>
      <c r="U24" s="37"/>
      <c r="V24" s="31"/>
      <c r="W24" s="31"/>
      <c r="X24" s="32">
        <f t="shared" si="13"/>
        <v>0</v>
      </c>
    </row>
    <row r="25" spans="1:24" s="25" customFormat="1" ht="52.2" customHeight="1" x14ac:dyDescent="0.3">
      <c r="A25" s="376"/>
      <c r="B25" s="378"/>
      <c r="C25" s="62"/>
      <c r="D25" s="62"/>
      <c r="E25" s="62"/>
      <c r="F25" s="62"/>
      <c r="G25" s="63"/>
      <c r="H25" s="165" t="s">
        <v>258</v>
      </c>
      <c r="I25" s="34">
        <v>0</v>
      </c>
      <c r="J25" s="34">
        <v>0</v>
      </c>
      <c r="K25" s="34">
        <v>0</v>
      </c>
      <c r="L25" s="164">
        <v>750000</v>
      </c>
      <c r="M25" s="30"/>
      <c r="N25" s="31"/>
      <c r="O25" s="31"/>
      <c r="P25" s="32"/>
      <c r="Q25" s="33"/>
      <c r="R25" s="34"/>
      <c r="S25" s="34"/>
      <c r="T25" s="35"/>
      <c r="U25" s="37"/>
      <c r="V25" s="31"/>
      <c r="W25" s="31"/>
      <c r="X25" s="32">
        <f t="shared" si="13"/>
        <v>0</v>
      </c>
    </row>
    <row r="26" spans="1:24" s="25" customFormat="1" ht="52.2" customHeight="1" x14ac:dyDescent="0.3">
      <c r="A26" s="376"/>
      <c r="B26" s="378"/>
      <c r="C26" s="62"/>
      <c r="D26" s="62"/>
      <c r="E26" s="62"/>
      <c r="F26" s="62"/>
      <c r="G26" s="63"/>
      <c r="H26" s="159" t="s">
        <v>259</v>
      </c>
      <c r="I26" s="34">
        <v>0</v>
      </c>
      <c r="J26" s="34">
        <v>0</v>
      </c>
      <c r="K26" s="34">
        <v>0</v>
      </c>
      <c r="L26" s="166">
        <v>450000</v>
      </c>
      <c r="M26" s="30"/>
      <c r="N26" s="31"/>
      <c r="O26" s="31"/>
      <c r="P26" s="32"/>
      <c r="Q26" s="33"/>
      <c r="R26" s="34"/>
      <c r="S26" s="34"/>
      <c r="T26" s="35"/>
      <c r="U26" s="37"/>
      <c r="V26" s="31"/>
      <c r="W26" s="31"/>
      <c r="X26" s="32">
        <f t="shared" si="13"/>
        <v>0</v>
      </c>
    </row>
    <row r="27" spans="1:24" s="25" customFormat="1" ht="52.2" customHeight="1" x14ac:dyDescent="0.3">
      <c r="A27" s="376"/>
      <c r="B27" s="378"/>
      <c r="C27" s="62"/>
      <c r="D27" s="62"/>
      <c r="E27" s="62"/>
      <c r="F27" s="62"/>
      <c r="G27" s="63"/>
      <c r="H27" s="161" t="s">
        <v>260</v>
      </c>
      <c r="I27" s="34">
        <v>0</v>
      </c>
      <c r="J27" s="34">
        <v>0</v>
      </c>
      <c r="K27" s="34">
        <v>0</v>
      </c>
      <c r="L27" s="164">
        <v>700000</v>
      </c>
      <c r="M27" s="30"/>
      <c r="N27" s="31"/>
      <c r="O27" s="31"/>
      <c r="P27" s="32"/>
      <c r="Q27" s="33"/>
      <c r="R27" s="34"/>
      <c r="S27" s="34"/>
      <c r="T27" s="35"/>
      <c r="U27" s="37"/>
      <c r="V27" s="31"/>
      <c r="W27" s="31"/>
      <c r="X27" s="32">
        <f t="shared" si="13"/>
        <v>0</v>
      </c>
    </row>
    <row r="28" spans="1:24" s="25" customFormat="1" ht="52.2" customHeight="1" x14ac:dyDescent="0.3">
      <c r="A28" s="376"/>
      <c r="B28" s="378"/>
      <c r="C28" s="62"/>
      <c r="D28" s="62"/>
      <c r="E28" s="62"/>
      <c r="F28" s="62"/>
      <c r="G28" s="63"/>
      <c r="H28" s="167" t="s">
        <v>268</v>
      </c>
      <c r="I28" s="34">
        <v>0</v>
      </c>
      <c r="J28" s="34">
        <v>0</v>
      </c>
      <c r="K28" s="34">
        <v>0</v>
      </c>
      <c r="L28" s="160">
        <v>250000</v>
      </c>
      <c r="M28" s="30"/>
      <c r="N28" s="31"/>
      <c r="O28" s="31"/>
      <c r="P28" s="32"/>
      <c r="Q28" s="33"/>
      <c r="R28" s="34"/>
      <c r="S28" s="34"/>
      <c r="T28" s="35"/>
      <c r="U28" s="37"/>
      <c r="V28" s="31"/>
      <c r="W28" s="31"/>
      <c r="X28" s="32">
        <f t="shared" si="13"/>
        <v>0</v>
      </c>
    </row>
    <row r="29" spans="1:24" s="25" customFormat="1" ht="52.2" customHeight="1" x14ac:dyDescent="0.3">
      <c r="A29" s="376"/>
      <c r="B29" s="378"/>
      <c r="C29" s="62"/>
      <c r="D29" s="62"/>
      <c r="E29" s="62"/>
      <c r="F29" s="62"/>
      <c r="G29" s="63"/>
      <c r="H29" s="168" t="s">
        <v>261</v>
      </c>
      <c r="I29" s="34">
        <v>0</v>
      </c>
      <c r="J29" s="34">
        <v>0</v>
      </c>
      <c r="K29" s="34">
        <v>0</v>
      </c>
      <c r="L29" s="164">
        <v>150000</v>
      </c>
      <c r="M29" s="30"/>
      <c r="N29" s="31"/>
      <c r="O29" s="31"/>
      <c r="P29" s="32"/>
      <c r="Q29" s="33"/>
      <c r="R29" s="34"/>
      <c r="S29" s="34"/>
      <c r="T29" s="35"/>
      <c r="U29" s="37"/>
      <c r="V29" s="31"/>
      <c r="W29" s="31"/>
      <c r="X29" s="32">
        <f t="shared" si="13"/>
        <v>0</v>
      </c>
    </row>
    <row r="30" spans="1:24" s="25" customFormat="1" ht="78" customHeight="1" x14ac:dyDescent="0.3">
      <c r="A30" s="376"/>
      <c r="B30" s="378"/>
      <c r="C30" s="62"/>
      <c r="D30" s="62"/>
      <c r="E30" s="62"/>
      <c r="F30" s="62"/>
      <c r="G30" s="63"/>
      <c r="H30" s="167" t="s">
        <v>262</v>
      </c>
      <c r="I30" s="34">
        <v>0</v>
      </c>
      <c r="J30" s="34">
        <v>0</v>
      </c>
      <c r="K30" s="34">
        <v>0</v>
      </c>
      <c r="L30" s="160">
        <v>1500000</v>
      </c>
      <c r="M30" s="30"/>
      <c r="N30" s="31"/>
      <c r="O30" s="31"/>
      <c r="P30" s="32"/>
      <c r="Q30" s="33"/>
      <c r="R30" s="34"/>
      <c r="S30" s="34"/>
      <c r="T30" s="35"/>
      <c r="U30" s="37"/>
      <c r="V30" s="31"/>
      <c r="W30" s="31"/>
      <c r="X30" s="32">
        <f t="shared" si="13"/>
        <v>0</v>
      </c>
    </row>
    <row r="31" spans="1:24" s="25" customFormat="1" ht="52.2" customHeight="1" x14ac:dyDescent="0.3">
      <c r="A31" s="376"/>
      <c r="B31" s="378"/>
      <c r="C31" s="62"/>
      <c r="D31" s="62"/>
      <c r="E31" s="62"/>
      <c r="F31" s="62"/>
      <c r="G31" s="63"/>
      <c r="H31" s="176" t="s">
        <v>263</v>
      </c>
      <c r="I31" s="174">
        <v>0</v>
      </c>
      <c r="J31" s="174">
        <v>0</v>
      </c>
      <c r="K31" s="174">
        <v>0</v>
      </c>
      <c r="L31" s="177">
        <v>1750000</v>
      </c>
      <c r="M31" s="30"/>
      <c r="N31" s="31"/>
      <c r="O31" s="31"/>
      <c r="P31" s="32"/>
      <c r="Q31" s="33"/>
      <c r="R31" s="34"/>
      <c r="S31" s="34"/>
      <c r="T31" s="35"/>
      <c r="U31" s="37"/>
      <c r="V31" s="31"/>
      <c r="W31" s="31"/>
      <c r="X31" s="32">
        <f t="shared" si="13"/>
        <v>0</v>
      </c>
    </row>
    <row r="32" spans="1:24" s="25" customFormat="1" ht="52.2" customHeight="1" x14ac:dyDescent="0.3">
      <c r="A32" s="376"/>
      <c r="B32" s="378"/>
      <c r="C32" s="62"/>
      <c r="D32" s="62"/>
      <c r="E32" s="62"/>
      <c r="F32" s="62"/>
      <c r="G32" s="63"/>
      <c r="H32" s="173" t="s">
        <v>264</v>
      </c>
      <c r="I32" s="174">
        <v>0</v>
      </c>
      <c r="J32" s="174">
        <v>0</v>
      </c>
      <c r="K32" s="174">
        <v>0</v>
      </c>
      <c r="L32" s="175">
        <v>1750000</v>
      </c>
      <c r="M32" s="30"/>
      <c r="N32" s="31"/>
      <c r="O32" s="31"/>
      <c r="P32" s="32"/>
      <c r="Q32" s="33"/>
      <c r="R32" s="34"/>
      <c r="S32" s="34"/>
      <c r="T32" s="35"/>
      <c r="U32" s="37"/>
      <c r="V32" s="31"/>
      <c r="W32" s="31"/>
      <c r="X32" s="32">
        <f t="shared" si="13"/>
        <v>0</v>
      </c>
    </row>
    <row r="33" spans="1:24" s="25" customFormat="1" ht="67.2" customHeight="1" x14ac:dyDescent="0.3">
      <c r="A33" s="376"/>
      <c r="B33" s="378"/>
      <c r="C33" s="62"/>
      <c r="D33" s="62"/>
      <c r="E33" s="62"/>
      <c r="F33" s="62"/>
      <c r="G33" s="63"/>
      <c r="H33" s="169" t="s">
        <v>265</v>
      </c>
      <c r="I33" s="34">
        <v>0</v>
      </c>
      <c r="J33" s="34">
        <v>0</v>
      </c>
      <c r="K33" s="34">
        <v>0</v>
      </c>
      <c r="L33" s="164">
        <v>350000</v>
      </c>
      <c r="M33" s="30"/>
      <c r="N33" s="31"/>
      <c r="O33" s="31"/>
      <c r="P33" s="32"/>
      <c r="Q33" s="33"/>
      <c r="R33" s="34"/>
      <c r="S33" s="34"/>
      <c r="T33" s="35"/>
      <c r="U33" s="37"/>
      <c r="V33" s="31"/>
      <c r="W33" s="31"/>
      <c r="X33" s="32">
        <f t="shared" si="13"/>
        <v>0</v>
      </c>
    </row>
    <row r="34" spans="1:24" s="25" customFormat="1" ht="52.2" customHeight="1" x14ac:dyDescent="0.3">
      <c r="A34" s="376"/>
      <c r="B34" s="378"/>
      <c r="C34" s="62"/>
      <c r="D34" s="62"/>
      <c r="E34" s="62"/>
      <c r="F34" s="62"/>
      <c r="G34" s="63"/>
      <c r="H34" s="173" t="s">
        <v>266</v>
      </c>
      <c r="I34" s="174">
        <v>0</v>
      </c>
      <c r="J34" s="174">
        <v>0</v>
      </c>
      <c r="K34" s="174">
        <v>0</v>
      </c>
      <c r="L34" s="175">
        <v>600000</v>
      </c>
      <c r="M34" s="30"/>
      <c r="N34" s="31"/>
      <c r="O34" s="31"/>
      <c r="P34" s="32"/>
      <c r="Q34" s="33"/>
      <c r="R34" s="34"/>
      <c r="S34" s="34"/>
      <c r="T34" s="35"/>
      <c r="U34" s="37"/>
      <c r="V34" s="31"/>
      <c r="W34" s="31"/>
      <c r="X34" s="32">
        <f t="shared" si="13"/>
        <v>0</v>
      </c>
    </row>
    <row r="35" spans="1:24" s="25" customFormat="1" ht="62.4" customHeight="1" x14ac:dyDescent="0.3">
      <c r="A35" s="376"/>
      <c r="B35" s="379"/>
      <c r="C35" s="180" t="s">
        <v>280</v>
      </c>
      <c r="D35" s="181">
        <f>Prices!B2</f>
        <v>9988</v>
      </c>
      <c r="E35" s="181">
        <v>4</v>
      </c>
      <c r="F35" s="181">
        <v>5</v>
      </c>
      <c r="G35" s="182">
        <f>D35*E35*F35-19000</f>
        <v>180760</v>
      </c>
      <c r="H35" s="33"/>
      <c r="I35" s="34"/>
      <c r="J35" s="34"/>
      <c r="K35" s="34"/>
      <c r="L35" s="35">
        <f t="shared" ref="L35:L46" si="14">I35*J35*K35</f>
        <v>0</v>
      </c>
      <c r="M35" s="30"/>
      <c r="N35" s="31"/>
      <c r="O35" s="31"/>
      <c r="P35" s="32"/>
      <c r="Q35" s="33"/>
      <c r="R35" s="34"/>
      <c r="S35" s="34"/>
      <c r="T35" s="35">
        <f t="shared" si="11"/>
        <v>0</v>
      </c>
      <c r="U35" s="37"/>
      <c r="V35" s="31"/>
      <c r="W35" s="31"/>
      <c r="X35" s="32">
        <f t="shared" si="12"/>
        <v>0</v>
      </c>
    </row>
    <row r="36" spans="1:24" s="25" customFormat="1" ht="120" customHeight="1" x14ac:dyDescent="0.3">
      <c r="A36" s="151" t="s">
        <v>86</v>
      </c>
      <c r="B36" s="149">
        <f>SUM(G36:G36)+SUM(L36:L36)+SUM(P36:P36)+SUM(T36:T36)+SUM(X36:X36)</f>
        <v>36960</v>
      </c>
      <c r="C36" s="30" t="s">
        <v>240</v>
      </c>
      <c r="D36" s="31">
        <f>Prices!B3</f>
        <v>3080</v>
      </c>
      <c r="E36" s="31">
        <v>6</v>
      </c>
      <c r="F36" s="31">
        <v>2</v>
      </c>
      <c r="G36" s="32">
        <f>D36*E36*F36</f>
        <v>36960</v>
      </c>
      <c r="M36" s="30"/>
      <c r="N36" s="31"/>
      <c r="O36" s="31"/>
      <c r="P36" s="32"/>
      <c r="Q36" s="33"/>
      <c r="R36" s="34"/>
      <c r="S36" s="34"/>
      <c r="T36" s="35">
        <f t="shared" si="11"/>
        <v>0</v>
      </c>
      <c r="U36" s="37"/>
      <c r="V36" s="31"/>
      <c r="W36" s="31"/>
      <c r="X36" s="32">
        <f t="shared" si="12"/>
        <v>0</v>
      </c>
    </row>
    <row r="37" spans="1:24" s="25" customFormat="1" ht="85.95" customHeight="1" x14ac:dyDescent="0.3">
      <c r="A37" s="145" t="s">
        <v>340</v>
      </c>
      <c r="B37" s="148">
        <f>SUM(G37:G37)+SUM(P37:P37)+SUM(T37:T37)+SUM(X37:X37)</f>
        <v>15000</v>
      </c>
      <c r="C37" s="30"/>
      <c r="D37" s="31"/>
      <c r="E37" s="31"/>
      <c r="F37" s="31"/>
      <c r="G37" s="32"/>
      <c r="H37" s="33"/>
      <c r="I37" s="34"/>
      <c r="J37" s="34"/>
      <c r="K37" s="34"/>
      <c r="L37" s="35"/>
      <c r="M37" s="30"/>
      <c r="N37" s="31"/>
      <c r="O37" s="31"/>
      <c r="P37" s="32"/>
      <c r="Q37" s="33" t="s">
        <v>271</v>
      </c>
      <c r="R37" s="34">
        <v>2500</v>
      </c>
      <c r="S37" s="34">
        <v>6</v>
      </c>
      <c r="T37" s="35">
        <f t="shared" si="11"/>
        <v>15000</v>
      </c>
      <c r="U37" s="37"/>
      <c r="V37" s="31"/>
      <c r="W37" s="31"/>
      <c r="X37" s="32"/>
    </row>
    <row r="38" spans="1:24" s="25" customFormat="1" x14ac:dyDescent="0.3">
      <c r="A38" s="28" t="s">
        <v>80</v>
      </c>
      <c r="B38" s="29">
        <f>SUM(B39:B51)</f>
        <v>697860</v>
      </c>
      <c r="C38" s="366" t="s">
        <v>87</v>
      </c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O38" s="367"/>
      <c r="P38" s="367"/>
      <c r="Q38" s="367"/>
      <c r="R38" s="367"/>
      <c r="S38" s="367"/>
      <c r="T38" s="367"/>
      <c r="U38" s="367"/>
      <c r="V38" s="367"/>
      <c r="W38" s="367"/>
      <c r="X38" s="367"/>
    </row>
    <row r="39" spans="1:24" s="25" customFormat="1" ht="123" customHeight="1" x14ac:dyDescent="0.3">
      <c r="A39" s="383" t="s">
        <v>273</v>
      </c>
      <c r="B39" s="373">
        <f>SUM(G39:G39)+SUM(L39:L40)+SUM(P39:P40)+SUM(T39:T40)+SUM(X39:X40)</f>
        <v>154000</v>
      </c>
      <c r="C39" s="4" t="s">
        <v>269</v>
      </c>
      <c r="D39" s="31">
        <v>2000</v>
      </c>
      <c r="E39" s="31">
        <v>36</v>
      </c>
      <c r="F39" s="31">
        <v>2</v>
      </c>
      <c r="G39" s="32">
        <f t="shared" ref="G39" si="15">D39*E39*F39</f>
        <v>144000</v>
      </c>
      <c r="M39" s="30"/>
      <c r="N39" s="31"/>
      <c r="O39" s="31"/>
      <c r="P39" s="32"/>
      <c r="Q39" s="33" t="s">
        <v>272</v>
      </c>
      <c r="R39" s="34">
        <v>2500</v>
      </c>
      <c r="S39" s="34">
        <v>4</v>
      </c>
      <c r="T39" s="35">
        <f t="shared" ref="T39" si="16">R39*S39</f>
        <v>10000</v>
      </c>
      <c r="U39" s="37"/>
      <c r="V39" s="31"/>
      <c r="W39" s="31"/>
      <c r="X39" s="32">
        <f>V39*W39</f>
        <v>0</v>
      </c>
    </row>
    <row r="40" spans="1:24" s="158" customFormat="1" ht="79.2" customHeight="1" x14ac:dyDescent="0.3">
      <c r="A40" s="384"/>
      <c r="B40" s="373"/>
      <c r="C40" s="4"/>
      <c r="D40" s="31"/>
      <c r="E40" s="31"/>
      <c r="F40" s="31"/>
      <c r="G40" s="32"/>
      <c r="M40" s="4"/>
      <c r="N40" s="5"/>
      <c r="O40" s="5"/>
      <c r="P40" s="6"/>
      <c r="Q40" s="7"/>
      <c r="R40" s="8"/>
      <c r="S40" s="8"/>
      <c r="T40" s="9"/>
      <c r="U40" s="10"/>
      <c r="V40" s="5"/>
      <c r="W40" s="5"/>
      <c r="X40" s="6"/>
    </row>
    <row r="41" spans="1:24" s="25" customFormat="1" ht="83.4" customHeight="1" x14ac:dyDescent="0.3">
      <c r="A41" s="374" t="s">
        <v>342</v>
      </c>
      <c r="B41" s="373">
        <f>SUM(G41:G42)+SUM(L41:L42)+SUM(P41:P42)+SUM(T41:T42)+SUM(X41:X42)</f>
        <v>46200</v>
      </c>
      <c r="C41" s="4" t="s">
        <v>250</v>
      </c>
      <c r="D41" s="31">
        <f>Prices!B3</f>
        <v>3080</v>
      </c>
      <c r="E41" s="31">
        <v>6</v>
      </c>
      <c r="F41" s="31">
        <v>1</v>
      </c>
      <c r="G41" s="32">
        <f t="shared" ref="G41" si="17">D41*E41*F41</f>
        <v>18480</v>
      </c>
      <c r="M41" s="4"/>
      <c r="N41" s="4"/>
      <c r="O41" s="4"/>
      <c r="P41" s="4">
        <f>N41*O41</f>
        <v>0</v>
      </c>
      <c r="Q41" s="7"/>
      <c r="R41" s="8"/>
      <c r="S41" s="8"/>
      <c r="T41" s="9">
        <f>R41*S41</f>
        <v>0</v>
      </c>
      <c r="U41" s="10"/>
      <c r="V41" s="5"/>
      <c r="W41" s="5"/>
      <c r="X41" s="6">
        <f>V41*W41</f>
        <v>0</v>
      </c>
    </row>
    <row r="42" spans="1:24" s="25" customFormat="1" ht="148.19999999999999" customHeight="1" x14ac:dyDescent="0.3">
      <c r="A42" s="393"/>
      <c r="B42" s="373"/>
      <c r="C42" s="4" t="s">
        <v>91</v>
      </c>
      <c r="D42" s="31">
        <f>Prices!B3</f>
        <v>3080</v>
      </c>
      <c r="E42" s="31">
        <v>3</v>
      </c>
      <c r="F42" s="31">
        <v>3</v>
      </c>
      <c r="G42" s="32">
        <f t="shared" ref="G42" si="18">D42*E42*F42</f>
        <v>27720</v>
      </c>
      <c r="H42" s="33"/>
      <c r="I42" s="34"/>
      <c r="J42" s="34"/>
      <c r="K42" s="34"/>
      <c r="L42" s="35"/>
      <c r="M42" s="30"/>
      <c r="N42" s="30"/>
      <c r="O42" s="30"/>
      <c r="P42" s="30"/>
      <c r="Q42" s="33"/>
      <c r="R42" s="34"/>
      <c r="S42" s="34"/>
      <c r="T42" s="35"/>
      <c r="U42" s="37"/>
      <c r="V42" s="31"/>
      <c r="W42" s="31"/>
      <c r="X42" s="32"/>
    </row>
    <row r="43" spans="1:24" s="25" customFormat="1" ht="126" customHeight="1" x14ac:dyDescent="0.3">
      <c r="A43" s="374" t="s">
        <v>95</v>
      </c>
      <c r="B43" s="394">
        <f>SUM(G43:G47)+SUM(L43:L47)+SUM(P43:P47)+SUM(T43:T47)+SUM(X43:X47)</f>
        <v>343660</v>
      </c>
      <c r="C43" s="30"/>
      <c r="D43" s="31"/>
      <c r="E43" s="31"/>
      <c r="F43" s="31"/>
      <c r="G43" s="32"/>
      <c r="H43" s="33" t="s">
        <v>178</v>
      </c>
      <c r="I43" s="34">
        <f>Prices!D8</f>
        <v>4620</v>
      </c>
      <c r="J43" s="34">
        <v>4</v>
      </c>
      <c r="K43" s="34">
        <v>2</v>
      </c>
      <c r="L43" s="35">
        <f t="shared" ref="L43" si="19">I43*J43*K43</f>
        <v>36960</v>
      </c>
      <c r="M43" s="146" t="s">
        <v>270</v>
      </c>
      <c r="N43" s="32">
        <v>7700</v>
      </c>
      <c r="O43" s="32">
        <v>1</v>
      </c>
      <c r="P43" s="32">
        <f t="shared" ref="P43" si="20">O43*N43</f>
        <v>7700</v>
      </c>
      <c r="Q43" s="183" t="s">
        <v>179</v>
      </c>
      <c r="R43" s="181">
        <v>10000</v>
      </c>
      <c r="S43" s="181">
        <v>20</v>
      </c>
      <c r="T43" s="182">
        <f t="shared" ref="T43" si="21">R43*S43</f>
        <v>200000</v>
      </c>
      <c r="U43" s="37"/>
      <c r="V43" s="31"/>
      <c r="W43" s="31"/>
      <c r="X43" s="32">
        <f t="shared" ref="X43:X45" si="22">V43*W43</f>
        <v>0</v>
      </c>
    </row>
    <row r="44" spans="1:24" s="25" customFormat="1" ht="114" customHeight="1" x14ac:dyDescent="0.3">
      <c r="A44" s="375"/>
      <c r="B44" s="395"/>
      <c r="C44" s="30" t="s">
        <v>99</v>
      </c>
      <c r="D44" s="31">
        <f>Prices!D2</f>
        <v>16500</v>
      </c>
      <c r="E44" s="31">
        <v>3</v>
      </c>
      <c r="F44" s="31">
        <v>2</v>
      </c>
      <c r="G44" s="32">
        <f t="shared" ref="G44" si="23">D44*E44*F44</f>
        <v>99000</v>
      </c>
      <c r="I44" s="34"/>
      <c r="J44" s="34"/>
      <c r="K44" s="34"/>
      <c r="L44" s="35"/>
      <c r="M44" s="30"/>
      <c r="N44" s="31"/>
      <c r="O44" s="31"/>
      <c r="P44" s="32"/>
      <c r="Q44" s="33" t="s">
        <v>92</v>
      </c>
      <c r="R44" s="34">
        <v>0</v>
      </c>
      <c r="S44" s="34">
        <v>0</v>
      </c>
      <c r="T44" s="35">
        <f t="shared" ref="T44:T45" si="24">R44*S44</f>
        <v>0</v>
      </c>
      <c r="U44" s="37"/>
      <c r="V44" s="31"/>
      <c r="W44" s="31"/>
      <c r="X44" s="32">
        <f t="shared" si="22"/>
        <v>0</v>
      </c>
    </row>
    <row r="45" spans="1:24" s="25" customFormat="1" x14ac:dyDescent="0.3">
      <c r="A45" s="375"/>
      <c r="B45" s="395"/>
      <c r="C45" s="30"/>
      <c r="D45" s="31"/>
      <c r="E45" s="31"/>
      <c r="F45" s="31"/>
      <c r="G45" s="32"/>
      <c r="H45" s="33"/>
      <c r="I45" s="34"/>
      <c r="J45" s="34"/>
      <c r="K45" s="34"/>
      <c r="L45" s="35">
        <f t="shared" si="14"/>
        <v>0</v>
      </c>
      <c r="M45" s="30"/>
      <c r="N45" s="31"/>
      <c r="O45" s="31"/>
      <c r="P45" s="32"/>
      <c r="Q45" s="33"/>
      <c r="R45" s="34"/>
      <c r="S45" s="34"/>
      <c r="T45" s="35">
        <f t="shared" si="24"/>
        <v>0</v>
      </c>
      <c r="U45" s="37"/>
      <c r="V45" s="31"/>
      <c r="W45" s="31"/>
      <c r="X45" s="32">
        <f t="shared" si="22"/>
        <v>0</v>
      </c>
    </row>
    <row r="46" spans="1:24" s="25" customFormat="1" x14ac:dyDescent="0.3">
      <c r="A46" s="375"/>
      <c r="B46" s="395"/>
      <c r="C46" s="30"/>
      <c r="D46" s="31"/>
      <c r="E46" s="31"/>
      <c r="F46" s="31"/>
      <c r="G46" s="32"/>
      <c r="H46" s="33"/>
      <c r="I46" s="34"/>
      <c r="J46" s="34"/>
      <c r="K46" s="34"/>
      <c r="L46" s="35">
        <f t="shared" si="14"/>
        <v>0</v>
      </c>
      <c r="M46" s="30"/>
      <c r="N46" s="31"/>
      <c r="O46" s="31"/>
      <c r="P46" s="32"/>
      <c r="Q46" s="33"/>
      <c r="R46" s="34"/>
      <c r="S46" s="34"/>
      <c r="T46" s="35"/>
      <c r="U46" s="37"/>
      <c r="V46" s="31"/>
      <c r="W46" s="31"/>
      <c r="X46" s="32"/>
    </row>
    <row r="47" spans="1:24" s="25" customFormat="1" ht="99.45" customHeight="1" x14ac:dyDescent="0.3">
      <c r="A47" s="375"/>
      <c r="B47" s="396"/>
      <c r="C47" s="30"/>
      <c r="D47" s="31"/>
      <c r="E47" s="31"/>
      <c r="F47" s="31"/>
      <c r="G47" s="32"/>
      <c r="H47" s="33"/>
      <c r="I47" s="34"/>
      <c r="J47" s="34"/>
      <c r="K47" s="34"/>
      <c r="L47" s="35"/>
      <c r="M47" s="30"/>
      <c r="N47" s="31"/>
      <c r="O47" s="31"/>
      <c r="P47" s="32"/>
      <c r="Q47" s="33"/>
      <c r="R47" s="34"/>
      <c r="S47" s="34"/>
      <c r="T47" s="35"/>
      <c r="U47" s="37"/>
      <c r="V47" s="31"/>
      <c r="W47" s="31"/>
      <c r="X47" s="32"/>
    </row>
    <row r="48" spans="1:24" s="25" customFormat="1" ht="14.4" customHeight="1" x14ac:dyDescent="0.3">
      <c r="A48" s="374" t="s">
        <v>94</v>
      </c>
      <c r="B48" s="373">
        <f>SUM(G48:G49)+SUM(L48:L49)+SUM(P48:P49)+SUM(T48:T49)+SUM(X48:X49)</f>
        <v>147840</v>
      </c>
      <c r="C48" s="4"/>
      <c r="D48" s="5"/>
      <c r="E48" s="5"/>
      <c r="F48" s="5"/>
      <c r="G48" s="6"/>
      <c r="H48" s="33"/>
      <c r="I48" s="8"/>
      <c r="J48" s="8"/>
      <c r="K48" s="8"/>
      <c r="L48" s="9">
        <f>I48*J48*K48</f>
        <v>0</v>
      </c>
      <c r="M48" s="4"/>
      <c r="N48" s="4"/>
      <c r="O48" s="4"/>
      <c r="P48" s="4">
        <f>N48*O48</f>
        <v>0</v>
      </c>
      <c r="Q48" s="7"/>
      <c r="R48" s="8"/>
      <c r="S48" s="8"/>
      <c r="T48" s="9">
        <f>R48*S48</f>
        <v>0</v>
      </c>
      <c r="U48" s="10"/>
      <c r="V48" s="5"/>
      <c r="W48" s="5"/>
      <c r="X48" s="6">
        <f>V48*W48</f>
        <v>0</v>
      </c>
    </row>
    <row r="49" spans="1:24" s="25" customFormat="1" ht="140.69999999999999" customHeight="1" x14ac:dyDescent="0.3">
      <c r="A49" s="375"/>
      <c r="B49" s="373"/>
      <c r="C49" s="30"/>
      <c r="D49" s="31"/>
      <c r="E49" s="31"/>
      <c r="F49" s="31"/>
      <c r="G49" s="32"/>
      <c r="H49" s="33" t="s">
        <v>98</v>
      </c>
      <c r="I49" s="34">
        <f>Prices!D8</f>
        <v>4620</v>
      </c>
      <c r="J49" s="34">
        <v>16</v>
      </c>
      <c r="K49" s="34">
        <v>2</v>
      </c>
      <c r="L49" s="9">
        <f t="shared" ref="L49" si="25">I49*J49*K49</f>
        <v>147840</v>
      </c>
      <c r="M49" s="30"/>
      <c r="N49" s="30"/>
      <c r="O49" s="30"/>
      <c r="P49" s="30"/>
      <c r="Q49" s="33"/>
      <c r="R49" s="34"/>
      <c r="S49" s="34"/>
      <c r="T49" s="35"/>
      <c r="U49" s="37"/>
      <c r="V49" s="31"/>
      <c r="W49" s="31"/>
      <c r="X49" s="32"/>
    </row>
    <row r="50" spans="1:24" s="25" customFormat="1" ht="14.4" customHeight="1" x14ac:dyDescent="0.3">
      <c r="A50" s="374" t="s">
        <v>251</v>
      </c>
      <c r="B50" s="373">
        <f>SUM(G50:G51)+SUM(L50:L51)+SUM(P50:P51)+SUM(T50:T51)+SUM(X50:X51)</f>
        <v>6160</v>
      </c>
      <c r="C50" s="4"/>
      <c r="D50" s="5"/>
      <c r="E50" s="5"/>
      <c r="F50" s="5"/>
      <c r="G50" s="6"/>
      <c r="H50" s="33"/>
      <c r="I50" s="8"/>
      <c r="J50" s="8"/>
      <c r="K50" s="8"/>
      <c r="L50" s="9">
        <f>I50*J50*K50</f>
        <v>0</v>
      </c>
      <c r="M50" s="4"/>
      <c r="N50" s="4"/>
      <c r="O50" s="4"/>
      <c r="P50" s="4">
        <f>N50*O50</f>
        <v>0</v>
      </c>
      <c r="Q50" s="7"/>
      <c r="R50" s="8"/>
      <c r="S50" s="8"/>
      <c r="T50" s="9">
        <f>R50*S50</f>
        <v>0</v>
      </c>
      <c r="U50" s="10"/>
      <c r="V50" s="5"/>
      <c r="W50" s="5"/>
      <c r="X50" s="6">
        <f>V50*W50</f>
        <v>0</v>
      </c>
    </row>
    <row r="51" spans="1:24" s="25" customFormat="1" ht="79.95" customHeight="1" x14ac:dyDescent="0.3">
      <c r="A51" s="375"/>
      <c r="B51" s="373"/>
      <c r="C51" s="4" t="s">
        <v>252</v>
      </c>
      <c r="D51" s="31">
        <f>Prices!B3</f>
        <v>3080</v>
      </c>
      <c r="E51" s="31">
        <v>2</v>
      </c>
      <c r="F51" s="31">
        <v>1</v>
      </c>
      <c r="G51" s="32">
        <f t="shared" ref="G51" si="26">D51*E51*F51</f>
        <v>6160</v>
      </c>
      <c r="H51" s="33"/>
      <c r="I51" s="34"/>
      <c r="J51" s="34"/>
      <c r="K51" s="34"/>
      <c r="L51" s="35"/>
      <c r="M51" s="30"/>
      <c r="N51" s="30"/>
      <c r="O51" s="30"/>
      <c r="P51" s="30"/>
      <c r="Q51" s="33"/>
      <c r="R51" s="34"/>
      <c r="S51" s="34"/>
      <c r="T51" s="35"/>
      <c r="U51" s="37"/>
      <c r="V51" s="31"/>
      <c r="W51" s="31"/>
      <c r="X51" s="32"/>
    </row>
    <row r="52" spans="1:24" s="25" customFormat="1" ht="31.95" customHeight="1" x14ac:dyDescent="0.3">
      <c r="A52" s="39" t="s">
        <v>17</v>
      </c>
      <c r="B52" s="40">
        <f>SUM(B53:B69)</f>
        <v>1090000</v>
      </c>
      <c r="C52" s="390" t="s">
        <v>18</v>
      </c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1"/>
      <c r="V52" s="391"/>
      <c r="W52" s="391"/>
      <c r="X52" s="392"/>
    </row>
    <row r="53" spans="1:24" s="25" customFormat="1" ht="30" customHeight="1" x14ac:dyDescent="0.3">
      <c r="A53" s="41" t="s">
        <v>88</v>
      </c>
      <c r="B53" s="150">
        <f>G53</f>
        <v>78000</v>
      </c>
      <c r="C53" s="30"/>
      <c r="D53" s="31">
        <v>2000</v>
      </c>
      <c r="E53" s="31">
        <v>39</v>
      </c>
      <c r="F53" s="31">
        <v>1</v>
      </c>
      <c r="G53" s="32">
        <f>D53*E53*F53</f>
        <v>78000</v>
      </c>
      <c r="H53" s="33"/>
      <c r="I53" s="34"/>
      <c r="J53" s="34"/>
      <c r="K53" s="34"/>
      <c r="L53" s="35"/>
      <c r="M53" s="30"/>
      <c r="N53" s="31"/>
      <c r="O53" s="31"/>
      <c r="P53" s="32"/>
      <c r="Q53" s="35"/>
      <c r="R53" s="35"/>
      <c r="S53" s="35"/>
      <c r="T53" s="35"/>
      <c r="U53" s="35"/>
      <c r="V53" s="35"/>
      <c r="W53" s="35"/>
      <c r="X53" s="35"/>
    </row>
    <row r="54" spans="1:24" s="25" customFormat="1" x14ac:dyDescent="0.3">
      <c r="A54" s="41" t="s">
        <v>89</v>
      </c>
      <c r="B54" s="150">
        <f>G54</f>
        <v>78000</v>
      </c>
      <c r="C54" s="30"/>
      <c r="D54" s="31">
        <v>2000</v>
      </c>
      <c r="E54" s="31">
        <v>39</v>
      </c>
      <c r="F54" s="31">
        <v>1</v>
      </c>
      <c r="G54" s="32">
        <f>D54*E54*F54</f>
        <v>78000</v>
      </c>
      <c r="H54" s="33"/>
      <c r="I54" s="34"/>
      <c r="J54" s="34"/>
      <c r="K54" s="34"/>
      <c r="L54" s="35">
        <f>I54*K54</f>
        <v>0</v>
      </c>
      <c r="M54" s="30"/>
      <c r="N54" s="31"/>
      <c r="O54" s="31"/>
      <c r="P54" s="32">
        <f>N54*O54</f>
        <v>0</v>
      </c>
      <c r="Q54" s="35"/>
      <c r="R54" s="35"/>
      <c r="S54" s="35"/>
      <c r="T54" s="35">
        <f>R54*S54</f>
        <v>0</v>
      </c>
      <c r="U54" s="35"/>
      <c r="V54" s="35"/>
      <c r="W54" s="35"/>
      <c r="X54" s="35">
        <f>V54*W54</f>
        <v>0</v>
      </c>
    </row>
    <row r="55" spans="1:24" s="25" customFormat="1" x14ac:dyDescent="0.3">
      <c r="A55" s="41" t="s">
        <v>90</v>
      </c>
      <c r="B55" s="150">
        <f>G55</f>
        <v>78000</v>
      </c>
      <c r="C55" s="30"/>
      <c r="D55" s="31">
        <v>2000</v>
      </c>
      <c r="E55" s="31">
        <v>39</v>
      </c>
      <c r="F55" s="31">
        <v>1</v>
      </c>
      <c r="G55" s="32">
        <f>D55*E55*F55</f>
        <v>78000</v>
      </c>
      <c r="H55" s="33"/>
      <c r="I55" s="34"/>
      <c r="J55" s="34"/>
      <c r="K55" s="34"/>
      <c r="L55" s="35"/>
      <c r="M55" s="30"/>
      <c r="N55" s="31"/>
      <c r="O55" s="31"/>
      <c r="P55" s="32"/>
      <c r="Q55" s="35"/>
      <c r="R55" s="35"/>
      <c r="S55" s="35"/>
      <c r="T55" s="35"/>
      <c r="U55" s="35"/>
      <c r="V55" s="35"/>
      <c r="W55" s="35"/>
      <c r="X55" s="35"/>
    </row>
    <row r="56" spans="1:24" s="25" customFormat="1" x14ac:dyDescent="0.3">
      <c r="A56" s="41" t="s">
        <v>241</v>
      </c>
      <c r="B56" s="150">
        <f t="shared" ref="B56:B63" si="27">G56</f>
        <v>78000</v>
      </c>
      <c r="C56" s="30"/>
      <c r="D56" s="31">
        <v>2000</v>
      </c>
      <c r="E56" s="31">
        <v>39</v>
      </c>
      <c r="F56" s="31">
        <v>1</v>
      </c>
      <c r="G56" s="32">
        <f t="shared" ref="G56:G63" si="28">D56*E56*F56</f>
        <v>78000</v>
      </c>
      <c r="H56" s="33"/>
      <c r="I56" s="34"/>
      <c r="J56" s="34"/>
      <c r="K56" s="34"/>
      <c r="L56" s="35"/>
      <c r="M56" s="30"/>
      <c r="N56" s="31"/>
      <c r="O56" s="31"/>
      <c r="P56" s="32"/>
      <c r="Q56" s="35"/>
      <c r="R56" s="35"/>
      <c r="S56" s="35"/>
      <c r="T56" s="35"/>
      <c r="U56" s="35"/>
      <c r="V56" s="35"/>
      <c r="W56" s="35"/>
      <c r="X56" s="35"/>
    </row>
    <row r="57" spans="1:24" s="25" customFormat="1" x14ac:dyDescent="0.3">
      <c r="A57" s="41" t="s">
        <v>242</v>
      </c>
      <c r="B57" s="150">
        <f t="shared" si="27"/>
        <v>78000</v>
      </c>
      <c r="C57" s="30"/>
      <c r="D57" s="31">
        <v>2000</v>
      </c>
      <c r="E57" s="31">
        <v>39</v>
      </c>
      <c r="F57" s="31">
        <v>1</v>
      </c>
      <c r="G57" s="32">
        <f t="shared" si="28"/>
        <v>78000</v>
      </c>
      <c r="H57" s="33"/>
      <c r="I57" s="34"/>
      <c r="J57" s="34"/>
      <c r="K57" s="34"/>
      <c r="L57" s="35"/>
      <c r="M57" s="30"/>
      <c r="N57" s="31"/>
      <c r="O57" s="31"/>
      <c r="P57" s="32"/>
      <c r="Q57" s="35"/>
      <c r="R57" s="35"/>
      <c r="S57" s="35"/>
      <c r="T57" s="35"/>
      <c r="U57" s="35"/>
      <c r="V57" s="35"/>
      <c r="W57" s="35"/>
      <c r="X57" s="35"/>
    </row>
    <row r="58" spans="1:24" s="25" customFormat="1" x14ac:dyDescent="0.3">
      <c r="A58" s="41" t="s">
        <v>243</v>
      </c>
      <c r="B58" s="150">
        <f t="shared" si="27"/>
        <v>78000</v>
      </c>
      <c r="C58" s="30"/>
      <c r="D58" s="31">
        <v>2000</v>
      </c>
      <c r="E58" s="31">
        <v>39</v>
      </c>
      <c r="F58" s="31">
        <v>1</v>
      </c>
      <c r="G58" s="32">
        <f t="shared" si="28"/>
        <v>78000</v>
      </c>
      <c r="H58" s="33"/>
      <c r="I58" s="34"/>
      <c r="J58" s="34"/>
      <c r="K58" s="34"/>
      <c r="L58" s="35"/>
      <c r="M58" s="30"/>
      <c r="N58" s="31"/>
      <c r="O58" s="31"/>
      <c r="P58" s="32"/>
      <c r="Q58" s="35"/>
      <c r="R58" s="35"/>
      <c r="S58" s="35"/>
      <c r="T58" s="35"/>
      <c r="U58" s="35"/>
      <c r="V58" s="35"/>
      <c r="W58" s="35"/>
      <c r="X58" s="35"/>
    </row>
    <row r="59" spans="1:24" s="25" customFormat="1" x14ac:dyDescent="0.3">
      <c r="A59" s="41" t="s">
        <v>244</v>
      </c>
      <c r="B59" s="150">
        <f t="shared" si="27"/>
        <v>78000</v>
      </c>
      <c r="C59" s="30"/>
      <c r="D59" s="31">
        <v>2000</v>
      </c>
      <c r="E59" s="31">
        <v>39</v>
      </c>
      <c r="F59" s="31">
        <v>1</v>
      </c>
      <c r="G59" s="32">
        <f t="shared" si="28"/>
        <v>78000</v>
      </c>
      <c r="H59" s="33"/>
      <c r="I59" s="34"/>
      <c r="J59" s="34"/>
      <c r="K59" s="34"/>
      <c r="L59" s="35"/>
      <c r="M59" s="30"/>
      <c r="N59" s="31"/>
      <c r="O59" s="31"/>
      <c r="P59" s="32"/>
      <c r="Q59" s="35"/>
      <c r="R59" s="35"/>
      <c r="S59" s="35"/>
      <c r="T59" s="35"/>
      <c r="U59" s="35"/>
      <c r="V59" s="35"/>
      <c r="W59" s="35"/>
      <c r="X59" s="35"/>
    </row>
    <row r="60" spans="1:24" s="25" customFormat="1" ht="25.2" customHeight="1" x14ac:dyDescent="0.3">
      <c r="A60" s="41" t="s">
        <v>248</v>
      </c>
      <c r="B60" s="150">
        <f t="shared" si="27"/>
        <v>78000</v>
      </c>
      <c r="C60" s="30"/>
      <c r="D60" s="31">
        <v>2000</v>
      </c>
      <c r="E60" s="31">
        <v>39</v>
      </c>
      <c r="F60" s="31">
        <v>1</v>
      </c>
      <c r="G60" s="32">
        <f t="shared" si="28"/>
        <v>78000</v>
      </c>
      <c r="H60" s="33"/>
      <c r="I60" s="34"/>
      <c r="J60" s="34"/>
      <c r="K60" s="34"/>
      <c r="L60" s="35"/>
      <c r="M60" s="30"/>
      <c r="N60" s="31"/>
      <c r="O60" s="31"/>
      <c r="P60" s="32"/>
      <c r="Q60" s="35"/>
      <c r="R60" s="35"/>
      <c r="S60" s="35"/>
      <c r="T60" s="35"/>
      <c r="U60" s="35"/>
      <c r="V60" s="35"/>
      <c r="W60" s="35"/>
      <c r="X60" s="35"/>
    </row>
    <row r="61" spans="1:24" s="25" customFormat="1" x14ac:dyDescent="0.3">
      <c r="A61" s="41" t="s">
        <v>247</v>
      </c>
      <c r="B61" s="150">
        <f t="shared" si="27"/>
        <v>78000</v>
      </c>
      <c r="C61" s="30"/>
      <c r="D61" s="31">
        <v>2000</v>
      </c>
      <c r="E61" s="31">
        <v>39</v>
      </c>
      <c r="F61" s="31">
        <v>1</v>
      </c>
      <c r="G61" s="32">
        <f t="shared" si="28"/>
        <v>78000</v>
      </c>
      <c r="H61" s="33"/>
      <c r="I61" s="34"/>
      <c r="J61" s="34"/>
      <c r="K61" s="34"/>
      <c r="L61" s="35"/>
      <c r="M61" s="30"/>
      <c r="N61" s="31"/>
      <c r="O61" s="31"/>
      <c r="P61" s="32"/>
      <c r="Q61" s="35"/>
      <c r="R61" s="35"/>
      <c r="S61" s="35"/>
      <c r="T61" s="35"/>
      <c r="U61" s="35"/>
      <c r="V61" s="35"/>
      <c r="W61" s="35"/>
      <c r="X61" s="35"/>
    </row>
    <row r="62" spans="1:24" s="25" customFormat="1" x14ac:dyDescent="0.3">
      <c r="A62" s="41" t="s">
        <v>249</v>
      </c>
      <c r="B62" s="150">
        <f t="shared" si="27"/>
        <v>84000</v>
      </c>
      <c r="C62" s="30"/>
      <c r="D62" s="31">
        <v>2000</v>
      </c>
      <c r="E62" s="31">
        <v>42</v>
      </c>
      <c r="F62" s="31">
        <v>1</v>
      </c>
      <c r="G62" s="32">
        <f t="shared" si="28"/>
        <v>84000</v>
      </c>
      <c r="H62" s="33"/>
      <c r="I62" s="34"/>
      <c r="J62" s="34"/>
      <c r="K62" s="34"/>
      <c r="L62" s="35"/>
      <c r="M62" s="30"/>
      <c r="N62" s="31"/>
      <c r="O62" s="31"/>
      <c r="P62" s="32"/>
      <c r="Q62" s="35"/>
      <c r="R62" s="35"/>
      <c r="S62" s="35"/>
      <c r="T62" s="35"/>
      <c r="U62" s="35"/>
      <c r="V62" s="35"/>
      <c r="W62" s="35"/>
      <c r="X62" s="35"/>
    </row>
    <row r="63" spans="1:24" s="158" customFormat="1" x14ac:dyDescent="0.3">
      <c r="A63" s="41" t="s">
        <v>249</v>
      </c>
      <c r="B63" s="150">
        <f t="shared" si="27"/>
        <v>84000</v>
      </c>
      <c r="C63" s="30"/>
      <c r="D63" s="31">
        <v>2000</v>
      </c>
      <c r="E63" s="31">
        <v>42</v>
      </c>
      <c r="F63" s="31">
        <v>1</v>
      </c>
      <c r="G63" s="32">
        <f t="shared" si="28"/>
        <v>84000</v>
      </c>
      <c r="H63" s="155"/>
      <c r="I63" s="156"/>
      <c r="J63" s="156"/>
      <c r="K63" s="156"/>
      <c r="L63" s="157"/>
      <c r="M63" s="152"/>
      <c r="N63" s="153"/>
      <c r="O63" s="153"/>
      <c r="P63" s="154"/>
      <c r="Q63" s="157"/>
      <c r="R63" s="157"/>
      <c r="S63" s="157"/>
      <c r="T63" s="157"/>
      <c r="U63" s="157"/>
      <c r="V63" s="157"/>
      <c r="W63" s="157"/>
      <c r="X63" s="157"/>
    </row>
    <row r="64" spans="1:24" s="25" customFormat="1" x14ac:dyDescent="0.3">
      <c r="A64" s="368" t="s">
        <v>19</v>
      </c>
      <c r="B64" s="371">
        <f>SUM(G64:G67)</f>
        <v>20000</v>
      </c>
      <c r="C64" s="30" t="s">
        <v>281</v>
      </c>
      <c r="D64" s="31">
        <v>20000</v>
      </c>
      <c r="E64" s="31">
        <v>1</v>
      </c>
      <c r="F64" s="31">
        <v>1</v>
      </c>
      <c r="G64" s="32">
        <f t="shared" ref="G64:G69" si="29">D64*E64*F64</f>
        <v>20000</v>
      </c>
      <c r="H64" s="33"/>
      <c r="I64" s="34"/>
      <c r="J64" s="34"/>
      <c r="K64" s="34"/>
      <c r="L64" s="35">
        <f t="shared" ref="L64:L68" si="30">I64*K64</f>
        <v>0</v>
      </c>
      <c r="M64" s="30"/>
      <c r="N64" s="31"/>
      <c r="O64" s="31"/>
      <c r="P64" s="32">
        <f t="shared" ref="P64:P68" si="31">N64*O64</f>
        <v>0</v>
      </c>
      <c r="Q64" s="35"/>
      <c r="R64" s="35"/>
      <c r="S64" s="35"/>
      <c r="T64" s="35">
        <f t="shared" ref="T64:T68" si="32">R64*S64</f>
        <v>0</v>
      </c>
      <c r="U64" s="35"/>
      <c r="V64" s="35"/>
      <c r="W64" s="35"/>
      <c r="X64" s="35">
        <f t="shared" ref="X64:X68" si="33">V64*W64</f>
        <v>0</v>
      </c>
    </row>
    <row r="65" spans="1:24" s="25" customFormat="1" ht="15" customHeight="1" x14ac:dyDescent="0.3">
      <c r="A65" s="369"/>
      <c r="B65" s="372"/>
      <c r="C65" s="30" t="s">
        <v>282</v>
      </c>
      <c r="D65" s="31"/>
      <c r="E65" s="31">
        <v>1</v>
      </c>
      <c r="F65" s="31">
        <v>1</v>
      </c>
      <c r="G65" s="32">
        <f t="shared" si="29"/>
        <v>0</v>
      </c>
      <c r="H65" s="33"/>
      <c r="I65" s="34"/>
      <c r="J65" s="34"/>
      <c r="K65" s="34"/>
      <c r="L65" s="35">
        <f t="shared" si="30"/>
        <v>0</v>
      </c>
      <c r="M65" s="30"/>
      <c r="N65" s="31"/>
      <c r="O65" s="31"/>
      <c r="P65" s="32">
        <f t="shared" si="31"/>
        <v>0</v>
      </c>
      <c r="Q65" s="35"/>
      <c r="R65" s="35"/>
      <c r="S65" s="35"/>
      <c r="T65" s="35">
        <f t="shared" si="32"/>
        <v>0</v>
      </c>
      <c r="U65" s="35"/>
      <c r="V65" s="35"/>
      <c r="W65" s="35"/>
      <c r="X65" s="35">
        <f t="shared" si="33"/>
        <v>0</v>
      </c>
    </row>
    <row r="66" spans="1:24" s="25" customFormat="1" ht="15" customHeight="1" x14ac:dyDescent="0.3">
      <c r="A66" s="369"/>
      <c r="B66" s="372"/>
      <c r="C66" s="30" t="s">
        <v>283</v>
      </c>
      <c r="D66" s="31"/>
      <c r="E66" s="31"/>
      <c r="F66" s="31"/>
      <c r="G66" s="32"/>
      <c r="H66" s="33"/>
      <c r="I66" s="34"/>
      <c r="J66" s="34"/>
      <c r="K66" s="34"/>
      <c r="L66" s="35">
        <f t="shared" si="30"/>
        <v>0</v>
      </c>
      <c r="M66" s="30"/>
      <c r="N66" s="31"/>
      <c r="O66" s="31"/>
      <c r="P66" s="32">
        <f t="shared" si="31"/>
        <v>0</v>
      </c>
      <c r="Q66" s="35"/>
      <c r="R66" s="35"/>
      <c r="S66" s="35"/>
      <c r="T66" s="35">
        <f t="shared" si="32"/>
        <v>0</v>
      </c>
      <c r="U66" s="35"/>
      <c r="V66" s="35"/>
      <c r="W66" s="35"/>
      <c r="X66" s="35">
        <f t="shared" si="33"/>
        <v>0</v>
      </c>
    </row>
    <row r="67" spans="1:24" s="25" customFormat="1" ht="15" customHeight="1" x14ac:dyDescent="0.3">
      <c r="A67" s="370"/>
      <c r="B67" s="372"/>
      <c r="C67" s="30" t="s">
        <v>20</v>
      </c>
      <c r="D67" s="31"/>
      <c r="E67" s="31"/>
      <c r="F67" s="31"/>
      <c r="G67" s="32">
        <f t="shared" si="29"/>
        <v>0</v>
      </c>
      <c r="H67" s="33"/>
      <c r="I67" s="34"/>
      <c r="J67" s="34"/>
      <c r="K67" s="34"/>
      <c r="L67" s="35">
        <f t="shared" si="30"/>
        <v>0</v>
      </c>
      <c r="M67" s="30"/>
      <c r="N67" s="31"/>
      <c r="O67" s="31"/>
      <c r="P67" s="32">
        <f t="shared" si="31"/>
        <v>0</v>
      </c>
      <c r="Q67" s="35"/>
      <c r="R67" s="35"/>
      <c r="S67" s="35"/>
      <c r="T67" s="35">
        <f t="shared" si="32"/>
        <v>0</v>
      </c>
      <c r="U67" s="35"/>
      <c r="V67" s="35"/>
      <c r="W67" s="35"/>
      <c r="X67" s="35">
        <f t="shared" si="33"/>
        <v>0</v>
      </c>
    </row>
    <row r="68" spans="1:24" s="25" customFormat="1" x14ac:dyDescent="0.3">
      <c r="A68" s="41" t="s">
        <v>21</v>
      </c>
      <c r="B68" s="68">
        <f>G68</f>
        <v>125000</v>
      </c>
      <c r="C68" s="30" t="s">
        <v>22</v>
      </c>
      <c r="D68" s="31">
        <v>25000</v>
      </c>
      <c r="E68" s="31">
        <v>5</v>
      </c>
      <c r="F68" s="31">
        <v>1</v>
      </c>
      <c r="G68" s="32">
        <f t="shared" si="29"/>
        <v>125000</v>
      </c>
      <c r="H68" s="33"/>
      <c r="I68" s="34"/>
      <c r="J68" s="34"/>
      <c r="K68" s="34"/>
      <c r="L68" s="35">
        <f t="shared" si="30"/>
        <v>0</v>
      </c>
      <c r="M68" s="30"/>
      <c r="N68" s="31"/>
      <c r="O68" s="31"/>
      <c r="P68" s="32">
        <f t="shared" si="31"/>
        <v>0</v>
      </c>
      <c r="Q68" s="35"/>
      <c r="R68" s="35"/>
      <c r="S68" s="35"/>
      <c r="T68" s="35">
        <f t="shared" si="32"/>
        <v>0</v>
      </c>
      <c r="U68" s="35"/>
      <c r="V68" s="35"/>
      <c r="W68" s="35"/>
      <c r="X68" s="35">
        <f t="shared" si="33"/>
        <v>0</v>
      </c>
    </row>
    <row r="69" spans="1:24" s="25" customFormat="1" x14ac:dyDescent="0.3">
      <c r="A69" s="67" t="s">
        <v>81</v>
      </c>
      <c r="B69" s="42">
        <f>G69</f>
        <v>75000</v>
      </c>
      <c r="C69" s="30"/>
      <c r="D69" s="31">
        <v>25000</v>
      </c>
      <c r="E69" s="31">
        <v>1</v>
      </c>
      <c r="F69" s="31">
        <v>3</v>
      </c>
      <c r="G69" s="32">
        <f t="shared" si="29"/>
        <v>75000</v>
      </c>
      <c r="H69" s="33"/>
      <c r="I69" s="34"/>
      <c r="J69" s="34"/>
      <c r="K69" s="34"/>
      <c r="L69" s="35"/>
      <c r="M69" s="30"/>
      <c r="N69" s="31"/>
      <c r="O69" s="31"/>
      <c r="P69" s="32"/>
      <c r="Q69" s="35"/>
      <c r="R69" s="35"/>
      <c r="S69" s="35"/>
      <c r="T69" s="35"/>
      <c r="U69" s="35"/>
      <c r="V69" s="35"/>
      <c r="W69" s="35"/>
      <c r="X69" s="35"/>
    </row>
    <row r="70" spans="1:24" s="25" customFormat="1" x14ac:dyDescent="0.3">
      <c r="A70" s="388" t="s">
        <v>23</v>
      </c>
      <c r="B70" s="389"/>
      <c r="C70" s="43"/>
      <c r="D70" s="44"/>
      <c r="E70" s="44"/>
      <c r="F70" s="44"/>
      <c r="G70" s="45">
        <f>SUM(G53:G69)</f>
        <v>1090000</v>
      </c>
      <c r="H70" s="46"/>
      <c r="I70" s="44"/>
      <c r="J70" s="44"/>
      <c r="K70" s="44"/>
      <c r="L70" s="45"/>
      <c r="M70" s="43"/>
      <c r="N70" s="44"/>
      <c r="O70" s="44"/>
      <c r="P70" s="45"/>
      <c r="Q70" s="46"/>
      <c r="R70" s="44"/>
      <c r="S70" s="44"/>
      <c r="T70" s="45"/>
      <c r="U70" s="46"/>
      <c r="V70" s="44"/>
      <c r="W70" s="44"/>
      <c r="X70" s="45"/>
    </row>
    <row r="71" spans="1:24" s="25" customFormat="1" x14ac:dyDescent="0.3">
      <c r="A71" s="47" t="s">
        <v>24</v>
      </c>
      <c r="B71" s="48"/>
      <c r="C71" s="390"/>
      <c r="D71" s="391"/>
      <c r="E71" s="391"/>
      <c r="F71" s="391"/>
      <c r="G71" s="391"/>
      <c r="H71" s="391"/>
      <c r="I71" s="391"/>
      <c r="J71" s="391"/>
      <c r="K71" s="391"/>
      <c r="L71" s="391"/>
      <c r="M71" s="391"/>
      <c r="N71" s="391"/>
      <c r="O71" s="391"/>
      <c r="P71" s="391"/>
      <c r="Q71" s="391"/>
      <c r="R71" s="391"/>
      <c r="S71" s="391"/>
      <c r="T71" s="391"/>
      <c r="U71" s="391"/>
      <c r="V71" s="391"/>
      <c r="W71" s="391"/>
      <c r="X71" s="392"/>
    </row>
    <row r="72" spans="1:24" x14ac:dyDescent="0.3">
      <c r="B72" s="2"/>
    </row>
    <row r="73" spans="1:24" x14ac:dyDescent="0.3">
      <c r="C73" s="13"/>
      <c r="G73" s="13"/>
      <c r="L73" s="13"/>
      <c r="M73" s="14"/>
      <c r="P73" s="13"/>
      <c r="T73" s="13"/>
    </row>
    <row r="74" spans="1:24" x14ac:dyDescent="0.3">
      <c r="B74" s="2"/>
      <c r="C74" s="13"/>
    </row>
    <row r="75" spans="1:24" x14ac:dyDescent="0.3">
      <c r="B75" s="2"/>
      <c r="C75" s="13"/>
    </row>
    <row r="76" spans="1:24" ht="14.7" customHeight="1" x14ac:dyDescent="0.3">
      <c r="B76" s="13"/>
    </row>
    <row r="77" spans="1:24" x14ac:dyDescent="0.3">
      <c r="B77" s="13"/>
      <c r="P77" s="14"/>
    </row>
    <row r="80" spans="1:24" x14ac:dyDescent="0.3">
      <c r="D80" s="21"/>
    </row>
    <row r="81" spans="4:8" x14ac:dyDescent="0.3">
      <c r="D81" s="21"/>
    </row>
    <row r="82" spans="4:8" x14ac:dyDescent="0.3">
      <c r="D82" s="22"/>
    </row>
    <row r="83" spans="4:8" x14ac:dyDescent="0.3">
      <c r="D83" s="22"/>
      <c r="H83" s="20"/>
    </row>
    <row r="84" spans="4:8" x14ac:dyDescent="0.3">
      <c r="D84" s="22"/>
    </row>
    <row r="85" spans="4:8" x14ac:dyDescent="0.3">
      <c r="D85" s="22"/>
    </row>
    <row r="86" spans="4:8" x14ac:dyDescent="0.3">
      <c r="D86" s="22"/>
    </row>
    <row r="87" spans="4:8" x14ac:dyDescent="0.3">
      <c r="D87" s="22"/>
    </row>
    <row r="88" spans="4:8" x14ac:dyDescent="0.3">
      <c r="D88" s="21"/>
    </row>
    <row r="90" spans="4:8" x14ac:dyDescent="0.3">
      <c r="D90" s="13"/>
    </row>
  </sheetData>
  <mergeCells count="29">
    <mergeCell ref="A70:B70"/>
    <mergeCell ref="C71:X71"/>
    <mergeCell ref="A41:A42"/>
    <mergeCell ref="B41:B42"/>
    <mergeCell ref="A43:A47"/>
    <mergeCell ref="B43:B47"/>
    <mergeCell ref="C52:X52"/>
    <mergeCell ref="A50:A51"/>
    <mergeCell ref="C7:X7"/>
    <mergeCell ref="A64:A67"/>
    <mergeCell ref="B64:B67"/>
    <mergeCell ref="B50:B51"/>
    <mergeCell ref="A48:A49"/>
    <mergeCell ref="B48:B49"/>
    <mergeCell ref="C38:X38"/>
    <mergeCell ref="C18:X18"/>
    <mergeCell ref="A19:A35"/>
    <mergeCell ref="B19:B35"/>
    <mergeCell ref="B8:B10"/>
    <mergeCell ref="A39:A40"/>
    <mergeCell ref="B39:B40"/>
    <mergeCell ref="A8:A12"/>
    <mergeCell ref="C3:X3"/>
    <mergeCell ref="A4:B6"/>
    <mergeCell ref="C4:E5"/>
    <mergeCell ref="H4:L5"/>
    <mergeCell ref="M4:P4"/>
    <mergeCell ref="Q4:T4"/>
    <mergeCell ref="U4:X4"/>
  </mergeCells>
  <conditionalFormatting sqref="H23:H24 H20:H21">
    <cfRule type="cellIs" dxfId="1" priority="1" operator="equal">
      <formula>"(en blanco)"</formula>
    </cfRule>
  </conditionalFormatting>
  <pageMargins left="0" right="0" top="0.75" bottom="0.75" header="0.3" footer="0.3"/>
  <pageSetup paperSize="5" scale="6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6FE11-FEAC-461F-884C-80D270EC27F2}">
  <dimension ref="A1:X87"/>
  <sheetViews>
    <sheetView zoomScale="60" zoomScaleNormal="60" workbookViewId="0">
      <pane xSplit="2" ySplit="6" topLeftCell="C46" activePane="bottomRight" state="frozen"/>
      <selection pane="topRight" activeCell="M61" sqref="M61"/>
      <selection pane="bottomLeft" activeCell="M61" sqref="M61"/>
      <selection pane="bottomRight" activeCell="H66" sqref="H66"/>
    </sheetView>
  </sheetViews>
  <sheetFormatPr defaultColWidth="9" defaultRowHeight="14.4" x14ac:dyDescent="0.3"/>
  <cols>
    <col min="1" max="1" width="38.69921875" style="282" customWidth="1"/>
    <col min="2" max="2" width="16.3984375" style="284" customWidth="1"/>
    <col min="3" max="3" width="30.5" style="284" customWidth="1"/>
    <col min="4" max="4" width="15.69921875" style="284" customWidth="1"/>
    <col min="5" max="5" width="7.69921875" style="284" bestFit="1" customWidth="1"/>
    <col min="6" max="6" width="6.69921875" style="284" customWidth="1"/>
    <col min="7" max="7" width="16.69921875" style="284" customWidth="1"/>
    <col min="8" max="8" width="45.5" style="284" customWidth="1"/>
    <col min="9" max="9" width="7.59765625" style="284" bestFit="1" customWidth="1"/>
    <col min="10" max="10" width="7.5" style="284" bestFit="1" customWidth="1"/>
    <col min="11" max="11" width="7.69921875" style="284" customWidth="1"/>
    <col min="12" max="12" width="11.19921875" style="284" customWidth="1"/>
    <col min="13" max="13" width="31.19921875" style="284" customWidth="1"/>
    <col min="14" max="14" width="13" style="284" bestFit="1" customWidth="1"/>
    <col min="15" max="15" width="8.19921875" style="284" bestFit="1" customWidth="1"/>
    <col min="16" max="16" width="12.19921875" style="284" customWidth="1"/>
    <col min="17" max="17" width="23" style="284" customWidth="1"/>
    <col min="18" max="18" width="11.19921875" style="284" customWidth="1"/>
    <col min="19" max="19" width="8.19921875" style="284" bestFit="1" customWidth="1"/>
    <col min="20" max="20" width="12.19921875" style="284" customWidth="1"/>
    <col min="21" max="21" width="17.19921875" style="284" customWidth="1"/>
    <col min="22" max="22" width="15" style="284" hidden="1" customWidth="1"/>
    <col min="23" max="23" width="8.19921875" style="284" customWidth="1"/>
    <col min="24" max="24" width="9.69921875" style="284" customWidth="1"/>
    <col min="25" max="16384" width="9" style="284"/>
  </cols>
  <sheetData>
    <row r="1" spans="1:24" x14ac:dyDescent="0.3">
      <c r="B1" s="283"/>
      <c r="F1" s="285"/>
      <c r="G1" s="286"/>
    </row>
    <row r="2" spans="1:24" x14ac:dyDescent="0.3">
      <c r="A2" s="64" t="s">
        <v>83</v>
      </c>
      <c r="F2" s="285"/>
      <c r="G2" s="287"/>
      <c r="H2" s="285"/>
    </row>
    <row r="3" spans="1:24" s="290" customFormat="1" x14ac:dyDescent="0.3">
      <c r="A3" s="288" t="s">
        <v>0</v>
      </c>
      <c r="B3" s="289">
        <f>B7+B18+B37+B48</f>
        <v>15000000</v>
      </c>
      <c r="C3" s="411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</row>
    <row r="4" spans="1:24" s="290" customFormat="1" x14ac:dyDescent="0.3">
      <c r="A4" s="413" t="s">
        <v>1</v>
      </c>
      <c r="B4" s="414"/>
      <c r="C4" s="415" t="s">
        <v>2</v>
      </c>
      <c r="D4" s="416"/>
      <c r="E4" s="416"/>
      <c r="F4" s="291">
        <f>SUM(F11:F63)</f>
        <v>34</v>
      </c>
      <c r="G4" s="291">
        <f>SUM(G11:G63)</f>
        <v>1529800</v>
      </c>
      <c r="H4" s="415" t="s">
        <v>3</v>
      </c>
      <c r="I4" s="416"/>
      <c r="J4" s="416"/>
      <c r="K4" s="416"/>
      <c r="L4" s="416"/>
      <c r="M4" s="417" t="s">
        <v>4</v>
      </c>
      <c r="N4" s="418"/>
      <c r="O4" s="418"/>
      <c r="P4" s="418"/>
      <c r="Q4" s="417" t="s">
        <v>79</v>
      </c>
      <c r="R4" s="418"/>
      <c r="S4" s="418"/>
      <c r="T4" s="418"/>
      <c r="U4" s="417" t="s">
        <v>5</v>
      </c>
      <c r="V4" s="418"/>
      <c r="W4" s="418"/>
      <c r="X4" s="418"/>
    </row>
    <row r="5" spans="1:24" s="290" customFormat="1" x14ac:dyDescent="0.3">
      <c r="A5" s="413"/>
      <c r="B5" s="414"/>
      <c r="C5" s="416"/>
      <c r="D5" s="416"/>
      <c r="E5" s="416"/>
      <c r="F5" s="291">
        <v>0</v>
      </c>
      <c r="G5" s="291">
        <v>0</v>
      </c>
      <c r="H5" s="416"/>
      <c r="I5" s="416"/>
      <c r="J5" s="416"/>
      <c r="K5" s="416"/>
      <c r="L5" s="416"/>
      <c r="M5" s="292"/>
      <c r="N5" s="293"/>
      <c r="O5" s="293"/>
      <c r="P5" s="293"/>
      <c r="Q5" s="292"/>
      <c r="R5" s="293"/>
      <c r="S5" s="293"/>
      <c r="T5" s="293"/>
      <c r="U5" s="292"/>
      <c r="V5" s="293"/>
      <c r="W5" s="293"/>
      <c r="X5" s="293"/>
    </row>
    <row r="6" spans="1:24" s="290" customFormat="1" ht="72" customHeight="1" x14ac:dyDescent="0.3">
      <c r="A6" s="414"/>
      <c r="B6" s="414"/>
      <c r="C6" s="294" t="s">
        <v>6</v>
      </c>
      <c r="D6" s="295" t="s">
        <v>7</v>
      </c>
      <c r="E6" s="295" t="s">
        <v>8</v>
      </c>
      <c r="F6" s="295" t="s">
        <v>9</v>
      </c>
      <c r="G6" s="294" t="s">
        <v>10</v>
      </c>
      <c r="H6" s="294" t="s">
        <v>6</v>
      </c>
      <c r="I6" s="295" t="s">
        <v>11</v>
      </c>
      <c r="J6" s="295" t="s">
        <v>8</v>
      </c>
      <c r="K6" s="295" t="s">
        <v>9</v>
      </c>
      <c r="L6" s="294" t="s">
        <v>10</v>
      </c>
      <c r="M6" s="294" t="s">
        <v>6</v>
      </c>
      <c r="N6" s="295" t="s">
        <v>11</v>
      </c>
      <c r="O6" s="294" t="s">
        <v>12</v>
      </c>
      <c r="P6" s="294" t="s">
        <v>10</v>
      </c>
      <c r="Q6" s="294" t="s">
        <v>6</v>
      </c>
      <c r="R6" s="295" t="s">
        <v>11</v>
      </c>
      <c r="S6" s="294" t="s">
        <v>12</v>
      </c>
      <c r="T6" s="294" t="s">
        <v>10</v>
      </c>
      <c r="U6" s="294" t="s">
        <v>6</v>
      </c>
      <c r="V6" s="295" t="s">
        <v>11</v>
      </c>
      <c r="W6" s="294" t="s">
        <v>13</v>
      </c>
      <c r="X6" s="294" t="s">
        <v>10</v>
      </c>
    </row>
    <row r="7" spans="1:24" s="290" customFormat="1" ht="16.2" customHeight="1" x14ac:dyDescent="0.3">
      <c r="A7" s="296" t="s">
        <v>14</v>
      </c>
      <c r="B7" s="297">
        <f>SUM(B8:B17)</f>
        <v>929300.79999999993</v>
      </c>
      <c r="C7" s="408" t="s">
        <v>82</v>
      </c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</row>
    <row r="8" spans="1:24" s="304" customFormat="1" ht="103.95" customHeight="1" x14ac:dyDescent="0.3">
      <c r="A8" s="385" t="s">
        <v>334</v>
      </c>
      <c r="B8" s="380">
        <f>SUM(G8:G12)+SUM(L8:L12)+SUM(P8:P12)+SUM(T8:T12)+SUM(X8:X12)</f>
        <v>179000</v>
      </c>
      <c r="C8" s="298" t="s">
        <v>234</v>
      </c>
      <c r="D8" s="299">
        <v>2000</v>
      </c>
      <c r="E8" s="299">
        <v>9</v>
      </c>
      <c r="F8" s="299">
        <v>2</v>
      </c>
      <c r="G8" s="300">
        <f t="shared" ref="G8" si="0">D8*E8*F8</f>
        <v>36000</v>
      </c>
      <c r="H8" s="301"/>
      <c r="I8" s="301"/>
      <c r="J8" s="301"/>
      <c r="K8" s="301"/>
      <c r="L8" s="301"/>
      <c r="M8" s="302" t="s">
        <v>235</v>
      </c>
      <c r="N8" s="300">
        <v>35000</v>
      </c>
      <c r="O8" s="300">
        <v>1</v>
      </c>
      <c r="P8" s="300">
        <f>O8*N8</f>
        <v>35000</v>
      </c>
      <c r="Q8" s="301"/>
      <c r="R8" s="301"/>
      <c r="S8" s="301"/>
      <c r="T8" s="301"/>
      <c r="U8" s="303"/>
      <c r="V8" s="299"/>
      <c r="W8" s="299"/>
      <c r="X8" s="300"/>
    </row>
    <row r="9" spans="1:24" s="304" customFormat="1" ht="62.4" customHeight="1" x14ac:dyDescent="0.3">
      <c r="A9" s="386"/>
      <c r="B9" s="381"/>
      <c r="C9" s="299"/>
      <c r="D9" s="299"/>
      <c r="E9" s="299"/>
      <c r="F9" s="299"/>
      <c r="G9" s="300"/>
      <c r="H9" s="301"/>
      <c r="I9" s="301"/>
      <c r="J9" s="301"/>
      <c r="K9" s="301"/>
      <c r="L9" s="301"/>
      <c r="M9" s="302" t="s">
        <v>236</v>
      </c>
      <c r="N9" s="300">
        <v>25000</v>
      </c>
      <c r="O9" s="300">
        <v>1</v>
      </c>
      <c r="P9" s="300">
        <f>O9*N9</f>
        <v>25000</v>
      </c>
      <c r="Q9" s="301"/>
      <c r="R9" s="301"/>
      <c r="S9" s="301"/>
      <c r="T9" s="301"/>
      <c r="U9" s="303"/>
      <c r="V9" s="299"/>
      <c r="W9" s="299"/>
      <c r="X9" s="300"/>
    </row>
    <row r="10" spans="1:24" s="304" customFormat="1" ht="36.6" customHeight="1" x14ac:dyDescent="0.3">
      <c r="A10" s="386"/>
      <c r="B10" s="381"/>
      <c r="C10" s="299"/>
      <c r="D10" s="299"/>
      <c r="E10" s="299"/>
      <c r="F10" s="299"/>
      <c r="G10" s="300"/>
      <c r="H10" s="301"/>
      <c r="I10" s="301"/>
      <c r="J10" s="301"/>
      <c r="K10" s="301"/>
      <c r="L10" s="301"/>
      <c r="M10" s="302" t="s">
        <v>237</v>
      </c>
      <c r="N10" s="300">
        <v>3500</v>
      </c>
      <c r="O10" s="300">
        <v>2</v>
      </c>
      <c r="P10" s="300">
        <f t="shared" ref="P10:P11" si="1">O10*N10</f>
        <v>7000</v>
      </c>
      <c r="Q10" s="301"/>
      <c r="R10" s="301"/>
      <c r="S10" s="301"/>
      <c r="T10" s="301"/>
      <c r="U10" s="303"/>
      <c r="V10" s="299"/>
      <c r="W10" s="299"/>
      <c r="X10" s="300"/>
    </row>
    <row r="11" spans="1:24" s="290" customFormat="1" ht="97.8" customHeight="1" x14ac:dyDescent="0.3">
      <c r="A11" s="386"/>
      <c r="B11" s="381"/>
      <c r="C11" s="298" t="s">
        <v>483</v>
      </c>
      <c r="D11" s="300">
        <v>2000</v>
      </c>
      <c r="E11" s="300">
        <v>18</v>
      </c>
      <c r="F11" s="300">
        <v>1</v>
      </c>
      <c r="G11" s="300">
        <f>F11*E11*D11</f>
        <v>36000</v>
      </c>
      <c r="H11" s="305"/>
      <c r="I11" s="306"/>
      <c r="J11" s="306"/>
      <c r="K11" s="306"/>
      <c r="L11" s="307"/>
      <c r="M11" s="302" t="s">
        <v>239</v>
      </c>
      <c r="N11" s="300">
        <v>3500</v>
      </c>
      <c r="O11" s="300">
        <v>2</v>
      </c>
      <c r="P11" s="300">
        <f t="shared" si="1"/>
        <v>7000</v>
      </c>
      <c r="Q11" s="308"/>
      <c r="R11" s="306"/>
      <c r="S11" s="306"/>
      <c r="T11" s="307"/>
      <c r="U11" s="303"/>
      <c r="V11" s="299"/>
      <c r="W11" s="299"/>
      <c r="X11" s="300">
        <f t="shared" ref="X11:X17" si="2">V11*W11</f>
        <v>0</v>
      </c>
    </row>
    <row r="12" spans="1:24" s="290" customFormat="1" ht="58.2" customHeight="1" x14ac:dyDescent="0.3">
      <c r="A12" s="387"/>
      <c r="B12" s="382"/>
      <c r="C12" s="309" t="s">
        <v>174</v>
      </c>
      <c r="D12" s="299">
        <v>16500</v>
      </c>
      <c r="E12" s="299">
        <v>2</v>
      </c>
      <c r="F12" s="299">
        <v>1</v>
      </c>
      <c r="G12" s="300">
        <f t="shared" ref="G12" si="3">D12*E12*F12</f>
        <v>33000</v>
      </c>
      <c r="H12" s="305"/>
      <c r="I12" s="306"/>
      <c r="J12" s="306"/>
      <c r="K12" s="306"/>
      <c r="L12" s="307"/>
      <c r="M12" s="309"/>
      <c r="N12" s="299"/>
      <c r="O12" s="299"/>
      <c r="P12" s="300"/>
      <c r="Q12" s="310"/>
      <c r="R12" s="306"/>
      <c r="S12" s="306"/>
      <c r="T12" s="307"/>
      <c r="U12" s="303"/>
      <c r="V12" s="299"/>
      <c r="W12" s="299"/>
      <c r="X12" s="300"/>
    </row>
    <row r="13" spans="1:24" s="290" customFormat="1" ht="157.19999999999999" customHeight="1" x14ac:dyDescent="0.3">
      <c r="A13" s="311" t="s">
        <v>335</v>
      </c>
      <c r="B13" s="312">
        <f>SUM(G13)+SUM(L13)+SUM(P13)+SUM(T13)+SUM(X13)</f>
        <v>396910.79999999993</v>
      </c>
      <c r="C13" s="309"/>
      <c r="D13" s="299"/>
      <c r="E13" s="299"/>
      <c r="F13" s="299"/>
      <c r="G13" s="300"/>
      <c r="H13" s="305" t="s">
        <v>245</v>
      </c>
      <c r="I13" s="306">
        <v>20354.399999999998</v>
      </c>
      <c r="J13" s="306">
        <v>6.5</v>
      </c>
      <c r="K13" s="306">
        <v>3</v>
      </c>
      <c r="L13" s="307">
        <f t="shared" ref="L13:L14" si="4">I13*J13*K13</f>
        <v>396910.79999999993</v>
      </c>
      <c r="M13" s="309"/>
      <c r="N13" s="299"/>
      <c r="O13" s="299"/>
      <c r="P13" s="300"/>
      <c r="Q13" s="310"/>
      <c r="R13" s="306"/>
      <c r="S13" s="306"/>
      <c r="T13" s="307"/>
      <c r="U13" s="303"/>
      <c r="V13" s="299"/>
      <c r="W13" s="299"/>
      <c r="X13" s="300"/>
    </row>
    <row r="14" spans="1:24" s="290" customFormat="1" ht="128.4" customHeight="1" x14ac:dyDescent="0.3">
      <c r="A14" s="311" t="s">
        <v>336</v>
      </c>
      <c r="B14" s="312">
        <f>SUM(G14:G14)+SUM(L14:L14)+SUM(P14:P14)+SUM(T7:T14)+SUM(X14:X14)</f>
        <v>203543.99999999997</v>
      </c>
      <c r="C14" s="309"/>
      <c r="D14" s="299"/>
      <c r="E14" s="299"/>
      <c r="F14" s="299"/>
      <c r="G14" s="300"/>
      <c r="H14" s="305" t="s">
        <v>246</v>
      </c>
      <c r="I14" s="306">
        <v>20354.399999999998</v>
      </c>
      <c r="J14" s="306">
        <v>5</v>
      </c>
      <c r="K14" s="306">
        <v>2</v>
      </c>
      <c r="L14" s="307">
        <f t="shared" si="4"/>
        <v>203543.99999999997</v>
      </c>
      <c r="M14" s="309"/>
      <c r="N14" s="299"/>
      <c r="O14" s="299"/>
      <c r="P14" s="300"/>
      <c r="Q14" s="308"/>
      <c r="R14" s="306"/>
      <c r="S14" s="306"/>
      <c r="T14" s="307"/>
      <c r="U14" s="303"/>
      <c r="V14" s="299"/>
      <c r="W14" s="299"/>
      <c r="X14" s="300"/>
    </row>
    <row r="15" spans="1:24" s="290" customFormat="1" ht="121.2" customHeight="1" x14ac:dyDescent="0.3">
      <c r="A15" s="311" t="s">
        <v>337</v>
      </c>
      <c r="B15" s="262">
        <f>SUM(G15:G15)+SUM(L15)+SUM(P15:P15)+SUM(T15)+SUM(X15:X15)</f>
        <v>9240</v>
      </c>
      <c r="C15" s="309" t="s">
        <v>96</v>
      </c>
      <c r="D15" s="299">
        <v>3080</v>
      </c>
      <c r="E15" s="299">
        <v>3</v>
      </c>
      <c r="F15" s="299">
        <v>1</v>
      </c>
      <c r="G15" s="300">
        <f t="shared" ref="G15" si="5">D15*E15*F15</f>
        <v>9240</v>
      </c>
      <c r="M15" s="309"/>
      <c r="N15" s="299"/>
      <c r="O15" s="299"/>
      <c r="P15" s="300">
        <f t="shared" ref="P15" si="6">N15*O15</f>
        <v>0</v>
      </c>
      <c r="U15" s="303"/>
      <c r="V15" s="299"/>
      <c r="W15" s="299"/>
      <c r="X15" s="300">
        <f t="shared" si="2"/>
        <v>0</v>
      </c>
    </row>
    <row r="16" spans="1:24" s="290" customFormat="1" ht="136.19999999999999" customHeight="1" x14ac:dyDescent="0.3">
      <c r="A16" s="311" t="s">
        <v>338</v>
      </c>
      <c r="B16" s="262">
        <f>SUM(G16:G16)+SUM(L16:L16)+SUM(P16:P16)+SUM(T10:T16)+SUM(X16:X16)</f>
        <v>122126</v>
      </c>
      <c r="C16" s="309"/>
      <c r="D16" s="299"/>
      <c r="E16" s="299"/>
      <c r="F16" s="299"/>
      <c r="G16" s="300"/>
      <c r="H16" s="305" t="s">
        <v>233</v>
      </c>
      <c r="I16" s="306">
        <v>20354.399999999998</v>
      </c>
      <c r="J16" s="306">
        <v>3</v>
      </c>
      <c r="K16" s="306">
        <v>2</v>
      </c>
      <c r="L16" s="307">
        <v>100000</v>
      </c>
      <c r="M16" s="309" t="s">
        <v>322</v>
      </c>
      <c r="N16" s="299">
        <v>22126</v>
      </c>
      <c r="O16" s="300">
        <v>1</v>
      </c>
      <c r="P16" s="300">
        <f>O16*N16</f>
        <v>22126</v>
      </c>
      <c r="U16" s="303"/>
      <c r="V16" s="299"/>
      <c r="W16" s="299"/>
      <c r="X16" s="300"/>
    </row>
    <row r="17" spans="1:24" s="290" customFormat="1" ht="198" customHeight="1" x14ac:dyDescent="0.3">
      <c r="A17" s="311" t="s">
        <v>339</v>
      </c>
      <c r="B17" s="262">
        <f>SUM(G17:G17)+SUM(L17:L17)+SUM(P17:P17)+SUM(T11:T17)+SUM(X17:X17)</f>
        <v>18480</v>
      </c>
      <c r="C17" s="309" t="s">
        <v>97</v>
      </c>
      <c r="D17" s="299">
        <v>3080</v>
      </c>
      <c r="E17" s="299">
        <v>3</v>
      </c>
      <c r="F17" s="299">
        <v>2</v>
      </c>
      <c r="G17" s="300">
        <f t="shared" ref="G17" si="7">D17*E17*F17</f>
        <v>18480</v>
      </c>
      <c r="M17" s="309" t="s">
        <v>15</v>
      </c>
      <c r="N17" s="299" t="s">
        <v>15</v>
      </c>
      <c r="O17" s="299" t="s">
        <v>15</v>
      </c>
      <c r="P17" s="300" t="s">
        <v>15</v>
      </c>
      <c r="U17" s="303"/>
      <c r="V17" s="299"/>
      <c r="W17" s="299"/>
      <c r="X17" s="300">
        <f t="shared" si="2"/>
        <v>0</v>
      </c>
    </row>
    <row r="18" spans="1:24" s="290" customFormat="1" x14ac:dyDescent="0.3">
      <c r="A18" s="296" t="s">
        <v>16</v>
      </c>
      <c r="B18" s="297">
        <f>+SUM(B19:B36)</f>
        <v>12232720</v>
      </c>
      <c r="C18" s="408" t="s">
        <v>84</v>
      </c>
      <c r="D18" s="409"/>
      <c r="E18" s="409"/>
      <c r="F18" s="409"/>
      <c r="G18" s="409"/>
      <c r="H18" s="409"/>
      <c r="I18" s="409"/>
      <c r="J18" s="409"/>
      <c r="K18" s="409"/>
      <c r="L18" s="409"/>
      <c r="M18" s="409"/>
      <c r="N18" s="409"/>
      <c r="O18" s="409"/>
      <c r="P18" s="409"/>
      <c r="Q18" s="409"/>
      <c r="R18" s="409"/>
      <c r="S18" s="409"/>
      <c r="T18" s="409"/>
      <c r="U18" s="409"/>
      <c r="V18" s="409"/>
      <c r="W18" s="409"/>
      <c r="X18" s="409"/>
    </row>
    <row r="19" spans="1:24" s="290" customFormat="1" ht="52.2" customHeight="1" x14ac:dyDescent="0.3">
      <c r="A19" s="410" t="s">
        <v>85</v>
      </c>
      <c r="B19" s="377">
        <f>SUM(G19:G34)+SUM(L19:L34)+SUM(P19:P34)+SUM(T19:T34)+SUM(X19:X34)</f>
        <v>12180760</v>
      </c>
      <c r="C19" s="309"/>
      <c r="D19" s="299"/>
      <c r="E19" s="299"/>
      <c r="F19" s="299"/>
      <c r="G19" s="300"/>
      <c r="H19" s="308" t="s">
        <v>253</v>
      </c>
      <c r="I19" s="306">
        <v>0</v>
      </c>
      <c r="J19" s="306">
        <v>0</v>
      </c>
      <c r="K19" s="306">
        <v>0</v>
      </c>
      <c r="L19" s="306">
        <v>300000</v>
      </c>
      <c r="M19" s="309"/>
      <c r="N19" s="299"/>
      <c r="O19" s="299"/>
      <c r="P19" s="300"/>
      <c r="Q19" s="308" t="s">
        <v>15</v>
      </c>
      <c r="R19" s="306"/>
      <c r="S19" s="306"/>
      <c r="T19" s="307">
        <f t="shared" ref="T19:T36" si="8">R19*S19</f>
        <v>0</v>
      </c>
      <c r="U19" s="303"/>
      <c r="V19" s="299"/>
      <c r="W19" s="299"/>
      <c r="X19" s="300">
        <f t="shared" ref="X19:X35" si="9">V19*W19</f>
        <v>0</v>
      </c>
    </row>
    <row r="20" spans="1:24" s="290" customFormat="1" ht="52.2" customHeight="1" x14ac:dyDescent="0.3">
      <c r="A20" s="410"/>
      <c r="B20" s="378"/>
      <c r="C20" s="313"/>
      <c r="D20" s="313"/>
      <c r="E20" s="313"/>
      <c r="F20" s="313"/>
      <c r="G20" s="314"/>
      <c r="H20" s="315" t="s">
        <v>254</v>
      </c>
      <c r="I20" s="306">
        <v>0</v>
      </c>
      <c r="J20" s="306">
        <v>0</v>
      </c>
      <c r="K20" s="306">
        <v>0</v>
      </c>
      <c r="L20" s="316">
        <v>300000</v>
      </c>
      <c r="M20" s="309"/>
      <c r="N20" s="299"/>
      <c r="O20" s="299"/>
      <c r="P20" s="300"/>
      <c r="Q20" s="308"/>
      <c r="R20" s="306"/>
      <c r="S20" s="306"/>
      <c r="T20" s="307"/>
      <c r="U20" s="303"/>
      <c r="V20" s="299"/>
      <c r="W20" s="299"/>
      <c r="X20" s="300">
        <f>V20*W20</f>
        <v>0</v>
      </c>
    </row>
    <row r="21" spans="1:24" s="290" customFormat="1" ht="52.2" customHeight="1" x14ac:dyDescent="0.3">
      <c r="A21" s="410"/>
      <c r="B21" s="378"/>
      <c r="C21" s="313"/>
      <c r="D21" s="313"/>
      <c r="E21" s="313"/>
      <c r="F21" s="313"/>
      <c r="G21" s="314"/>
      <c r="H21" s="317" t="s">
        <v>267</v>
      </c>
      <c r="I21" s="306">
        <v>0</v>
      </c>
      <c r="J21" s="306">
        <v>0</v>
      </c>
      <c r="K21" s="306">
        <v>0</v>
      </c>
      <c r="L21" s="318">
        <v>100000</v>
      </c>
      <c r="M21" s="309"/>
      <c r="N21" s="299"/>
      <c r="O21" s="299"/>
      <c r="P21" s="300"/>
      <c r="Q21" s="308"/>
      <c r="R21" s="306"/>
      <c r="S21" s="306"/>
      <c r="T21" s="307"/>
      <c r="U21" s="303"/>
      <c r="V21" s="299"/>
      <c r="W21" s="299"/>
      <c r="X21" s="300">
        <f t="shared" ref="X21:X33" si="10">V21*W21</f>
        <v>0</v>
      </c>
    </row>
    <row r="22" spans="1:24" s="290" customFormat="1" ht="52.2" customHeight="1" x14ac:dyDescent="0.3">
      <c r="A22" s="410"/>
      <c r="B22" s="378"/>
      <c r="C22" s="313"/>
      <c r="D22" s="313"/>
      <c r="E22" s="313"/>
      <c r="F22" s="313"/>
      <c r="G22" s="314"/>
      <c r="H22" s="319" t="s">
        <v>484</v>
      </c>
      <c r="I22" s="320">
        <v>0</v>
      </c>
      <c r="J22" s="320">
        <v>0</v>
      </c>
      <c r="K22" s="320">
        <v>0</v>
      </c>
      <c r="L22" s="321">
        <v>1100000</v>
      </c>
      <c r="M22" s="309"/>
      <c r="N22" s="299"/>
      <c r="O22" s="299"/>
      <c r="P22" s="300"/>
      <c r="Q22" s="308"/>
      <c r="R22" s="306"/>
      <c r="S22" s="306"/>
      <c r="T22" s="307"/>
      <c r="U22" s="303"/>
      <c r="V22" s="299"/>
      <c r="W22" s="299"/>
      <c r="X22" s="300">
        <f t="shared" si="10"/>
        <v>0</v>
      </c>
    </row>
    <row r="23" spans="1:24" s="290" customFormat="1" ht="52.2" customHeight="1" x14ac:dyDescent="0.3">
      <c r="A23" s="410"/>
      <c r="B23" s="378"/>
      <c r="C23" s="313"/>
      <c r="D23" s="313"/>
      <c r="E23" s="313"/>
      <c r="F23" s="313"/>
      <c r="G23" s="314"/>
      <c r="H23" s="317" t="s">
        <v>256</v>
      </c>
      <c r="I23" s="306">
        <v>0</v>
      </c>
      <c r="J23" s="306">
        <v>0</v>
      </c>
      <c r="K23" s="306">
        <v>0</v>
      </c>
      <c r="L23" s="322">
        <v>1000000</v>
      </c>
      <c r="M23" s="309"/>
      <c r="N23" s="299"/>
      <c r="O23" s="299"/>
      <c r="P23" s="300"/>
      <c r="Q23" s="308"/>
      <c r="R23" s="306"/>
      <c r="S23" s="306"/>
      <c r="T23" s="307"/>
      <c r="U23" s="303"/>
      <c r="V23" s="299"/>
      <c r="W23" s="299"/>
      <c r="X23" s="300">
        <f t="shared" si="10"/>
        <v>0</v>
      </c>
    </row>
    <row r="24" spans="1:24" s="290" customFormat="1" ht="64.2" customHeight="1" x14ac:dyDescent="0.3">
      <c r="A24" s="410"/>
      <c r="B24" s="378"/>
      <c r="C24" s="313"/>
      <c r="D24" s="313"/>
      <c r="E24" s="313"/>
      <c r="F24" s="313"/>
      <c r="G24" s="314"/>
      <c r="H24" s="315" t="s">
        <v>257</v>
      </c>
      <c r="I24" s="306">
        <v>0</v>
      </c>
      <c r="J24" s="306">
        <v>0</v>
      </c>
      <c r="K24" s="306">
        <v>0</v>
      </c>
      <c r="L24" s="323">
        <v>550000</v>
      </c>
      <c r="M24" s="309"/>
      <c r="N24" s="299"/>
      <c r="O24" s="299"/>
      <c r="P24" s="300"/>
      <c r="Q24" s="308"/>
      <c r="R24" s="306"/>
      <c r="S24" s="306"/>
      <c r="T24" s="307"/>
      <c r="U24" s="303"/>
      <c r="V24" s="299"/>
      <c r="W24" s="299"/>
      <c r="X24" s="300">
        <f t="shared" si="10"/>
        <v>0</v>
      </c>
    </row>
    <row r="25" spans="1:24" s="290" customFormat="1" ht="52.2" customHeight="1" x14ac:dyDescent="0.3">
      <c r="A25" s="410"/>
      <c r="B25" s="378"/>
      <c r="C25" s="313"/>
      <c r="D25" s="313"/>
      <c r="E25" s="313"/>
      <c r="F25" s="313"/>
      <c r="G25" s="314"/>
      <c r="H25" s="324" t="s">
        <v>258</v>
      </c>
      <c r="I25" s="306">
        <v>0</v>
      </c>
      <c r="J25" s="306">
        <v>0</v>
      </c>
      <c r="K25" s="306">
        <v>0</v>
      </c>
      <c r="L25" s="322">
        <v>750000</v>
      </c>
      <c r="M25" s="309"/>
      <c r="N25" s="299"/>
      <c r="O25" s="299"/>
      <c r="P25" s="300"/>
      <c r="Q25" s="308"/>
      <c r="R25" s="306"/>
      <c r="S25" s="306"/>
      <c r="T25" s="307"/>
      <c r="U25" s="303"/>
      <c r="V25" s="299"/>
      <c r="W25" s="299"/>
      <c r="X25" s="300">
        <f t="shared" si="10"/>
        <v>0</v>
      </c>
    </row>
    <row r="26" spans="1:24" s="290" customFormat="1" ht="52.2" customHeight="1" x14ac:dyDescent="0.3">
      <c r="A26" s="410"/>
      <c r="B26" s="378"/>
      <c r="C26" s="313"/>
      <c r="D26" s="313"/>
      <c r="E26" s="313"/>
      <c r="F26" s="313"/>
      <c r="G26" s="314"/>
      <c r="H26" s="315" t="s">
        <v>259</v>
      </c>
      <c r="I26" s="306">
        <v>0</v>
      </c>
      <c r="J26" s="306">
        <v>0</v>
      </c>
      <c r="K26" s="306">
        <v>0</v>
      </c>
      <c r="L26" s="325">
        <v>450000</v>
      </c>
      <c r="M26" s="309"/>
      <c r="N26" s="299"/>
      <c r="O26" s="299"/>
      <c r="P26" s="300"/>
      <c r="Q26" s="308"/>
      <c r="R26" s="306"/>
      <c r="S26" s="306"/>
      <c r="T26" s="307"/>
      <c r="U26" s="303"/>
      <c r="V26" s="299"/>
      <c r="W26" s="299"/>
      <c r="X26" s="300">
        <f t="shared" si="10"/>
        <v>0</v>
      </c>
    </row>
    <row r="27" spans="1:24" s="290" customFormat="1" ht="52.2" customHeight="1" x14ac:dyDescent="0.3">
      <c r="A27" s="410"/>
      <c r="B27" s="378"/>
      <c r="C27" s="313"/>
      <c r="D27" s="313"/>
      <c r="E27" s="313"/>
      <c r="F27" s="313"/>
      <c r="G27" s="314"/>
      <c r="H27" s="317" t="s">
        <v>260</v>
      </c>
      <c r="I27" s="306">
        <v>0</v>
      </c>
      <c r="J27" s="306">
        <v>0</v>
      </c>
      <c r="K27" s="306">
        <v>0</v>
      </c>
      <c r="L27" s="322">
        <v>700000</v>
      </c>
      <c r="M27" s="309"/>
      <c r="N27" s="299"/>
      <c r="O27" s="299"/>
      <c r="P27" s="300"/>
      <c r="Q27" s="308"/>
      <c r="R27" s="306"/>
      <c r="S27" s="306"/>
      <c r="T27" s="307"/>
      <c r="U27" s="303"/>
      <c r="V27" s="299"/>
      <c r="W27" s="299"/>
      <c r="X27" s="300">
        <f t="shared" si="10"/>
        <v>0</v>
      </c>
    </row>
    <row r="28" spans="1:24" s="290" customFormat="1" ht="52.2" customHeight="1" x14ac:dyDescent="0.3">
      <c r="A28" s="410"/>
      <c r="B28" s="378"/>
      <c r="C28" s="313"/>
      <c r="D28" s="313"/>
      <c r="E28" s="313"/>
      <c r="F28" s="313"/>
      <c r="G28" s="314"/>
      <c r="H28" s="326" t="s">
        <v>268</v>
      </c>
      <c r="I28" s="306">
        <v>0</v>
      </c>
      <c r="J28" s="306">
        <v>0</v>
      </c>
      <c r="K28" s="306">
        <v>0</v>
      </c>
      <c r="L28" s="316">
        <v>250000</v>
      </c>
      <c r="M28" s="309"/>
      <c r="N28" s="299"/>
      <c r="O28" s="299"/>
      <c r="P28" s="300"/>
      <c r="Q28" s="308"/>
      <c r="R28" s="306"/>
      <c r="S28" s="306"/>
      <c r="T28" s="307"/>
      <c r="U28" s="303"/>
      <c r="V28" s="299"/>
      <c r="W28" s="299"/>
      <c r="X28" s="300">
        <f t="shared" si="10"/>
        <v>0</v>
      </c>
    </row>
    <row r="29" spans="1:24" s="290" customFormat="1" ht="52.2" customHeight="1" x14ac:dyDescent="0.3">
      <c r="A29" s="410"/>
      <c r="B29" s="378"/>
      <c r="C29" s="313"/>
      <c r="D29" s="313"/>
      <c r="E29" s="313"/>
      <c r="F29" s="313"/>
      <c r="G29" s="314"/>
      <c r="H29" s="327" t="s">
        <v>261</v>
      </c>
      <c r="I29" s="306">
        <v>0</v>
      </c>
      <c r="J29" s="306">
        <v>0</v>
      </c>
      <c r="K29" s="306">
        <v>0</v>
      </c>
      <c r="L29" s="322">
        <v>150000</v>
      </c>
      <c r="M29" s="309"/>
      <c r="N29" s="299"/>
      <c r="O29" s="299"/>
      <c r="P29" s="300"/>
      <c r="Q29" s="308"/>
      <c r="R29" s="306"/>
      <c r="S29" s="306"/>
      <c r="T29" s="307"/>
      <c r="U29" s="303"/>
      <c r="V29" s="299"/>
      <c r="W29" s="299"/>
      <c r="X29" s="300">
        <f t="shared" si="10"/>
        <v>0</v>
      </c>
    </row>
    <row r="30" spans="1:24" s="290" customFormat="1" ht="78" customHeight="1" x14ac:dyDescent="0.3">
      <c r="A30" s="410"/>
      <c r="B30" s="378"/>
      <c r="C30" s="313"/>
      <c r="D30" s="313"/>
      <c r="E30" s="313"/>
      <c r="F30" s="313"/>
      <c r="G30" s="314"/>
      <c r="H30" s="326" t="s">
        <v>262</v>
      </c>
      <c r="I30" s="306">
        <v>0</v>
      </c>
      <c r="J30" s="306">
        <v>0</v>
      </c>
      <c r="K30" s="306">
        <v>0</v>
      </c>
      <c r="L30" s="316">
        <v>1500000</v>
      </c>
      <c r="M30" s="309"/>
      <c r="N30" s="299"/>
      <c r="O30" s="299"/>
      <c r="P30" s="300"/>
      <c r="Q30" s="308"/>
      <c r="R30" s="306"/>
      <c r="S30" s="306"/>
      <c r="T30" s="307"/>
      <c r="U30" s="303"/>
      <c r="V30" s="299"/>
      <c r="W30" s="299"/>
      <c r="X30" s="300">
        <f t="shared" si="10"/>
        <v>0</v>
      </c>
    </row>
    <row r="31" spans="1:24" s="290" customFormat="1" ht="52.2" customHeight="1" x14ac:dyDescent="0.3">
      <c r="A31" s="410"/>
      <c r="B31" s="378"/>
      <c r="C31" s="313"/>
      <c r="D31" s="313"/>
      <c r="E31" s="313"/>
      <c r="F31" s="313"/>
      <c r="G31" s="314"/>
      <c r="H31" s="328" t="s">
        <v>327</v>
      </c>
      <c r="I31" s="320">
        <v>0</v>
      </c>
      <c r="J31" s="320">
        <v>0</v>
      </c>
      <c r="K31" s="320">
        <v>0</v>
      </c>
      <c r="L31" s="329">
        <v>1000000</v>
      </c>
      <c r="M31" s="309"/>
      <c r="N31" s="299"/>
      <c r="O31" s="299"/>
      <c r="P31" s="300"/>
      <c r="Q31" s="308"/>
      <c r="R31" s="306"/>
      <c r="S31" s="306"/>
      <c r="T31" s="307"/>
      <c r="U31" s="303"/>
      <c r="V31" s="299"/>
      <c r="W31" s="299"/>
      <c r="X31" s="300">
        <f t="shared" si="10"/>
        <v>0</v>
      </c>
    </row>
    <row r="32" spans="1:24" s="290" customFormat="1" ht="52.2" customHeight="1" x14ac:dyDescent="0.3">
      <c r="A32" s="410"/>
      <c r="B32" s="378"/>
      <c r="C32" s="313"/>
      <c r="D32" s="313"/>
      <c r="E32" s="313"/>
      <c r="F32" s="313"/>
      <c r="G32" s="314"/>
      <c r="H32" s="330" t="s">
        <v>328</v>
      </c>
      <c r="I32" s="320">
        <v>0</v>
      </c>
      <c r="J32" s="320">
        <v>0</v>
      </c>
      <c r="K32" s="320">
        <v>0</v>
      </c>
      <c r="L32" s="331">
        <v>3500000</v>
      </c>
      <c r="M32" s="309"/>
      <c r="N32" s="299"/>
      <c r="O32" s="299"/>
      <c r="P32" s="300"/>
      <c r="Q32" s="308"/>
      <c r="R32" s="306"/>
      <c r="S32" s="306"/>
      <c r="T32" s="307"/>
      <c r="U32" s="303"/>
      <c r="V32" s="299"/>
      <c r="W32" s="299"/>
      <c r="X32" s="300">
        <f t="shared" si="10"/>
        <v>0</v>
      </c>
    </row>
    <row r="33" spans="1:24" s="290" customFormat="1" ht="67.2" customHeight="1" x14ac:dyDescent="0.3">
      <c r="A33" s="410"/>
      <c r="B33" s="378"/>
      <c r="C33" s="313"/>
      <c r="D33" s="313"/>
      <c r="E33" s="313"/>
      <c r="F33" s="313"/>
      <c r="G33" s="314"/>
      <c r="H33" s="332" t="s">
        <v>265</v>
      </c>
      <c r="I33" s="306">
        <v>0</v>
      </c>
      <c r="J33" s="306">
        <v>0</v>
      </c>
      <c r="K33" s="306">
        <v>0</v>
      </c>
      <c r="L33" s="322">
        <v>350000</v>
      </c>
      <c r="M33" s="309"/>
      <c r="N33" s="299"/>
      <c r="O33" s="299"/>
      <c r="P33" s="300"/>
      <c r="Q33" s="308"/>
      <c r="R33" s="306"/>
      <c r="S33" s="306"/>
      <c r="T33" s="307"/>
      <c r="U33" s="303"/>
      <c r="V33" s="299"/>
      <c r="W33" s="299"/>
      <c r="X33" s="300">
        <f t="shared" si="10"/>
        <v>0</v>
      </c>
    </row>
    <row r="34" spans="1:24" s="290" customFormat="1" ht="62.4" customHeight="1" x14ac:dyDescent="0.3">
      <c r="A34" s="410"/>
      <c r="B34" s="379"/>
      <c r="C34" s="333" t="s">
        <v>485</v>
      </c>
      <c r="D34" s="334">
        <v>9988</v>
      </c>
      <c r="E34" s="334">
        <v>4</v>
      </c>
      <c r="F34" s="334">
        <v>5</v>
      </c>
      <c r="G34" s="335">
        <f>D34*E34*F34-19000</f>
        <v>180760</v>
      </c>
      <c r="H34" s="308"/>
      <c r="I34" s="306"/>
      <c r="J34" s="306"/>
      <c r="K34" s="306"/>
      <c r="L34" s="307">
        <f t="shared" ref="L34" si="11">I34*J34*K34</f>
        <v>0</v>
      </c>
      <c r="M34" s="309"/>
      <c r="N34" s="299"/>
      <c r="O34" s="299"/>
      <c r="P34" s="300"/>
      <c r="Q34" s="308"/>
      <c r="R34" s="306"/>
      <c r="S34" s="306"/>
      <c r="T34" s="307">
        <f t="shared" si="8"/>
        <v>0</v>
      </c>
      <c r="U34" s="303"/>
      <c r="V34" s="299"/>
      <c r="W34" s="299"/>
      <c r="X34" s="300">
        <f t="shared" si="9"/>
        <v>0</v>
      </c>
    </row>
    <row r="35" spans="1:24" s="290" customFormat="1" ht="120" customHeight="1" x14ac:dyDescent="0.3">
      <c r="A35" s="336" t="s">
        <v>86</v>
      </c>
      <c r="B35" s="261">
        <f>SUM(G35:G35)+SUM(L35:L35)+SUM(P35:P35)+SUM(T35:T35)+SUM(X35:X35)</f>
        <v>36960</v>
      </c>
      <c r="C35" s="309" t="s">
        <v>240</v>
      </c>
      <c r="D35" s="299">
        <v>3080</v>
      </c>
      <c r="E35" s="299">
        <v>6</v>
      </c>
      <c r="F35" s="299">
        <v>2</v>
      </c>
      <c r="G35" s="300">
        <f>D35*E35*F35</f>
        <v>36960</v>
      </c>
      <c r="M35" s="309"/>
      <c r="N35" s="299"/>
      <c r="O35" s="299"/>
      <c r="P35" s="300"/>
      <c r="Q35" s="308"/>
      <c r="R35" s="306"/>
      <c r="S35" s="306"/>
      <c r="T35" s="307">
        <f t="shared" si="8"/>
        <v>0</v>
      </c>
      <c r="U35" s="303"/>
      <c r="V35" s="299"/>
      <c r="W35" s="299"/>
      <c r="X35" s="300">
        <f t="shared" si="9"/>
        <v>0</v>
      </c>
    </row>
    <row r="36" spans="1:24" s="290" customFormat="1" ht="85.95" customHeight="1" x14ac:dyDescent="0.3">
      <c r="A36" s="145" t="s">
        <v>486</v>
      </c>
      <c r="B36" s="262">
        <f>SUM(G36:G36)+SUM(P36:P36)+SUM(T36:T36)+SUM(X36:X36)</f>
        <v>15000</v>
      </c>
      <c r="C36" s="309"/>
      <c r="D36" s="299"/>
      <c r="E36" s="299"/>
      <c r="F36" s="299"/>
      <c r="G36" s="300"/>
      <c r="H36" s="308"/>
      <c r="I36" s="306"/>
      <c r="J36" s="306"/>
      <c r="K36" s="306"/>
      <c r="L36" s="307"/>
      <c r="M36" s="309"/>
      <c r="N36" s="299"/>
      <c r="O36" s="299"/>
      <c r="P36" s="300"/>
      <c r="Q36" s="308" t="s">
        <v>271</v>
      </c>
      <c r="R36" s="306">
        <v>2500</v>
      </c>
      <c r="S36" s="306">
        <v>6</v>
      </c>
      <c r="T36" s="307">
        <f t="shared" si="8"/>
        <v>15000</v>
      </c>
      <c r="U36" s="303"/>
      <c r="V36" s="299"/>
      <c r="W36" s="299"/>
      <c r="X36" s="300"/>
    </row>
    <row r="37" spans="1:24" s="290" customFormat="1" x14ac:dyDescent="0.3">
      <c r="A37" s="296" t="s">
        <v>80</v>
      </c>
      <c r="B37" s="297">
        <f>SUM(B38:B47)</f>
        <v>712860</v>
      </c>
      <c r="C37" s="408" t="s">
        <v>87</v>
      </c>
      <c r="D37" s="409"/>
      <c r="E37" s="409"/>
      <c r="F37" s="409"/>
      <c r="G37" s="409"/>
      <c r="H37" s="409"/>
      <c r="I37" s="409"/>
      <c r="J37" s="409"/>
      <c r="K37" s="409"/>
      <c r="L37" s="409"/>
      <c r="M37" s="409"/>
      <c r="N37" s="409"/>
      <c r="O37" s="409"/>
      <c r="P37" s="409"/>
      <c r="Q37" s="409"/>
      <c r="R37" s="409"/>
      <c r="S37" s="409"/>
      <c r="T37" s="409"/>
      <c r="U37" s="409"/>
      <c r="V37" s="409"/>
      <c r="W37" s="409"/>
      <c r="X37" s="409"/>
    </row>
    <row r="38" spans="1:24" s="290" customFormat="1" ht="123" customHeight="1" x14ac:dyDescent="0.3">
      <c r="A38" s="383" t="s">
        <v>273</v>
      </c>
      <c r="B38" s="402">
        <f>SUM(G38:G38)+SUM(L38:L39)+SUM(P38:P39)+SUM(T38:T39)+SUM(X38:X39)</f>
        <v>169000</v>
      </c>
      <c r="C38" s="4" t="s">
        <v>269</v>
      </c>
      <c r="D38" s="299">
        <v>2000</v>
      </c>
      <c r="E38" s="299">
        <v>36</v>
      </c>
      <c r="F38" s="299">
        <v>2</v>
      </c>
      <c r="G38" s="300">
        <f t="shared" ref="G38" si="12">D38*E38*F38</f>
        <v>144000</v>
      </c>
      <c r="M38" s="309"/>
      <c r="N38" s="299"/>
      <c r="O38" s="299"/>
      <c r="P38" s="300"/>
      <c r="Q38" s="308" t="s">
        <v>272</v>
      </c>
      <c r="R38" s="306">
        <v>2500</v>
      </c>
      <c r="S38" s="306">
        <v>10</v>
      </c>
      <c r="T38" s="307">
        <f t="shared" ref="T38" si="13">R38*S38</f>
        <v>25000</v>
      </c>
      <c r="U38" s="303"/>
      <c r="V38" s="299"/>
      <c r="W38" s="299"/>
      <c r="X38" s="300">
        <f>V38*W38</f>
        <v>0</v>
      </c>
    </row>
    <row r="39" spans="1:24" s="290" customFormat="1" ht="79.2" customHeight="1" x14ac:dyDescent="0.3">
      <c r="A39" s="384"/>
      <c r="B39" s="402"/>
      <c r="C39" s="4"/>
      <c r="D39" s="299"/>
      <c r="E39" s="299"/>
      <c r="F39" s="299"/>
      <c r="G39" s="300"/>
      <c r="M39" s="4"/>
      <c r="N39" s="5"/>
      <c r="O39" s="5"/>
      <c r="P39" s="337"/>
      <c r="Q39" s="338"/>
      <c r="R39" s="8"/>
      <c r="S39" s="8"/>
      <c r="T39" s="339"/>
      <c r="U39" s="340"/>
      <c r="V39" s="5"/>
      <c r="W39" s="5"/>
      <c r="X39" s="337"/>
    </row>
    <row r="40" spans="1:24" s="290" customFormat="1" ht="83.4" customHeight="1" x14ac:dyDescent="0.3">
      <c r="A40" s="374" t="s">
        <v>487</v>
      </c>
      <c r="B40" s="402">
        <f>SUM(G40:G41)+SUM(L40:L41)+SUM(P40:P41)+SUM(T40:T41)+SUM(X40:X41)</f>
        <v>46200</v>
      </c>
      <c r="C40" s="4" t="s">
        <v>250</v>
      </c>
      <c r="D40" s="299">
        <v>3080</v>
      </c>
      <c r="E40" s="299">
        <v>6</v>
      </c>
      <c r="F40" s="299">
        <v>1</v>
      </c>
      <c r="G40" s="300">
        <f t="shared" ref="G40:G41" si="14">D40*E40*F40</f>
        <v>18480</v>
      </c>
      <c r="M40" s="4"/>
      <c r="N40" s="4"/>
      <c r="O40" s="4"/>
      <c r="P40" s="4">
        <f>N40*O40</f>
        <v>0</v>
      </c>
      <c r="Q40" s="338"/>
      <c r="R40" s="8"/>
      <c r="S40" s="8"/>
      <c r="T40" s="339">
        <f>R40*S40</f>
        <v>0</v>
      </c>
      <c r="U40" s="340"/>
      <c r="V40" s="5"/>
      <c r="W40" s="5"/>
      <c r="X40" s="337">
        <f>V40*W40</f>
        <v>0</v>
      </c>
    </row>
    <row r="41" spans="1:24" s="290" customFormat="1" ht="148.19999999999999" customHeight="1" x14ac:dyDescent="0.3">
      <c r="A41" s="393"/>
      <c r="B41" s="402"/>
      <c r="C41" s="4" t="s">
        <v>91</v>
      </c>
      <c r="D41" s="299">
        <v>3080</v>
      </c>
      <c r="E41" s="299">
        <v>3</v>
      </c>
      <c r="F41" s="299">
        <v>3</v>
      </c>
      <c r="G41" s="300">
        <f t="shared" si="14"/>
        <v>27720</v>
      </c>
      <c r="H41" s="308"/>
      <c r="I41" s="306"/>
      <c r="J41" s="306"/>
      <c r="K41" s="306"/>
      <c r="L41" s="307"/>
      <c r="M41" s="309"/>
      <c r="N41" s="309"/>
      <c r="O41" s="309"/>
      <c r="P41" s="309"/>
      <c r="Q41" s="308"/>
      <c r="R41" s="306"/>
      <c r="S41" s="306"/>
      <c r="T41" s="307"/>
      <c r="U41" s="303"/>
      <c r="V41" s="299"/>
      <c r="W41" s="299"/>
      <c r="X41" s="300"/>
    </row>
    <row r="42" spans="1:24" s="290" customFormat="1" ht="126" customHeight="1" x14ac:dyDescent="0.3">
      <c r="A42" s="374" t="s">
        <v>95</v>
      </c>
      <c r="B42" s="394">
        <f>SUM(G42:G43)+SUM(L42:L43)+SUM(P42:P43)+SUM(T42:T43)+SUM(X42:X43)</f>
        <v>343660</v>
      </c>
      <c r="C42" s="309"/>
      <c r="D42" s="299"/>
      <c r="E42" s="299"/>
      <c r="F42" s="299"/>
      <c r="G42" s="300"/>
      <c r="H42" s="308" t="s">
        <v>178</v>
      </c>
      <c r="I42" s="306">
        <v>4620</v>
      </c>
      <c r="J42" s="306">
        <v>4</v>
      </c>
      <c r="K42" s="306">
        <v>2</v>
      </c>
      <c r="L42" s="307">
        <f t="shared" ref="L42" si="15">I42*J42*K42</f>
        <v>36960</v>
      </c>
      <c r="M42" s="302" t="s">
        <v>270</v>
      </c>
      <c r="N42" s="300">
        <v>7700</v>
      </c>
      <c r="O42" s="300">
        <v>1</v>
      </c>
      <c r="P42" s="300">
        <f t="shared" ref="P42" si="16">O42*N42</f>
        <v>7700</v>
      </c>
      <c r="Q42" s="341" t="s">
        <v>179</v>
      </c>
      <c r="R42" s="334">
        <v>10000</v>
      </c>
      <c r="S42" s="334">
        <v>20</v>
      </c>
      <c r="T42" s="335">
        <f t="shared" ref="T42:T43" si="17">R42*S42</f>
        <v>200000</v>
      </c>
      <c r="U42" s="303"/>
      <c r="V42" s="299"/>
      <c r="W42" s="299"/>
      <c r="X42" s="300">
        <f t="shared" ref="X42:X43" si="18">V42*W42</f>
        <v>0</v>
      </c>
    </row>
    <row r="43" spans="1:24" s="290" customFormat="1" ht="114" customHeight="1" x14ac:dyDescent="0.3">
      <c r="A43" s="375"/>
      <c r="B43" s="395"/>
      <c r="C43" s="309" t="s">
        <v>99</v>
      </c>
      <c r="D43" s="299">
        <v>16500</v>
      </c>
      <c r="E43" s="299">
        <v>3</v>
      </c>
      <c r="F43" s="299">
        <v>2</v>
      </c>
      <c r="G43" s="300">
        <f t="shared" ref="G43" si="19">D43*E43*F43</f>
        <v>99000</v>
      </c>
      <c r="I43" s="306"/>
      <c r="J43" s="306"/>
      <c r="K43" s="306"/>
      <c r="L43" s="307"/>
      <c r="M43" s="309"/>
      <c r="N43" s="299"/>
      <c r="O43" s="299"/>
      <c r="P43" s="300"/>
      <c r="Q43" s="308" t="s">
        <v>92</v>
      </c>
      <c r="R43" s="306">
        <v>0</v>
      </c>
      <c r="S43" s="306">
        <v>0</v>
      </c>
      <c r="T43" s="307">
        <f t="shared" si="17"/>
        <v>0</v>
      </c>
      <c r="U43" s="303"/>
      <c r="V43" s="299"/>
      <c r="W43" s="299"/>
      <c r="X43" s="300">
        <f t="shared" si="18"/>
        <v>0</v>
      </c>
    </row>
    <row r="44" spans="1:24" s="290" customFormat="1" ht="14.4" customHeight="1" x14ac:dyDescent="0.3">
      <c r="A44" s="374" t="s">
        <v>94</v>
      </c>
      <c r="B44" s="402">
        <f>SUM(G44:G45)+SUM(L44:L45)+SUM(P44:P45)+SUM(T44:T45)+SUM(X44:X45)</f>
        <v>147840</v>
      </c>
      <c r="C44" s="4"/>
      <c r="D44" s="5"/>
      <c r="E44" s="5"/>
      <c r="F44" s="5"/>
      <c r="G44" s="337"/>
      <c r="H44" s="308"/>
      <c r="I44" s="8"/>
      <c r="J44" s="8"/>
      <c r="K44" s="8"/>
      <c r="L44" s="339">
        <f>I44*J44*K44</f>
        <v>0</v>
      </c>
      <c r="M44" s="4"/>
      <c r="N44" s="4"/>
      <c r="O44" s="4"/>
      <c r="P44" s="4">
        <f>N44*O44</f>
        <v>0</v>
      </c>
      <c r="Q44" s="338"/>
      <c r="R44" s="8"/>
      <c r="S44" s="8"/>
      <c r="T44" s="339">
        <f>R44*S44</f>
        <v>0</v>
      </c>
      <c r="U44" s="340"/>
      <c r="V44" s="5"/>
      <c r="W44" s="5"/>
      <c r="X44" s="337">
        <f>V44*W44</f>
        <v>0</v>
      </c>
    </row>
    <row r="45" spans="1:24" s="290" customFormat="1" ht="140.69999999999999" customHeight="1" x14ac:dyDescent="0.3">
      <c r="A45" s="375"/>
      <c r="B45" s="402"/>
      <c r="C45" s="309"/>
      <c r="D45" s="299"/>
      <c r="E45" s="299"/>
      <c r="F45" s="299"/>
      <c r="G45" s="300"/>
      <c r="H45" s="308" t="s">
        <v>98</v>
      </c>
      <c r="I45" s="306">
        <v>4620</v>
      </c>
      <c r="J45" s="306">
        <v>16</v>
      </c>
      <c r="K45" s="306">
        <v>2</v>
      </c>
      <c r="L45" s="339">
        <f t="shared" ref="L45" si="20">I45*J45*K45</f>
        <v>147840</v>
      </c>
      <c r="M45" s="309"/>
      <c r="N45" s="309"/>
      <c r="O45" s="309"/>
      <c r="P45" s="309"/>
      <c r="Q45" s="308"/>
      <c r="R45" s="306"/>
      <c r="S45" s="306"/>
      <c r="T45" s="307"/>
      <c r="U45" s="303"/>
      <c r="V45" s="299"/>
      <c r="W45" s="299"/>
      <c r="X45" s="300"/>
    </row>
    <row r="46" spans="1:24" s="290" customFormat="1" ht="14.4" customHeight="1" x14ac:dyDescent="0.3">
      <c r="A46" s="374" t="s">
        <v>251</v>
      </c>
      <c r="B46" s="402">
        <f>SUM(G46:G47)+SUM(L46:L47)+SUM(P46:P47)+SUM(T46:T47)+SUM(X46:X47)</f>
        <v>6160</v>
      </c>
      <c r="C46" s="4"/>
      <c r="D46" s="5"/>
      <c r="E46" s="5"/>
      <c r="F46" s="5"/>
      <c r="G46" s="337"/>
      <c r="H46" s="308"/>
      <c r="I46" s="8"/>
      <c r="J46" s="8"/>
      <c r="K46" s="8"/>
      <c r="L46" s="339">
        <f>I46*J46*K46</f>
        <v>0</v>
      </c>
      <c r="M46" s="4"/>
      <c r="N46" s="4"/>
      <c r="O46" s="4"/>
      <c r="P46" s="4">
        <f>N46*O46</f>
        <v>0</v>
      </c>
      <c r="Q46" s="338"/>
      <c r="R46" s="8"/>
      <c r="S46" s="8"/>
      <c r="T46" s="339">
        <f>R46*S46</f>
        <v>0</v>
      </c>
      <c r="U46" s="340"/>
      <c r="V46" s="5"/>
      <c r="W46" s="5"/>
      <c r="X46" s="337">
        <f>V46*W46</f>
        <v>0</v>
      </c>
    </row>
    <row r="47" spans="1:24" s="290" customFormat="1" ht="79.95" customHeight="1" x14ac:dyDescent="0.3">
      <c r="A47" s="375"/>
      <c r="B47" s="402"/>
      <c r="C47" s="4" t="s">
        <v>252</v>
      </c>
      <c r="D47" s="299">
        <v>3080</v>
      </c>
      <c r="E47" s="299">
        <v>2</v>
      </c>
      <c r="F47" s="299">
        <v>1</v>
      </c>
      <c r="G47" s="300">
        <f t="shared" ref="G47" si="21">D47*E47*F47</f>
        <v>6160</v>
      </c>
      <c r="H47" s="308"/>
      <c r="I47" s="306"/>
      <c r="J47" s="306"/>
      <c r="K47" s="306"/>
      <c r="L47" s="307"/>
      <c r="M47" s="309"/>
      <c r="N47" s="309"/>
      <c r="O47" s="309"/>
      <c r="P47" s="309"/>
      <c r="Q47" s="308"/>
      <c r="R47" s="306"/>
      <c r="S47" s="306"/>
      <c r="T47" s="307"/>
      <c r="U47" s="303"/>
      <c r="V47" s="299"/>
      <c r="W47" s="299"/>
      <c r="X47" s="300"/>
    </row>
    <row r="48" spans="1:24" s="290" customFormat="1" ht="31.95" customHeight="1" x14ac:dyDescent="0.3">
      <c r="A48" s="342" t="s">
        <v>17</v>
      </c>
      <c r="B48" s="343">
        <f>SUM(B49:B66)</f>
        <v>1125119.2</v>
      </c>
      <c r="C48" s="399" t="s">
        <v>18</v>
      </c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O48" s="400"/>
      <c r="P48" s="400"/>
      <c r="Q48" s="400"/>
      <c r="R48" s="400"/>
      <c r="S48" s="400"/>
      <c r="T48" s="400"/>
      <c r="U48" s="400"/>
      <c r="V48" s="400"/>
      <c r="W48" s="400"/>
      <c r="X48" s="401"/>
    </row>
    <row r="49" spans="1:24" s="290" customFormat="1" ht="30" customHeight="1" x14ac:dyDescent="0.3">
      <c r="A49" s="344" t="s">
        <v>488</v>
      </c>
      <c r="B49" s="345">
        <f>G49</f>
        <v>78000</v>
      </c>
      <c r="C49" s="309"/>
      <c r="D49" s="299">
        <v>2000</v>
      </c>
      <c r="E49" s="299">
        <v>39</v>
      </c>
      <c r="F49" s="299">
        <v>1</v>
      </c>
      <c r="G49" s="300">
        <f>D49*E49*F49</f>
        <v>78000</v>
      </c>
      <c r="H49" s="308"/>
      <c r="I49" s="306"/>
      <c r="J49" s="306"/>
      <c r="K49" s="306"/>
      <c r="L49" s="307"/>
      <c r="M49" s="309"/>
      <c r="N49" s="299"/>
      <c r="O49" s="299"/>
      <c r="P49" s="300"/>
      <c r="Q49" s="307"/>
      <c r="R49" s="307"/>
      <c r="S49" s="307"/>
      <c r="T49" s="307"/>
      <c r="U49" s="307"/>
      <c r="V49" s="307"/>
      <c r="W49" s="307"/>
      <c r="X49" s="307"/>
    </row>
    <row r="50" spans="1:24" s="290" customFormat="1" x14ac:dyDescent="0.3">
      <c r="A50" s="344" t="s">
        <v>89</v>
      </c>
      <c r="B50" s="345">
        <f>G50</f>
        <v>78000</v>
      </c>
      <c r="C50" s="309"/>
      <c r="D50" s="299">
        <v>2000</v>
      </c>
      <c r="E50" s="299">
        <v>39</v>
      </c>
      <c r="F50" s="299">
        <v>1</v>
      </c>
      <c r="G50" s="300">
        <f>D50*E50*F50</f>
        <v>78000</v>
      </c>
      <c r="H50" s="308"/>
      <c r="I50" s="306"/>
      <c r="J50" s="306"/>
      <c r="K50" s="306"/>
      <c r="L50" s="307">
        <f>I50*K50</f>
        <v>0</v>
      </c>
      <c r="M50" s="309"/>
      <c r="N50" s="299"/>
      <c r="O50" s="299"/>
      <c r="P50" s="300">
        <f>N50*O50</f>
        <v>0</v>
      </c>
      <c r="Q50" s="307"/>
      <c r="R50" s="307"/>
      <c r="S50" s="307"/>
      <c r="T50" s="307">
        <f>R50*S50</f>
        <v>0</v>
      </c>
      <c r="U50" s="307"/>
      <c r="V50" s="307"/>
      <c r="W50" s="307"/>
      <c r="X50" s="307">
        <f>V50*W50</f>
        <v>0</v>
      </c>
    </row>
    <row r="51" spans="1:24" s="290" customFormat="1" x14ac:dyDescent="0.3">
      <c r="A51" s="344" t="s">
        <v>90</v>
      </c>
      <c r="B51" s="345">
        <f>G51</f>
        <v>78000</v>
      </c>
      <c r="C51" s="309"/>
      <c r="D51" s="299">
        <v>2000</v>
      </c>
      <c r="E51" s="299">
        <v>39</v>
      </c>
      <c r="F51" s="299">
        <v>1</v>
      </c>
      <c r="G51" s="300">
        <f>D51*E51*F51</f>
        <v>78000</v>
      </c>
      <c r="H51" s="308"/>
      <c r="I51" s="306"/>
      <c r="J51" s="306"/>
      <c r="K51" s="306"/>
      <c r="L51" s="307"/>
      <c r="M51" s="309"/>
      <c r="N51" s="299"/>
      <c r="O51" s="299"/>
      <c r="P51" s="300"/>
      <c r="Q51" s="307"/>
      <c r="R51" s="307"/>
      <c r="S51" s="307"/>
      <c r="T51" s="307"/>
      <c r="U51" s="307"/>
      <c r="V51" s="307"/>
      <c r="W51" s="307"/>
      <c r="X51" s="307"/>
    </row>
    <row r="52" spans="1:24" s="290" customFormat="1" x14ac:dyDescent="0.3">
      <c r="A52" s="344" t="s">
        <v>241</v>
      </c>
      <c r="B52" s="345">
        <f t="shared" ref="B52:B59" si="22">G52</f>
        <v>78000</v>
      </c>
      <c r="C52" s="309"/>
      <c r="D52" s="299">
        <v>2000</v>
      </c>
      <c r="E52" s="299">
        <v>39</v>
      </c>
      <c r="F52" s="299">
        <v>1</v>
      </c>
      <c r="G52" s="300">
        <f t="shared" ref="G52:G65" si="23">D52*E52*F52</f>
        <v>78000</v>
      </c>
      <c r="H52" s="308"/>
      <c r="I52" s="306"/>
      <c r="J52" s="306"/>
      <c r="K52" s="306"/>
      <c r="L52" s="307"/>
      <c r="M52" s="309"/>
      <c r="N52" s="299"/>
      <c r="O52" s="299"/>
      <c r="P52" s="300"/>
      <c r="Q52" s="307"/>
      <c r="R52" s="307"/>
      <c r="S52" s="307"/>
      <c r="T52" s="307"/>
      <c r="U52" s="307"/>
      <c r="V52" s="307"/>
      <c r="W52" s="307"/>
      <c r="X52" s="307"/>
    </row>
    <row r="53" spans="1:24" s="290" customFormat="1" x14ac:dyDescent="0.3">
      <c r="A53" s="344" t="s">
        <v>242</v>
      </c>
      <c r="B53" s="345">
        <f t="shared" si="22"/>
        <v>78000</v>
      </c>
      <c r="C53" s="309"/>
      <c r="D53" s="299">
        <v>2000</v>
      </c>
      <c r="E53" s="299">
        <v>39</v>
      </c>
      <c r="F53" s="299">
        <v>1</v>
      </c>
      <c r="G53" s="300">
        <f t="shared" si="23"/>
        <v>78000</v>
      </c>
      <c r="H53" s="308"/>
      <c r="I53" s="306"/>
      <c r="J53" s="306"/>
      <c r="K53" s="306"/>
      <c r="L53" s="307"/>
      <c r="M53" s="309"/>
      <c r="N53" s="299"/>
      <c r="O53" s="299"/>
      <c r="P53" s="300"/>
      <c r="Q53" s="307"/>
      <c r="R53" s="307"/>
      <c r="S53" s="307"/>
      <c r="T53" s="307"/>
      <c r="U53" s="307"/>
      <c r="V53" s="307"/>
      <c r="W53" s="307"/>
      <c r="X53" s="307"/>
    </row>
    <row r="54" spans="1:24" s="290" customFormat="1" x14ac:dyDescent="0.3">
      <c r="A54" s="344" t="s">
        <v>243</v>
      </c>
      <c r="B54" s="345">
        <f t="shared" si="22"/>
        <v>78000</v>
      </c>
      <c r="C54" s="309"/>
      <c r="D54" s="299">
        <v>2000</v>
      </c>
      <c r="E54" s="299">
        <v>39</v>
      </c>
      <c r="F54" s="299">
        <v>1</v>
      </c>
      <c r="G54" s="300">
        <f t="shared" si="23"/>
        <v>78000</v>
      </c>
      <c r="H54" s="308"/>
      <c r="I54" s="306"/>
      <c r="J54" s="306"/>
      <c r="K54" s="306"/>
      <c r="L54" s="307"/>
      <c r="M54" s="309"/>
      <c r="N54" s="299"/>
      <c r="O54" s="299"/>
      <c r="P54" s="300"/>
      <c r="Q54" s="307"/>
      <c r="R54" s="307"/>
      <c r="S54" s="307"/>
      <c r="T54" s="307"/>
      <c r="U54" s="307"/>
      <c r="V54" s="307"/>
      <c r="W54" s="307"/>
      <c r="X54" s="307"/>
    </row>
    <row r="55" spans="1:24" s="290" customFormat="1" x14ac:dyDescent="0.3">
      <c r="A55" s="344" t="s">
        <v>244</v>
      </c>
      <c r="B55" s="345">
        <f t="shared" si="22"/>
        <v>78000</v>
      </c>
      <c r="C55" s="309"/>
      <c r="D55" s="299">
        <v>2000</v>
      </c>
      <c r="E55" s="299">
        <v>39</v>
      </c>
      <c r="F55" s="299">
        <v>1</v>
      </c>
      <c r="G55" s="300">
        <f t="shared" si="23"/>
        <v>78000</v>
      </c>
      <c r="H55" s="308"/>
      <c r="I55" s="306"/>
      <c r="J55" s="306"/>
      <c r="K55" s="306"/>
      <c r="L55" s="307"/>
      <c r="M55" s="309"/>
      <c r="N55" s="299"/>
      <c r="O55" s="299"/>
      <c r="P55" s="300"/>
      <c r="Q55" s="307"/>
      <c r="R55" s="307"/>
      <c r="S55" s="307"/>
      <c r="T55" s="307"/>
      <c r="U55" s="307"/>
      <c r="V55" s="307"/>
      <c r="W55" s="307"/>
      <c r="X55" s="307"/>
    </row>
    <row r="56" spans="1:24" s="290" customFormat="1" ht="25.2" customHeight="1" x14ac:dyDescent="0.3">
      <c r="A56" s="344" t="s">
        <v>248</v>
      </c>
      <c r="B56" s="345">
        <f t="shared" si="22"/>
        <v>78000</v>
      </c>
      <c r="C56" s="309"/>
      <c r="D56" s="299">
        <v>2000</v>
      </c>
      <c r="E56" s="299">
        <v>39</v>
      </c>
      <c r="F56" s="299">
        <v>1</v>
      </c>
      <c r="G56" s="300">
        <f t="shared" si="23"/>
        <v>78000</v>
      </c>
      <c r="H56" s="308"/>
      <c r="I56" s="306"/>
      <c r="J56" s="306"/>
      <c r="K56" s="306"/>
      <c r="L56" s="307"/>
      <c r="M56" s="309"/>
      <c r="N56" s="299"/>
      <c r="O56" s="299"/>
      <c r="P56" s="300"/>
      <c r="Q56" s="307"/>
      <c r="R56" s="307"/>
      <c r="S56" s="307"/>
      <c r="T56" s="307"/>
      <c r="U56" s="307"/>
      <c r="V56" s="307"/>
      <c r="W56" s="307"/>
      <c r="X56" s="307"/>
    </row>
    <row r="57" spans="1:24" s="290" customFormat="1" x14ac:dyDescent="0.3">
      <c r="A57" s="344" t="s">
        <v>247</v>
      </c>
      <c r="B57" s="345">
        <f t="shared" si="22"/>
        <v>78000</v>
      </c>
      <c r="C57" s="309"/>
      <c r="D57" s="299">
        <v>2000</v>
      </c>
      <c r="E57" s="299">
        <v>39</v>
      </c>
      <c r="F57" s="299">
        <v>1</v>
      </c>
      <c r="G57" s="300">
        <f t="shared" si="23"/>
        <v>78000</v>
      </c>
      <c r="H57" s="308"/>
      <c r="I57" s="306"/>
      <c r="J57" s="306"/>
      <c r="K57" s="306"/>
      <c r="L57" s="307"/>
      <c r="M57" s="309"/>
      <c r="N57" s="299"/>
      <c r="O57" s="299"/>
      <c r="P57" s="300"/>
      <c r="Q57" s="307"/>
      <c r="R57" s="307"/>
      <c r="S57" s="307"/>
      <c r="T57" s="307"/>
      <c r="U57" s="307"/>
      <c r="V57" s="307"/>
      <c r="W57" s="307"/>
      <c r="X57" s="307"/>
    </row>
    <row r="58" spans="1:24" s="290" customFormat="1" x14ac:dyDescent="0.3">
      <c r="A58" s="344" t="s">
        <v>249</v>
      </c>
      <c r="B58" s="345">
        <f t="shared" si="22"/>
        <v>84000</v>
      </c>
      <c r="C58" s="309"/>
      <c r="D58" s="299">
        <v>2000</v>
      </c>
      <c r="E58" s="299">
        <v>42</v>
      </c>
      <c r="F58" s="299">
        <v>1</v>
      </c>
      <c r="G58" s="300">
        <f t="shared" si="23"/>
        <v>84000</v>
      </c>
      <c r="H58" s="308"/>
      <c r="I58" s="306"/>
      <c r="J58" s="306"/>
      <c r="K58" s="306"/>
      <c r="L58" s="307"/>
      <c r="M58" s="309"/>
      <c r="N58" s="299"/>
      <c r="O58" s="299"/>
      <c r="P58" s="300"/>
      <c r="Q58" s="307"/>
      <c r="R58" s="307"/>
      <c r="S58" s="307"/>
      <c r="T58" s="307"/>
      <c r="U58" s="307"/>
      <c r="V58" s="307"/>
      <c r="W58" s="307"/>
      <c r="X58" s="307"/>
    </row>
    <row r="59" spans="1:24" s="290" customFormat="1" x14ac:dyDescent="0.3">
      <c r="A59" s="344" t="s">
        <v>249</v>
      </c>
      <c r="B59" s="345">
        <f t="shared" si="22"/>
        <v>84000</v>
      </c>
      <c r="C59" s="309"/>
      <c r="D59" s="299">
        <v>2000</v>
      </c>
      <c r="E59" s="299">
        <v>42</v>
      </c>
      <c r="F59" s="299">
        <v>1</v>
      </c>
      <c r="G59" s="300">
        <f t="shared" si="23"/>
        <v>84000</v>
      </c>
      <c r="H59" s="308"/>
      <c r="I59" s="306"/>
      <c r="J59" s="306"/>
      <c r="K59" s="306"/>
      <c r="L59" s="307"/>
      <c r="M59" s="309"/>
      <c r="N59" s="299"/>
      <c r="O59" s="299"/>
      <c r="P59" s="300"/>
      <c r="Q59" s="307"/>
      <c r="R59" s="307"/>
      <c r="S59" s="307"/>
      <c r="T59" s="307"/>
      <c r="U59" s="307"/>
      <c r="V59" s="307"/>
      <c r="W59" s="307"/>
      <c r="X59" s="307"/>
    </row>
    <row r="60" spans="1:24" s="290" customFormat="1" x14ac:dyDescent="0.3">
      <c r="A60" s="403" t="s">
        <v>19</v>
      </c>
      <c r="B60" s="406">
        <f>SUM(G60:G63)</f>
        <v>50000</v>
      </c>
      <c r="C60" s="309" t="s">
        <v>282</v>
      </c>
      <c r="D60" s="299">
        <v>20000</v>
      </c>
      <c r="E60" s="299">
        <v>1</v>
      </c>
      <c r="F60" s="299">
        <v>1</v>
      </c>
      <c r="G60" s="300">
        <f t="shared" si="23"/>
        <v>20000</v>
      </c>
      <c r="H60" s="308"/>
      <c r="I60" s="306"/>
      <c r="J60" s="306"/>
      <c r="K60" s="306"/>
      <c r="L60" s="307">
        <f t="shared" ref="L60:L64" si="24">I60*K60</f>
        <v>0</v>
      </c>
      <c r="M60" s="309"/>
      <c r="N60" s="299"/>
      <c r="O60" s="299"/>
      <c r="P60" s="300">
        <f t="shared" ref="P60:P64" si="25">N60*O60</f>
        <v>0</v>
      </c>
      <c r="Q60" s="307"/>
      <c r="R60" s="307"/>
      <c r="S60" s="307"/>
      <c r="T60" s="307">
        <f t="shared" ref="T60:T64" si="26">R60*S60</f>
        <v>0</v>
      </c>
      <c r="U60" s="307"/>
      <c r="V60" s="307"/>
      <c r="W60" s="307"/>
      <c r="X60" s="307">
        <f t="shared" ref="X60:X64" si="27">V60*W60</f>
        <v>0</v>
      </c>
    </row>
    <row r="61" spans="1:24" s="290" customFormat="1" ht="15" customHeight="1" x14ac:dyDescent="0.3">
      <c r="A61" s="404"/>
      <c r="B61" s="407"/>
      <c r="C61" s="309" t="s">
        <v>489</v>
      </c>
      <c r="D61" s="299">
        <v>30000</v>
      </c>
      <c r="E61" s="299">
        <v>1</v>
      </c>
      <c r="F61" s="299">
        <v>1</v>
      </c>
      <c r="G61" s="300">
        <f t="shared" si="23"/>
        <v>30000</v>
      </c>
      <c r="H61" s="308"/>
      <c r="I61" s="306"/>
      <c r="J61" s="306"/>
      <c r="K61" s="306"/>
      <c r="L61" s="307">
        <f t="shared" si="24"/>
        <v>0</v>
      </c>
      <c r="M61" s="309"/>
      <c r="N61" s="299"/>
      <c r="O61" s="299"/>
      <c r="P61" s="300">
        <f t="shared" si="25"/>
        <v>0</v>
      </c>
      <c r="Q61" s="307"/>
      <c r="R61" s="307"/>
      <c r="S61" s="307"/>
      <c r="T61" s="307">
        <f t="shared" si="26"/>
        <v>0</v>
      </c>
      <c r="U61" s="307"/>
      <c r="V61" s="307"/>
      <c r="W61" s="307"/>
      <c r="X61" s="307">
        <f t="shared" si="27"/>
        <v>0</v>
      </c>
    </row>
    <row r="62" spans="1:24" s="290" customFormat="1" ht="15" customHeight="1" x14ac:dyDescent="0.3">
      <c r="A62" s="404"/>
      <c r="B62" s="407"/>
      <c r="C62" s="309"/>
      <c r="D62" s="299"/>
      <c r="E62" s="299"/>
      <c r="F62" s="299"/>
      <c r="G62" s="300"/>
      <c r="H62" s="308"/>
      <c r="I62" s="306"/>
      <c r="J62" s="306"/>
      <c r="K62" s="306"/>
      <c r="L62" s="307">
        <f t="shared" si="24"/>
        <v>0</v>
      </c>
      <c r="M62" s="309"/>
      <c r="N62" s="299"/>
      <c r="O62" s="299"/>
      <c r="P62" s="300">
        <f t="shared" si="25"/>
        <v>0</v>
      </c>
      <c r="Q62" s="307"/>
      <c r="R62" s="307"/>
      <c r="S62" s="307"/>
      <c r="T62" s="307">
        <f t="shared" si="26"/>
        <v>0</v>
      </c>
      <c r="U62" s="307"/>
      <c r="V62" s="307"/>
      <c r="W62" s="307"/>
      <c r="X62" s="307">
        <f t="shared" si="27"/>
        <v>0</v>
      </c>
    </row>
    <row r="63" spans="1:24" s="290" customFormat="1" ht="15" customHeight="1" x14ac:dyDescent="0.3">
      <c r="A63" s="405"/>
      <c r="B63" s="407"/>
      <c r="C63" s="309" t="s">
        <v>20</v>
      </c>
      <c r="D63" s="299"/>
      <c r="E63" s="299"/>
      <c r="F63" s="299"/>
      <c r="G63" s="300">
        <f t="shared" si="23"/>
        <v>0</v>
      </c>
      <c r="H63" s="308"/>
      <c r="I63" s="306"/>
      <c r="J63" s="306"/>
      <c r="K63" s="306"/>
      <c r="L63" s="307">
        <f t="shared" si="24"/>
        <v>0</v>
      </c>
      <c r="M63" s="309"/>
      <c r="N63" s="299"/>
      <c r="O63" s="299"/>
      <c r="P63" s="300">
        <f t="shared" si="25"/>
        <v>0</v>
      </c>
      <c r="Q63" s="307"/>
      <c r="R63" s="307"/>
      <c r="S63" s="307"/>
      <c r="T63" s="307">
        <f t="shared" si="26"/>
        <v>0</v>
      </c>
      <c r="U63" s="307"/>
      <c r="V63" s="307"/>
      <c r="W63" s="307"/>
      <c r="X63" s="307">
        <f t="shared" si="27"/>
        <v>0</v>
      </c>
    </row>
    <row r="64" spans="1:24" s="290" customFormat="1" x14ac:dyDescent="0.3">
      <c r="A64" s="344" t="s">
        <v>21</v>
      </c>
      <c r="B64" s="345">
        <f>G64</f>
        <v>125000</v>
      </c>
      <c r="C64" s="309" t="s">
        <v>22</v>
      </c>
      <c r="D64" s="299">
        <v>25000</v>
      </c>
      <c r="E64" s="299">
        <v>5</v>
      </c>
      <c r="F64" s="299">
        <v>1</v>
      </c>
      <c r="G64" s="300">
        <f t="shared" si="23"/>
        <v>125000</v>
      </c>
      <c r="H64" s="308"/>
      <c r="I64" s="306"/>
      <c r="J64" s="306"/>
      <c r="K64" s="306"/>
      <c r="L64" s="307">
        <f t="shared" si="24"/>
        <v>0</v>
      </c>
      <c r="M64" s="309"/>
      <c r="N64" s="299"/>
      <c r="O64" s="299"/>
      <c r="P64" s="300">
        <f t="shared" si="25"/>
        <v>0</v>
      </c>
      <c r="Q64" s="307"/>
      <c r="R64" s="307"/>
      <c r="S64" s="307"/>
      <c r="T64" s="307">
        <f t="shared" si="26"/>
        <v>0</v>
      </c>
      <c r="U64" s="307"/>
      <c r="V64" s="307"/>
      <c r="W64" s="307"/>
      <c r="X64" s="307">
        <f t="shared" si="27"/>
        <v>0</v>
      </c>
    </row>
    <row r="65" spans="1:24" s="290" customFormat="1" ht="30.6" customHeight="1" x14ac:dyDescent="0.3">
      <c r="A65" s="346" t="s">
        <v>490</v>
      </c>
      <c r="B65" s="347">
        <f>G65</f>
        <v>75000</v>
      </c>
      <c r="C65" s="309"/>
      <c r="D65" s="299">
        <v>25000</v>
      </c>
      <c r="E65" s="299">
        <v>1</v>
      </c>
      <c r="F65" s="299">
        <v>3</v>
      </c>
      <c r="G65" s="300">
        <f t="shared" si="23"/>
        <v>75000</v>
      </c>
      <c r="H65" s="308"/>
      <c r="I65" s="306"/>
      <c r="J65" s="306"/>
      <c r="K65" s="306"/>
      <c r="L65" s="307"/>
      <c r="M65" s="309"/>
      <c r="N65" s="299"/>
      <c r="O65" s="299"/>
      <c r="P65" s="300"/>
      <c r="Q65" s="307"/>
      <c r="R65" s="307"/>
      <c r="S65" s="307"/>
      <c r="T65" s="307"/>
      <c r="U65" s="307"/>
      <c r="V65" s="307"/>
      <c r="W65" s="307"/>
      <c r="X65" s="307"/>
    </row>
    <row r="66" spans="1:24" s="290" customFormat="1" ht="30.6" customHeight="1" x14ac:dyDescent="0.3">
      <c r="A66" s="257" t="s">
        <v>168</v>
      </c>
      <c r="B66" s="347">
        <f>G66</f>
        <v>5119.2</v>
      </c>
      <c r="C66" s="309"/>
      <c r="D66" s="299"/>
      <c r="E66" s="299"/>
      <c r="F66" s="299"/>
      <c r="G66" s="300">
        <v>5119.2</v>
      </c>
      <c r="H66" s="308"/>
      <c r="I66" s="306"/>
      <c r="J66" s="306"/>
      <c r="K66" s="306"/>
      <c r="L66" s="307"/>
      <c r="M66" s="309"/>
      <c r="N66" s="299"/>
      <c r="O66" s="299"/>
      <c r="P66" s="300"/>
      <c r="Q66" s="307"/>
      <c r="R66" s="307"/>
      <c r="S66" s="307"/>
      <c r="T66" s="307"/>
      <c r="U66" s="307"/>
      <c r="V66" s="307"/>
      <c r="W66" s="307"/>
      <c r="X66" s="307"/>
    </row>
    <row r="67" spans="1:24" s="290" customFormat="1" x14ac:dyDescent="0.3">
      <c r="A67" s="397" t="s">
        <v>23</v>
      </c>
      <c r="B67" s="398"/>
      <c r="C67" s="348"/>
      <c r="D67" s="349"/>
      <c r="E67" s="349"/>
      <c r="F67" s="349"/>
      <c r="G67" s="350">
        <f>SUM(G49:G66)</f>
        <v>1125119.2</v>
      </c>
      <c r="H67" s="351"/>
      <c r="I67" s="349"/>
      <c r="J67" s="349"/>
      <c r="K67" s="349"/>
      <c r="L67" s="350"/>
      <c r="M67" s="348"/>
      <c r="N67" s="349"/>
      <c r="O67" s="349"/>
      <c r="P67" s="350"/>
      <c r="Q67" s="351"/>
      <c r="R67" s="349"/>
      <c r="S67" s="349"/>
      <c r="T67" s="350"/>
      <c r="U67" s="351"/>
      <c r="V67" s="349"/>
      <c r="W67" s="349"/>
      <c r="X67" s="350"/>
    </row>
    <row r="68" spans="1:24" s="290" customFormat="1" x14ac:dyDescent="0.3">
      <c r="A68" s="352" t="s">
        <v>24</v>
      </c>
      <c r="B68" s="353"/>
      <c r="C68" s="399"/>
      <c r="D68" s="400"/>
      <c r="E68" s="400"/>
      <c r="F68" s="400"/>
      <c r="G68" s="400"/>
      <c r="H68" s="400"/>
      <c r="I68" s="400"/>
      <c r="J68" s="400"/>
      <c r="K68" s="400"/>
      <c r="L68" s="400"/>
      <c r="M68" s="400"/>
      <c r="N68" s="400"/>
      <c r="O68" s="400"/>
      <c r="P68" s="400"/>
      <c r="Q68" s="400"/>
      <c r="R68" s="400"/>
      <c r="S68" s="400"/>
      <c r="T68" s="400"/>
      <c r="U68" s="400"/>
      <c r="V68" s="400"/>
      <c r="W68" s="400"/>
      <c r="X68" s="401"/>
    </row>
    <row r="69" spans="1:24" x14ac:dyDescent="0.3">
      <c r="B69" s="285"/>
    </row>
    <row r="70" spans="1:24" x14ac:dyDescent="0.3">
      <c r="C70" s="283"/>
      <c r="G70" s="283"/>
      <c r="L70" s="283"/>
      <c r="M70" s="354"/>
      <c r="P70" s="283"/>
      <c r="T70" s="283"/>
    </row>
    <row r="71" spans="1:24" x14ac:dyDescent="0.3">
      <c r="B71" s="285"/>
      <c r="C71" s="283"/>
    </row>
    <row r="72" spans="1:24" x14ac:dyDescent="0.3">
      <c r="B72" s="285"/>
      <c r="C72" s="283"/>
    </row>
    <row r="73" spans="1:24" ht="14.7" customHeight="1" x14ac:dyDescent="0.3">
      <c r="B73" s="283"/>
    </row>
    <row r="74" spans="1:24" x14ac:dyDescent="0.3">
      <c r="B74" s="283"/>
      <c r="P74" s="354"/>
    </row>
    <row r="77" spans="1:24" x14ac:dyDescent="0.3">
      <c r="D77" s="355"/>
    </row>
    <row r="78" spans="1:24" x14ac:dyDescent="0.3">
      <c r="D78" s="355"/>
    </row>
    <row r="79" spans="1:24" x14ac:dyDescent="0.3">
      <c r="D79" s="356"/>
    </row>
    <row r="80" spans="1:24" x14ac:dyDescent="0.3">
      <c r="D80" s="356"/>
      <c r="H80" s="357"/>
    </row>
    <row r="81" spans="4:4" x14ac:dyDescent="0.3">
      <c r="D81" s="356"/>
    </row>
    <row r="82" spans="4:4" x14ac:dyDescent="0.3">
      <c r="D82" s="356"/>
    </row>
    <row r="83" spans="4:4" x14ac:dyDescent="0.3">
      <c r="D83" s="356"/>
    </row>
    <row r="84" spans="4:4" x14ac:dyDescent="0.3">
      <c r="D84" s="356"/>
    </row>
    <row r="85" spans="4:4" x14ac:dyDescent="0.3">
      <c r="D85" s="355"/>
    </row>
    <row r="87" spans="4:4" x14ac:dyDescent="0.3">
      <c r="D87" s="283"/>
    </row>
  </sheetData>
  <mergeCells count="29">
    <mergeCell ref="C3:X3"/>
    <mergeCell ref="A4:B6"/>
    <mergeCell ref="C4:E5"/>
    <mergeCell ref="H4:L5"/>
    <mergeCell ref="M4:P4"/>
    <mergeCell ref="Q4:T4"/>
    <mergeCell ref="U4:X4"/>
    <mergeCell ref="A42:A43"/>
    <mergeCell ref="B42:B43"/>
    <mergeCell ref="C7:X7"/>
    <mergeCell ref="A8:A12"/>
    <mergeCell ref="B8:B12"/>
    <mergeCell ref="C18:X18"/>
    <mergeCell ref="A19:A34"/>
    <mergeCell ref="B19:B34"/>
    <mergeCell ref="C37:X37"/>
    <mergeCell ref="A38:A39"/>
    <mergeCell ref="B38:B39"/>
    <mergeCell ref="A40:A41"/>
    <mergeCell ref="B40:B41"/>
    <mergeCell ref="A67:B67"/>
    <mergeCell ref="C68:X68"/>
    <mergeCell ref="A44:A45"/>
    <mergeCell ref="B44:B45"/>
    <mergeCell ref="A46:A47"/>
    <mergeCell ref="B46:B47"/>
    <mergeCell ref="C48:X48"/>
    <mergeCell ref="A60:A63"/>
    <mergeCell ref="B60:B63"/>
  </mergeCells>
  <conditionalFormatting sqref="H23:H24 H20:H21">
    <cfRule type="cellIs" dxfId="0" priority="1" operator="equal">
      <formula>"(en blanco)"</formula>
    </cfRule>
  </conditionalFormatting>
  <pageMargins left="0" right="0" top="0.75" bottom="0.75" header="0.3" footer="0.3"/>
  <pageSetup paperSize="5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059BA-B445-4F38-B2AE-81026B59CE8E}">
  <dimension ref="D1:T58"/>
  <sheetViews>
    <sheetView zoomScale="70" zoomScaleNormal="70" workbookViewId="0">
      <selection activeCell="P6" sqref="P6"/>
    </sheetView>
  </sheetViews>
  <sheetFormatPr defaultRowHeight="14.4" x14ac:dyDescent="0.3"/>
  <cols>
    <col min="1" max="3" width="8.796875" style="264"/>
    <col min="4" max="4" width="27" style="264" customWidth="1"/>
    <col min="5" max="5" width="10.296875" style="264" hidden="1" customWidth="1"/>
    <col min="6" max="6" width="9.59765625" style="264" hidden="1" customWidth="1"/>
    <col min="7" max="7" width="10" style="264" hidden="1" customWidth="1"/>
    <col min="8" max="8" width="14.296875" style="264" customWidth="1"/>
    <col min="9" max="9" width="14.3984375" style="264" customWidth="1"/>
    <col min="10" max="10" width="14" style="264" customWidth="1"/>
    <col min="11" max="11" width="16.5" style="264" customWidth="1"/>
    <col min="12" max="12" width="15.296875" style="264" customWidth="1"/>
    <col min="13" max="13" width="16.796875" style="264" customWidth="1"/>
    <col min="14" max="16384" width="8.796875" style="264"/>
  </cols>
  <sheetData>
    <row r="1" spans="4:20" ht="15.6" x14ac:dyDescent="0.3">
      <c r="D1" s="263"/>
      <c r="H1" s="263"/>
    </row>
    <row r="2" spans="4:20" ht="15.6" x14ac:dyDescent="0.3">
      <c r="D2" s="263"/>
      <c r="H2" s="263"/>
      <c r="I2" s="263"/>
      <c r="J2" s="263"/>
      <c r="K2" s="263"/>
      <c r="L2" s="263"/>
      <c r="M2" s="263"/>
    </row>
    <row r="3" spans="4:20" ht="19.2" x14ac:dyDescent="0.3">
      <c r="D3" s="265"/>
      <c r="E3" s="265" t="s">
        <v>343</v>
      </c>
      <c r="F3" s="265" t="s">
        <v>344</v>
      </c>
      <c r="G3" s="265" t="s">
        <v>345</v>
      </c>
      <c r="H3" s="266" t="s">
        <v>346</v>
      </c>
      <c r="I3" s="265">
        <v>2019</v>
      </c>
      <c r="J3" s="265">
        <v>2020</v>
      </c>
      <c r="K3" s="265">
        <v>2021</v>
      </c>
      <c r="L3" s="265">
        <v>2022</v>
      </c>
      <c r="M3" s="265">
        <v>2023</v>
      </c>
    </row>
    <row r="4" spans="4:20" ht="31.2" x14ac:dyDescent="0.3">
      <c r="D4" s="267" t="s">
        <v>347</v>
      </c>
      <c r="E4" s="267" t="s">
        <v>348</v>
      </c>
      <c r="F4" s="267" t="s">
        <v>349</v>
      </c>
      <c r="G4" s="267" t="s">
        <v>350</v>
      </c>
      <c r="H4" s="268">
        <f t="shared" ref="H4:M4" si="0">H5+H23+H45+H51</f>
        <v>15000000</v>
      </c>
      <c r="I4" s="268">
        <f t="shared" si="0"/>
        <v>53800</v>
      </c>
      <c r="J4" s="268">
        <f t="shared" si="0"/>
        <v>811880</v>
      </c>
      <c r="K4" s="268">
        <f t="shared" si="0"/>
        <v>2767946</v>
      </c>
      <c r="L4" s="268">
        <f t="shared" si="0"/>
        <v>6442474</v>
      </c>
      <c r="M4" s="268">
        <f t="shared" si="0"/>
        <v>4923900</v>
      </c>
      <c r="P4" s="263"/>
      <c r="Q4" s="263"/>
      <c r="R4" s="263"/>
      <c r="S4" s="263"/>
      <c r="T4" s="263"/>
    </row>
    <row r="5" spans="4:20" ht="57.6" x14ac:dyDescent="0.3">
      <c r="D5" s="269" t="s">
        <v>491</v>
      </c>
      <c r="E5" s="270" t="s">
        <v>351</v>
      </c>
      <c r="F5" s="270" t="s">
        <v>352</v>
      </c>
      <c r="G5" s="270" t="s">
        <v>353</v>
      </c>
      <c r="H5" s="271">
        <f t="shared" ref="H5:M5" si="1">H6+H12+H14+H16+H18+H21</f>
        <v>929301</v>
      </c>
      <c r="I5" s="271">
        <f t="shared" si="1"/>
        <v>0</v>
      </c>
      <c r="J5" s="271">
        <f t="shared" si="1"/>
        <v>53000</v>
      </c>
      <c r="K5" s="271">
        <f t="shared" si="1"/>
        <v>325846</v>
      </c>
      <c r="L5" s="271">
        <f t="shared" si="1"/>
        <v>550455</v>
      </c>
      <c r="M5" s="271">
        <f t="shared" si="1"/>
        <v>0</v>
      </c>
    </row>
    <row r="6" spans="4:20" ht="158.4" x14ac:dyDescent="0.3">
      <c r="D6" s="272" t="s">
        <v>354</v>
      </c>
      <c r="E6" s="270" t="s">
        <v>355</v>
      </c>
      <c r="F6" s="270" t="s">
        <v>356</v>
      </c>
      <c r="G6" s="270" t="s">
        <v>357</v>
      </c>
      <c r="H6" s="271">
        <f>SUM(H7:H11)</f>
        <v>179000</v>
      </c>
      <c r="I6" s="271">
        <v>0</v>
      </c>
      <c r="J6" s="271">
        <f t="shared" ref="J6:K6" si="2">SUM(J7:J11)</f>
        <v>53000</v>
      </c>
      <c r="K6" s="271">
        <f t="shared" si="2"/>
        <v>126000</v>
      </c>
      <c r="L6" s="273">
        <v>0</v>
      </c>
      <c r="M6" s="271">
        <v>0</v>
      </c>
    </row>
    <row r="7" spans="4:20" ht="57.6" x14ac:dyDescent="0.3">
      <c r="D7" s="270" t="s">
        <v>358</v>
      </c>
      <c r="E7" s="270" t="s">
        <v>359</v>
      </c>
      <c r="F7" s="270" t="s">
        <v>356</v>
      </c>
      <c r="G7" s="270" t="s">
        <v>360</v>
      </c>
      <c r="H7" s="271">
        <f>SUM(I7:M7)</f>
        <v>36000</v>
      </c>
      <c r="I7" s="271">
        <v>0</v>
      </c>
      <c r="J7" s="271">
        <v>20000</v>
      </c>
      <c r="K7" s="273">
        <v>16000</v>
      </c>
      <c r="L7" s="273">
        <v>0</v>
      </c>
      <c r="M7" s="271">
        <v>0</v>
      </c>
    </row>
    <row r="8" spans="4:20" ht="43.2" x14ac:dyDescent="0.3">
      <c r="D8" s="270" t="s">
        <v>361</v>
      </c>
      <c r="E8" s="270" t="s">
        <v>362</v>
      </c>
      <c r="F8" s="270" t="s">
        <v>363</v>
      </c>
      <c r="G8" s="270" t="s">
        <v>357</v>
      </c>
      <c r="H8" s="271">
        <f t="shared" ref="H8:H11" si="3">SUM(I8:M8)</f>
        <v>67000</v>
      </c>
      <c r="I8" s="271">
        <v>0</v>
      </c>
      <c r="J8" s="271">
        <v>0</v>
      </c>
      <c r="K8" s="273">
        <v>67000</v>
      </c>
      <c r="L8" s="273">
        <v>0</v>
      </c>
      <c r="M8" s="271">
        <v>0</v>
      </c>
    </row>
    <row r="9" spans="4:20" ht="115.2" x14ac:dyDescent="0.3">
      <c r="D9" s="270" t="s">
        <v>364</v>
      </c>
      <c r="E9" s="270" t="s">
        <v>365</v>
      </c>
      <c r="F9" s="270" t="s">
        <v>366</v>
      </c>
      <c r="G9" s="270" t="s">
        <v>367</v>
      </c>
      <c r="H9" s="271">
        <f t="shared" si="3"/>
        <v>36000</v>
      </c>
      <c r="I9" s="271">
        <v>0</v>
      </c>
      <c r="J9" s="271">
        <v>0</v>
      </c>
      <c r="K9" s="273">
        <v>36000</v>
      </c>
      <c r="L9" s="273">
        <v>0</v>
      </c>
      <c r="M9" s="271">
        <v>0</v>
      </c>
    </row>
    <row r="10" spans="4:20" ht="28.8" x14ac:dyDescent="0.3">
      <c r="D10" s="270" t="s">
        <v>368</v>
      </c>
      <c r="E10" s="270" t="s">
        <v>362</v>
      </c>
      <c r="F10" s="270" t="s">
        <v>363</v>
      </c>
      <c r="G10" s="270" t="s">
        <v>357</v>
      </c>
      <c r="H10" s="271">
        <f t="shared" si="3"/>
        <v>7000</v>
      </c>
      <c r="I10" s="271">
        <v>0</v>
      </c>
      <c r="J10" s="271">
        <v>0</v>
      </c>
      <c r="K10" s="273">
        <v>7000</v>
      </c>
      <c r="L10" s="273">
        <v>0</v>
      </c>
      <c r="M10" s="271">
        <v>0</v>
      </c>
    </row>
    <row r="11" spans="4:20" ht="43.2" x14ac:dyDescent="0.3">
      <c r="D11" s="270" t="s">
        <v>369</v>
      </c>
      <c r="E11" s="270" t="s">
        <v>370</v>
      </c>
      <c r="F11" s="270" t="s">
        <v>371</v>
      </c>
      <c r="G11" s="270" t="s">
        <v>372</v>
      </c>
      <c r="H11" s="271">
        <f t="shared" si="3"/>
        <v>33000</v>
      </c>
      <c r="I11" s="271">
        <v>0</v>
      </c>
      <c r="J11" s="271">
        <v>33000</v>
      </c>
      <c r="K11" s="273">
        <v>0</v>
      </c>
      <c r="L11" s="273">
        <v>0</v>
      </c>
      <c r="M11" s="271">
        <v>0</v>
      </c>
    </row>
    <row r="12" spans="4:20" ht="72" x14ac:dyDescent="0.3">
      <c r="D12" s="272" t="s">
        <v>373</v>
      </c>
      <c r="E12" s="270" t="s">
        <v>351</v>
      </c>
      <c r="F12" s="270" t="s">
        <v>352</v>
      </c>
      <c r="G12" s="270" t="s">
        <v>353</v>
      </c>
      <c r="H12" s="271">
        <f>H13</f>
        <v>396911</v>
      </c>
      <c r="I12" s="271">
        <f t="shared" ref="I12:M12" si="4">I13</f>
        <v>0</v>
      </c>
      <c r="J12" s="271">
        <f t="shared" si="4"/>
        <v>0</v>
      </c>
      <c r="K12" s="271">
        <f t="shared" si="4"/>
        <v>0</v>
      </c>
      <c r="L12" s="271">
        <f t="shared" si="4"/>
        <v>396911</v>
      </c>
      <c r="M12" s="271">
        <f t="shared" si="4"/>
        <v>0</v>
      </c>
    </row>
    <row r="13" spans="4:20" ht="72" x14ac:dyDescent="0.3">
      <c r="D13" s="270" t="s">
        <v>374</v>
      </c>
      <c r="E13" s="270" t="s">
        <v>351</v>
      </c>
      <c r="F13" s="270" t="s">
        <v>352</v>
      </c>
      <c r="G13" s="270" t="s">
        <v>353</v>
      </c>
      <c r="H13" s="271">
        <f>SUM(I13:M13)</f>
        <v>396911</v>
      </c>
      <c r="I13" s="271">
        <v>0</v>
      </c>
      <c r="J13" s="271">
        <v>0</v>
      </c>
      <c r="K13" s="273">
        <v>0</v>
      </c>
      <c r="L13" s="273">
        <v>396911</v>
      </c>
      <c r="M13" s="271">
        <v>0</v>
      </c>
    </row>
    <row r="14" spans="4:20" ht="43.2" x14ac:dyDescent="0.3">
      <c r="D14" s="272" t="s">
        <v>375</v>
      </c>
      <c r="E14" s="270" t="s">
        <v>376</v>
      </c>
      <c r="F14" s="270" t="s">
        <v>377</v>
      </c>
      <c r="G14" s="270" t="s">
        <v>378</v>
      </c>
      <c r="H14" s="271">
        <f>H15</f>
        <v>203544</v>
      </c>
      <c r="I14" s="271">
        <f t="shared" ref="I14:M14" si="5">I15</f>
        <v>0</v>
      </c>
      <c r="J14" s="271">
        <f t="shared" si="5"/>
        <v>0</v>
      </c>
      <c r="K14" s="271">
        <f t="shared" si="5"/>
        <v>150000</v>
      </c>
      <c r="L14" s="271">
        <f t="shared" si="5"/>
        <v>53544</v>
      </c>
      <c r="M14" s="271">
        <f t="shared" si="5"/>
        <v>0</v>
      </c>
    </row>
    <row r="15" spans="4:20" ht="57.6" x14ac:dyDescent="0.3">
      <c r="D15" s="270" t="s">
        <v>379</v>
      </c>
      <c r="E15" s="270" t="s">
        <v>376</v>
      </c>
      <c r="F15" s="270" t="s">
        <v>377</v>
      </c>
      <c r="G15" s="270" t="s">
        <v>378</v>
      </c>
      <c r="H15" s="271">
        <f>SUM(I15:M15)</f>
        <v>203544</v>
      </c>
      <c r="I15" s="271">
        <v>0</v>
      </c>
      <c r="J15" s="271">
        <v>0</v>
      </c>
      <c r="K15" s="273">
        <v>150000</v>
      </c>
      <c r="L15" s="273">
        <v>53544</v>
      </c>
      <c r="M15" s="271">
        <v>0</v>
      </c>
    </row>
    <row r="16" spans="4:20" ht="57.6" x14ac:dyDescent="0.3">
      <c r="D16" s="272" t="s">
        <v>380</v>
      </c>
      <c r="E16" s="270" t="s">
        <v>381</v>
      </c>
      <c r="F16" s="270" t="s">
        <v>382</v>
      </c>
      <c r="G16" s="270" t="s">
        <v>383</v>
      </c>
      <c r="H16" s="271">
        <f>H17</f>
        <v>9240</v>
      </c>
      <c r="I16" s="271">
        <f t="shared" ref="I16:M16" si="6">I17</f>
        <v>0</v>
      </c>
      <c r="J16" s="271">
        <f t="shared" si="6"/>
        <v>0</v>
      </c>
      <c r="K16" s="271">
        <f t="shared" si="6"/>
        <v>9240</v>
      </c>
      <c r="L16" s="271">
        <f t="shared" si="6"/>
        <v>0</v>
      </c>
      <c r="M16" s="271">
        <f t="shared" si="6"/>
        <v>0</v>
      </c>
    </row>
    <row r="17" spans="4:13" ht="57.6" x14ac:dyDescent="0.3">
      <c r="D17" s="270" t="s">
        <v>384</v>
      </c>
      <c r="E17" s="270" t="s">
        <v>381</v>
      </c>
      <c r="F17" s="270" t="s">
        <v>382</v>
      </c>
      <c r="G17" s="270" t="s">
        <v>383</v>
      </c>
      <c r="H17" s="271">
        <f>SUM(I17:M17)</f>
        <v>9240</v>
      </c>
      <c r="I17" s="271">
        <v>0</v>
      </c>
      <c r="J17" s="271">
        <v>0</v>
      </c>
      <c r="K17" s="273">
        <v>9240</v>
      </c>
      <c r="L17" s="273">
        <v>0</v>
      </c>
      <c r="M17" s="271">
        <v>0</v>
      </c>
    </row>
    <row r="18" spans="4:13" ht="43.2" x14ac:dyDescent="0.3">
      <c r="D18" s="272" t="s">
        <v>333</v>
      </c>
      <c r="E18" s="270" t="s">
        <v>385</v>
      </c>
      <c r="F18" s="270" t="s">
        <v>386</v>
      </c>
      <c r="G18" s="270" t="s">
        <v>387</v>
      </c>
      <c r="H18" s="271">
        <f>SUM(H19:H20)</f>
        <v>122126</v>
      </c>
      <c r="I18" s="271">
        <f t="shared" ref="I18:M18" si="7">SUM(I19:I20)</f>
        <v>0</v>
      </c>
      <c r="J18" s="271">
        <f t="shared" si="7"/>
        <v>0</v>
      </c>
      <c r="K18" s="271">
        <f t="shared" si="7"/>
        <v>22126</v>
      </c>
      <c r="L18" s="271">
        <f t="shared" si="7"/>
        <v>100000</v>
      </c>
      <c r="M18" s="271">
        <f t="shared" si="7"/>
        <v>0</v>
      </c>
    </row>
    <row r="19" spans="4:13" ht="43.2" x14ac:dyDescent="0.3">
      <c r="D19" s="270" t="s">
        <v>388</v>
      </c>
      <c r="E19" s="270" t="s">
        <v>385</v>
      </c>
      <c r="F19" s="270" t="s">
        <v>386</v>
      </c>
      <c r="G19" s="270" t="s">
        <v>387</v>
      </c>
      <c r="H19" s="271">
        <f>SUM(I19:M19)</f>
        <v>100000</v>
      </c>
      <c r="I19" s="271">
        <v>0</v>
      </c>
      <c r="J19" s="271">
        <v>0</v>
      </c>
      <c r="K19" s="273">
        <v>0</v>
      </c>
      <c r="L19" s="273">
        <v>100000</v>
      </c>
      <c r="M19" s="271">
        <v>0</v>
      </c>
    </row>
    <row r="20" spans="4:13" ht="28.8" x14ac:dyDescent="0.3">
      <c r="D20" s="270" t="s">
        <v>322</v>
      </c>
      <c r="E20" s="270" t="s">
        <v>362</v>
      </c>
      <c r="F20" s="270" t="s">
        <v>389</v>
      </c>
      <c r="G20" s="270" t="s">
        <v>390</v>
      </c>
      <c r="H20" s="271">
        <f>SUM(I20:M20)</f>
        <v>22126</v>
      </c>
      <c r="I20" s="271">
        <v>0</v>
      </c>
      <c r="J20" s="271">
        <v>0</v>
      </c>
      <c r="K20" s="273">
        <v>22126</v>
      </c>
      <c r="L20" s="273">
        <v>0</v>
      </c>
      <c r="M20" s="271">
        <v>0</v>
      </c>
    </row>
    <row r="21" spans="4:13" ht="57.6" x14ac:dyDescent="0.3">
      <c r="D21" s="272" t="s">
        <v>391</v>
      </c>
      <c r="E21" s="270" t="s">
        <v>381</v>
      </c>
      <c r="F21" s="270" t="s">
        <v>392</v>
      </c>
      <c r="G21" s="270" t="s">
        <v>393</v>
      </c>
      <c r="H21" s="271">
        <f>H22</f>
        <v>18480</v>
      </c>
      <c r="I21" s="271">
        <f t="shared" ref="I21:M21" si="8">I22</f>
        <v>0</v>
      </c>
      <c r="J21" s="271">
        <f t="shared" si="8"/>
        <v>0</v>
      </c>
      <c r="K21" s="271">
        <f t="shared" si="8"/>
        <v>18480</v>
      </c>
      <c r="L21" s="271">
        <f t="shared" si="8"/>
        <v>0</v>
      </c>
      <c r="M21" s="271">
        <f t="shared" si="8"/>
        <v>0</v>
      </c>
    </row>
    <row r="22" spans="4:13" ht="57.6" x14ac:dyDescent="0.3">
      <c r="D22" s="270" t="s">
        <v>394</v>
      </c>
      <c r="E22" s="270" t="s">
        <v>381</v>
      </c>
      <c r="F22" s="270" t="s">
        <v>392</v>
      </c>
      <c r="G22" s="270" t="s">
        <v>393</v>
      </c>
      <c r="H22" s="271">
        <f>SUM(I22:M22)</f>
        <v>18480</v>
      </c>
      <c r="I22" s="271">
        <v>0</v>
      </c>
      <c r="J22" s="271">
        <v>0</v>
      </c>
      <c r="K22" s="273">
        <v>18480</v>
      </c>
      <c r="L22" s="273">
        <v>0</v>
      </c>
      <c r="M22" s="271">
        <v>0</v>
      </c>
    </row>
    <row r="23" spans="4:13" ht="28.8" x14ac:dyDescent="0.3">
      <c r="D23" s="269" t="s">
        <v>395</v>
      </c>
      <c r="E23" s="270" t="s">
        <v>396</v>
      </c>
      <c r="F23" s="270" t="s">
        <v>397</v>
      </c>
      <c r="G23" s="270" t="s">
        <v>350</v>
      </c>
      <c r="H23" s="271">
        <f>H24+H41+H43</f>
        <v>12232720</v>
      </c>
      <c r="I23" s="271">
        <f t="shared" ref="I23:M23" si="9">I24+I41+I43</f>
        <v>0</v>
      </c>
      <c r="J23" s="271">
        <f t="shared" si="9"/>
        <v>393800</v>
      </c>
      <c r="K23" s="271">
        <f t="shared" si="9"/>
        <v>1801720</v>
      </c>
      <c r="L23" s="271">
        <f t="shared" si="9"/>
        <v>5367100</v>
      </c>
      <c r="M23" s="271">
        <f t="shared" si="9"/>
        <v>4670100</v>
      </c>
    </row>
    <row r="24" spans="4:13" ht="28.8" x14ac:dyDescent="0.3">
      <c r="D24" s="274" t="s">
        <v>398</v>
      </c>
      <c r="E24" s="270" t="s">
        <v>396</v>
      </c>
      <c r="F24" s="270" t="s">
        <v>397</v>
      </c>
      <c r="G24" s="270" t="s">
        <v>350</v>
      </c>
      <c r="H24" s="271">
        <f>SUM(H25:H40)</f>
        <v>12180760</v>
      </c>
      <c r="I24" s="271">
        <f t="shared" ref="I24:M24" si="10">SUM(I25:I40)</f>
        <v>0</v>
      </c>
      <c r="J24" s="271">
        <f t="shared" si="10"/>
        <v>363800</v>
      </c>
      <c r="K24" s="271">
        <f t="shared" si="10"/>
        <v>1779760</v>
      </c>
      <c r="L24" s="271">
        <f t="shared" si="10"/>
        <v>5367100</v>
      </c>
      <c r="M24" s="271">
        <f t="shared" si="10"/>
        <v>4670100</v>
      </c>
    </row>
    <row r="25" spans="4:13" ht="57.6" x14ac:dyDescent="0.3">
      <c r="D25" s="275" t="s">
        <v>399</v>
      </c>
      <c r="E25" s="270" t="s">
        <v>400</v>
      </c>
      <c r="F25" s="270" t="s">
        <v>401</v>
      </c>
      <c r="G25" s="270" t="s">
        <v>402</v>
      </c>
      <c r="H25" s="271">
        <v>300000</v>
      </c>
      <c r="I25" s="271"/>
      <c r="J25" s="271">
        <v>16800</v>
      </c>
      <c r="K25" s="273">
        <v>57200</v>
      </c>
      <c r="L25" s="273">
        <v>143200</v>
      </c>
      <c r="M25" s="271">
        <v>82800</v>
      </c>
    </row>
    <row r="26" spans="4:13" ht="62.4" x14ac:dyDescent="0.3">
      <c r="D26" s="276" t="s">
        <v>403</v>
      </c>
      <c r="E26" s="270" t="s">
        <v>400</v>
      </c>
      <c r="F26" s="270" t="s">
        <v>404</v>
      </c>
      <c r="G26" s="270" t="s">
        <v>405</v>
      </c>
      <c r="H26" s="271">
        <v>300000</v>
      </c>
      <c r="I26" s="271"/>
      <c r="J26" s="271">
        <v>0</v>
      </c>
      <c r="K26" s="273">
        <v>102800</v>
      </c>
      <c r="L26" s="273">
        <v>183400</v>
      </c>
      <c r="M26" s="271">
        <v>13800</v>
      </c>
    </row>
    <row r="27" spans="4:13" ht="78" x14ac:dyDescent="0.3">
      <c r="D27" s="276" t="s">
        <v>406</v>
      </c>
      <c r="E27" s="270" t="s">
        <v>400</v>
      </c>
      <c r="F27" s="270" t="s">
        <v>397</v>
      </c>
      <c r="G27" s="270" t="s">
        <v>407</v>
      </c>
      <c r="H27" s="271">
        <v>100000</v>
      </c>
      <c r="I27" s="271"/>
      <c r="J27" s="271">
        <v>30000</v>
      </c>
      <c r="K27" s="273">
        <v>70000</v>
      </c>
      <c r="L27" s="273">
        <v>0</v>
      </c>
      <c r="M27" s="271">
        <v>0</v>
      </c>
    </row>
    <row r="28" spans="4:13" ht="46.8" x14ac:dyDescent="0.3">
      <c r="D28" s="276" t="s">
        <v>408</v>
      </c>
      <c r="E28" s="270" t="s">
        <v>400</v>
      </c>
      <c r="F28" s="270" t="s">
        <v>409</v>
      </c>
      <c r="G28" s="270" t="s">
        <v>410</v>
      </c>
      <c r="H28" s="271">
        <v>1100000</v>
      </c>
      <c r="I28" s="271"/>
      <c r="J28" s="271">
        <v>0</v>
      </c>
      <c r="K28" s="273">
        <v>0</v>
      </c>
      <c r="L28" s="273">
        <v>856000</v>
      </c>
      <c r="M28" s="271">
        <v>244000</v>
      </c>
    </row>
    <row r="29" spans="4:13" ht="62.4" x14ac:dyDescent="0.3">
      <c r="D29" s="276" t="s">
        <v>411</v>
      </c>
      <c r="E29" s="270" t="s">
        <v>400</v>
      </c>
      <c r="F29" s="270" t="s">
        <v>363</v>
      </c>
      <c r="G29" s="270" t="s">
        <v>412</v>
      </c>
      <c r="H29" s="271">
        <v>1000000</v>
      </c>
      <c r="I29" s="271"/>
      <c r="J29" s="271">
        <v>0</v>
      </c>
      <c r="K29" s="273">
        <v>0</v>
      </c>
      <c r="L29" s="273">
        <v>550000</v>
      </c>
      <c r="M29" s="271">
        <v>450000</v>
      </c>
    </row>
    <row r="30" spans="4:13" ht="93.6" x14ac:dyDescent="0.3">
      <c r="D30" s="276" t="s">
        <v>413</v>
      </c>
      <c r="E30" s="270" t="s">
        <v>400</v>
      </c>
      <c r="F30" s="270" t="s">
        <v>414</v>
      </c>
      <c r="G30" s="270" t="s">
        <v>415</v>
      </c>
      <c r="H30" s="271">
        <v>550000</v>
      </c>
      <c r="I30" s="271"/>
      <c r="J30" s="271">
        <v>15000</v>
      </c>
      <c r="K30" s="273">
        <v>385000</v>
      </c>
      <c r="L30" s="273">
        <v>150000</v>
      </c>
      <c r="M30" s="271">
        <v>0</v>
      </c>
    </row>
    <row r="31" spans="4:13" ht="93.6" x14ac:dyDescent="0.3">
      <c r="D31" s="276" t="s">
        <v>416</v>
      </c>
      <c r="E31" s="270" t="s">
        <v>400</v>
      </c>
      <c r="F31" s="270" t="s">
        <v>417</v>
      </c>
      <c r="G31" s="270" t="s">
        <v>350</v>
      </c>
      <c r="H31" s="271">
        <v>750000</v>
      </c>
      <c r="I31" s="271"/>
      <c r="J31" s="271">
        <v>0</v>
      </c>
      <c r="K31" s="273">
        <v>0</v>
      </c>
      <c r="L31" s="273">
        <v>225000</v>
      </c>
      <c r="M31" s="271">
        <v>525000</v>
      </c>
    </row>
    <row r="32" spans="4:13" ht="46.8" x14ac:dyDescent="0.3">
      <c r="D32" s="276" t="s">
        <v>418</v>
      </c>
      <c r="E32" s="270" t="s">
        <v>400</v>
      </c>
      <c r="F32" s="270" t="s">
        <v>419</v>
      </c>
      <c r="G32" s="270" t="s">
        <v>420</v>
      </c>
      <c r="H32" s="271">
        <v>450000</v>
      </c>
      <c r="I32" s="271"/>
      <c r="J32" s="271">
        <v>0</v>
      </c>
      <c r="K32" s="273">
        <v>24500</v>
      </c>
      <c r="L32" s="273">
        <v>298000</v>
      </c>
      <c r="M32" s="271">
        <v>127500</v>
      </c>
    </row>
    <row r="33" spans="4:13" ht="62.4" x14ac:dyDescent="0.3">
      <c r="D33" s="276" t="s">
        <v>421</v>
      </c>
      <c r="E33" s="270" t="s">
        <v>400</v>
      </c>
      <c r="F33" s="270" t="s">
        <v>401</v>
      </c>
      <c r="G33" s="270" t="s">
        <v>402</v>
      </c>
      <c r="H33" s="271">
        <v>700000</v>
      </c>
      <c r="I33" s="271"/>
      <c r="J33" s="271">
        <v>0</v>
      </c>
      <c r="K33" s="273">
        <v>0</v>
      </c>
      <c r="L33" s="273">
        <v>210000</v>
      </c>
      <c r="M33" s="271">
        <v>490000</v>
      </c>
    </row>
    <row r="34" spans="4:13" ht="62.4" x14ac:dyDescent="0.3">
      <c r="D34" s="276" t="s">
        <v>422</v>
      </c>
      <c r="E34" s="270" t="s">
        <v>400</v>
      </c>
      <c r="F34" s="270" t="s">
        <v>423</v>
      </c>
      <c r="G34" s="270" t="s">
        <v>424</v>
      </c>
      <c r="H34" s="271">
        <v>250000</v>
      </c>
      <c r="I34" s="271"/>
      <c r="J34" s="271">
        <v>0</v>
      </c>
      <c r="K34" s="273">
        <v>175000</v>
      </c>
      <c r="L34" s="273">
        <v>75000</v>
      </c>
      <c r="M34" s="271">
        <v>0</v>
      </c>
    </row>
    <row r="35" spans="4:13" ht="78" x14ac:dyDescent="0.3">
      <c r="D35" s="276" t="s">
        <v>425</v>
      </c>
      <c r="E35" s="270" t="s">
        <v>400</v>
      </c>
      <c r="F35" s="270" t="s">
        <v>426</v>
      </c>
      <c r="G35" s="270" t="s">
        <v>427</v>
      </c>
      <c r="H35" s="271">
        <v>150000</v>
      </c>
      <c r="I35" s="271"/>
      <c r="J35" s="271">
        <v>0</v>
      </c>
      <c r="K35" s="273">
        <v>19000</v>
      </c>
      <c r="L35" s="273">
        <v>87000</v>
      </c>
      <c r="M35" s="271">
        <v>44000</v>
      </c>
    </row>
    <row r="36" spans="4:13" ht="140.4" x14ac:dyDescent="0.3">
      <c r="D36" s="276" t="s">
        <v>428</v>
      </c>
      <c r="E36" s="270" t="s">
        <v>400</v>
      </c>
      <c r="F36" s="270" t="s">
        <v>429</v>
      </c>
      <c r="G36" s="270" t="s">
        <v>430</v>
      </c>
      <c r="H36" s="271">
        <v>1500000</v>
      </c>
      <c r="I36" s="271"/>
      <c r="J36" s="271">
        <v>0</v>
      </c>
      <c r="K36" s="273">
        <v>0</v>
      </c>
      <c r="L36" s="273">
        <v>652000</v>
      </c>
      <c r="M36" s="271">
        <v>848000</v>
      </c>
    </row>
    <row r="37" spans="4:13" ht="46.8" x14ac:dyDescent="0.3">
      <c r="D37" s="276" t="s">
        <v>327</v>
      </c>
      <c r="E37" s="270" t="s">
        <v>400</v>
      </c>
      <c r="F37" s="270" t="s">
        <v>431</v>
      </c>
      <c r="G37" s="270" t="s">
        <v>432</v>
      </c>
      <c r="H37" s="271">
        <v>1000000</v>
      </c>
      <c r="I37" s="271"/>
      <c r="J37" s="271">
        <v>200000</v>
      </c>
      <c r="K37" s="273">
        <v>500000</v>
      </c>
      <c r="L37" s="273">
        <v>300000</v>
      </c>
      <c r="M37" s="271">
        <v>0</v>
      </c>
    </row>
    <row r="38" spans="4:13" ht="78" x14ac:dyDescent="0.3">
      <c r="D38" s="276" t="s">
        <v>328</v>
      </c>
      <c r="E38" s="270" t="s">
        <v>400</v>
      </c>
      <c r="F38" s="270" t="s">
        <v>433</v>
      </c>
      <c r="G38" s="270" t="s">
        <v>434</v>
      </c>
      <c r="H38" s="271">
        <v>3500000</v>
      </c>
      <c r="I38" s="271"/>
      <c r="J38" s="271">
        <v>0</v>
      </c>
      <c r="K38" s="273">
        <v>122500</v>
      </c>
      <c r="L38" s="273">
        <f>782500+750000</f>
        <v>1532500</v>
      </c>
      <c r="M38" s="271">
        <f>845000+1000000</f>
        <v>1845000</v>
      </c>
    </row>
    <row r="39" spans="4:13" ht="78" x14ac:dyDescent="0.3">
      <c r="D39" s="276" t="s">
        <v>435</v>
      </c>
      <c r="E39" s="270" t="s">
        <v>400</v>
      </c>
      <c r="F39" s="270" t="s">
        <v>436</v>
      </c>
      <c r="G39" s="270" t="s">
        <v>437</v>
      </c>
      <c r="H39" s="271">
        <v>350000</v>
      </c>
      <c r="I39" s="271"/>
      <c r="J39" s="271">
        <v>0</v>
      </c>
      <c r="K39" s="273">
        <v>245000</v>
      </c>
      <c r="L39" s="273">
        <v>105000</v>
      </c>
      <c r="M39" s="271">
        <v>0</v>
      </c>
    </row>
    <row r="40" spans="4:13" ht="28.8" x14ac:dyDescent="0.3">
      <c r="D40" s="275" t="s">
        <v>438</v>
      </c>
      <c r="E40" s="270" t="s">
        <v>439</v>
      </c>
      <c r="F40" s="270" t="s">
        <v>440</v>
      </c>
      <c r="G40" s="270" t="s">
        <v>393</v>
      </c>
      <c r="H40" s="271">
        <v>180760</v>
      </c>
      <c r="I40" s="271">
        <v>0</v>
      </c>
      <c r="J40" s="271">
        <v>102000</v>
      </c>
      <c r="K40" s="273">
        <v>78760</v>
      </c>
      <c r="L40" s="273">
        <v>0</v>
      </c>
      <c r="M40" s="271">
        <v>0</v>
      </c>
    </row>
    <row r="41" spans="4:13" ht="43.2" x14ac:dyDescent="0.3">
      <c r="D41" s="274" t="s">
        <v>441</v>
      </c>
      <c r="E41" s="270" t="s">
        <v>381</v>
      </c>
      <c r="F41" s="270" t="s">
        <v>442</v>
      </c>
      <c r="G41" s="270" t="s">
        <v>443</v>
      </c>
      <c r="H41" s="271">
        <f>H42</f>
        <v>36960</v>
      </c>
      <c r="I41" s="271">
        <f t="shared" ref="I41:M41" si="11">I42</f>
        <v>0</v>
      </c>
      <c r="J41" s="271">
        <f t="shared" si="11"/>
        <v>28000</v>
      </c>
      <c r="K41" s="271">
        <f t="shared" si="11"/>
        <v>8960</v>
      </c>
      <c r="L41" s="271">
        <f t="shared" si="11"/>
        <v>0</v>
      </c>
      <c r="M41" s="271">
        <f t="shared" si="11"/>
        <v>0</v>
      </c>
    </row>
    <row r="42" spans="4:13" ht="129.6" x14ac:dyDescent="0.3">
      <c r="D42" s="270" t="s">
        <v>444</v>
      </c>
      <c r="E42" s="270" t="s">
        <v>381</v>
      </c>
      <c r="F42" s="270" t="s">
        <v>442</v>
      </c>
      <c r="G42" s="270" t="s">
        <v>443</v>
      </c>
      <c r="H42" s="271">
        <v>36960</v>
      </c>
      <c r="I42" s="271">
        <v>0</v>
      </c>
      <c r="J42" s="271">
        <v>28000</v>
      </c>
      <c r="K42" s="273">
        <v>8960</v>
      </c>
      <c r="L42" s="273">
        <v>0</v>
      </c>
      <c r="M42" s="271">
        <v>0</v>
      </c>
    </row>
    <row r="43" spans="4:13" ht="57.6" x14ac:dyDescent="0.3">
      <c r="D43" s="274" t="s">
        <v>445</v>
      </c>
      <c r="E43" s="270" t="s">
        <v>381</v>
      </c>
      <c r="F43" s="270" t="s">
        <v>446</v>
      </c>
      <c r="G43" s="270" t="s">
        <v>447</v>
      </c>
      <c r="H43" s="271">
        <f t="shared" ref="H43:M43" si="12">H44</f>
        <v>15000</v>
      </c>
      <c r="I43" s="271">
        <f t="shared" si="12"/>
        <v>0</v>
      </c>
      <c r="J43" s="271">
        <f t="shared" si="12"/>
        <v>2000</v>
      </c>
      <c r="K43" s="271">
        <f t="shared" si="12"/>
        <v>13000</v>
      </c>
      <c r="L43" s="271">
        <f t="shared" si="12"/>
        <v>0</v>
      </c>
      <c r="M43" s="271">
        <f t="shared" si="12"/>
        <v>0</v>
      </c>
    </row>
    <row r="44" spans="4:13" ht="28.8" x14ac:dyDescent="0.3">
      <c r="D44" s="270" t="s">
        <v>448</v>
      </c>
      <c r="E44" s="270" t="s">
        <v>381</v>
      </c>
      <c r="F44" s="270" t="s">
        <v>446</v>
      </c>
      <c r="G44" s="270" t="s">
        <v>447</v>
      </c>
      <c r="H44" s="271">
        <v>15000</v>
      </c>
      <c r="I44" s="271">
        <v>0</v>
      </c>
      <c r="J44" s="271">
        <v>2000</v>
      </c>
      <c r="K44" s="273">
        <v>13000</v>
      </c>
      <c r="L44" s="273">
        <v>0</v>
      </c>
      <c r="M44" s="271">
        <v>0</v>
      </c>
    </row>
    <row r="45" spans="4:13" ht="43.2" x14ac:dyDescent="0.3">
      <c r="D45" s="269" t="s">
        <v>449</v>
      </c>
      <c r="E45" s="270" t="s">
        <v>450</v>
      </c>
      <c r="F45" s="270" t="s">
        <v>451</v>
      </c>
      <c r="G45" s="270" t="s">
        <v>452</v>
      </c>
      <c r="H45" s="271">
        <f>SUM(H46:H50)</f>
        <v>712860</v>
      </c>
      <c r="I45" s="271">
        <f t="shared" ref="I45:M45" si="13">SUM(I46:I50)</f>
        <v>28800</v>
      </c>
      <c r="J45" s="271">
        <f t="shared" si="13"/>
        <v>260080</v>
      </c>
      <c r="K45" s="271">
        <f t="shared" si="13"/>
        <v>233380</v>
      </c>
      <c r="L45" s="271">
        <f t="shared" si="13"/>
        <v>111800</v>
      </c>
      <c r="M45" s="271">
        <f t="shared" si="13"/>
        <v>78800</v>
      </c>
    </row>
    <row r="46" spans="4:13" ht="57.6" x14ac:dyDescent="0.3">
      <c r="D46" s="277" t="s">
        <v>453</v>
      </c>
      <c r="E46" s="270" t="s">
        <v>450</v>
      </c>
      <c r="F46" s="270" t="s">
        <v>451</v>
      </c>
      <c r="G46" s="270" t="s">
        <v>452</v>
      </c>
      <c r="H46" s="271">
        <v>169000</v>
      </c>
      <c r="I46" s="271">
        <v>28800</v>
      </c>
      <c r="J46" s="271">
        <v>53800</v>
      </c>
      <c r="K46" s="273">
        <v>28800</v>
      </c>
      <c r="L46" s="273">
        <v>28800</v>
      </c>
      <c r="M46" s="271">
        <v>28800</v>
      </c>
    </row>
    <row r="47" spans="4:13" ht="117" customHeight="1" x14ac:dyDescent="0.3">
      <c r="D47" s="277" t="s">
        <v>454</v>
      </c>
      <c r="E47" s="270" t="s">
        <v>381</v>
      </c>
      <c r="F47" s="270" t="s">
        <v>455</v>
      </c>
      <c r="G47" s="270" t="s">
        <v>456</v>
      </c>
      <c r="H47" s="271">
        <v>46200</v>
      </c>
      <c r="I47" s="271">
        <v>0</v>
      </c>
      <c r="J47" s="271">
        <v>38480</v>
      </c>
      <c r="K47" s="273">
        <v>7720</v>
      </c>
      <c r="L47" s="273">
        <v>0</v>
      </c>
      <c r="M47" s="271">
        <v>0</v>
      </c>
    </row>
    <row r="48" spans="4:13" ht="28.8" x14ac:dyDescent="0.3">
      <c r="D48" s="277" t="s">
        <v>457</v>
      </c>
      <c r="E48" s="270" t="s">
        <v>458</v>
      </c>
      <c r="F48" s="270" t="s">
        <v>459</v>
      </c>
      <c r="G48" s="270" t="s">
        <v>460</v>
      </c>
      <c r="H48" s="271">
        <v>343660</v>
      </c>
      <c r="I48" s="271">
        <v>0</v>
      </c>
      <c r="J48" s="271">
        <v>119960</v>
      </c>
      <c r="K48" s="273">
        <v>90700</v>
      </c>
      <c r="L48" s="273">
        <v>83000</v>
      </c>
      <c r="M48" s="271">
        <v>50000</v>
      </c>
    </row>
    <row r="49" spans="4:13" ht="43.2" x14ac:dyDescent="0.3">
      <c r="D49" s="277" t="s">
        <v>461</v>
      </c>
      <c r="E49" s="270" t="s">
        <v>381</v>
      </c>
      <c r="F49" s="270" t="s">
        <v>462</v>
      </c>
      <c r="G49" s="270" t="s">
        <v>360</v>
      </c>
      <c r="H49" s="271">
        <v>147840</v>
      </c>
      <c r="I49" s="271">
        <v>0</v>
      </c>
      <c r="J49" s="271">
        <v>47840</v>
      </c>
      <c r="K49" s="273">
        <v>100000</v>
      </c>
      <c r="L49" s="273">
        <v>0</v>
      </c>
      <c r="M49" s="271">
        <v>0</v>
      </c>
    </row>
    <row r="50" spans="4:13" ht="43.2" x14ac:dyDescent="0.3">
      <c r="D50" s="277" t="s">
        <v>463</v>
      </c>
      <c r="E50" s="270" t="s">
        <v>381</v>
      </c>
      <c r="F50" s="270" t="s">
        <v>464</v>
      </c>
      <c r="G50" s="270" t="s">
        <v>465</v>
      </c>
      <c r="H50" s="271">
        <v>6160</v>
      </c>
      <c r="I50" s="271">
        <v>0</v>
      </c>
      <c r="J50" s="271">
        <v>0</v>
      </c>
      <c r="K50" s="273">
        <v>6160</v>
      </c>
      <c r="L50" s="273">
        <v>0</v>
      </c>
      <c r="M50" s="271">
        <v>0</v>
      </c>
    </row>
    <row r="51" spans="4:13" ht="28.8" x14ac:dyDescent="0.3">
      <c r="D51" s="269" t="s">
        <v>466</v>
      </c>
      <c r="E51" s="270" t="s">
        <v>467</v>
      </c>
      <c r="F51" s="270" t="s">
        <v>468</v>
      </c>
      <c r="G51" s="270" t="s">
        <v>469</v>
      </c>
      <c r="H51" s="271">
        <f>SUM(H52:H57)</f>
        <v>1125119</v>
      </c>
      <c r="I51" s="271">
        <f t="shared" ref="I51:M51" si="14">SUM(I52:I57)</f>
        <v>25000</v>
      </c>
      <c r="J51" s="271">
        <f t="shared" si="14"/>
        <v>105000</v>
      </c>
      <c r="K51" s="271">
        <f t="shared" si="14"/>
        <v>407000</v>
      </c>
      <c r="L51" s="271">
        <f t="shared" si="14"/>
        <v>413119</v>
      </c>
      <c r="M51" s="271">
        <f t="shared" si="14"/>
        <v>175000</v>
      </c>
    </row>
    <row r="52" spans="4:13" ht="28.8" x14ac:dyDescent="0.3">
      <c r="D52" s="270" t="s">
        <v>470</v>
      </c>
      <c r="E52" s="278" t="s">
        <v>471</v>
      </c>
      <c r="F52" s="278" t="s">
        <v>472</v>
      </c>
      <c r="G52" s="278" t="s">
        <v>473</v>
      </c>
      <c r="H52" s="279">
        <v>702000</v>
      </c>
      <c r="I52" s="279">
        <v>0</v>
      </c>
      <c r="J52" s="279">
        <v>0</v>
      </c>
      <c r="K52" s="280">
        <v>288000</v>
      </c>
      <c r="L52" s="280">
        <v>288000</v>
      </c>
      <c r="M52" s="279">
        <v>126000</v>
      </c>
    </row>
    <row r="53" spans="4:13" ht="28.8" x14ac:dyDescent="0.3">
      <c r="D53" s="270" t="s">
        <v>474</v>
      </c>
      <c r="E53" s="278" t="s">
        <v>471</v>
      </c>
      <c r="F53" s="278" t="s">
        <v>468</v>
      </c>
      <c r="G53" s="278" t="s">
        <v>475</v>
      </c>
      <c r="H53" s="279">
        <v>168000</v>
      </c>
      <c r="I53" s="279">
        <v>0</v>
      </c>
      <c r="J53" s="279">
        <v>48000</v>
      </c>
      <c r="K53" s="280">
        <v>48000</v>
      </c>
      <c r="L53" s="280">
        <v>48000</v>
      </c>
      <c r="M53" s="279">
        <v>24000</v>
      </c>
    </row>
    <row r="54" spans="4:13" ht="28.8" x14ac:dyDescent="0.3">
      <c r="D54" s="270" t="s">
        <v>476</v>
      </c>
      <c r="E54" s="278" t="s">
        <v>471</v>
      </c>
      <c r="F54" s="278" t="s">
        <v>477</v>
      </c>
      <c r="G54" s="278" t="s">
        <v>469</v>
      </c>
      <c r="H54" s="279">
        <v>50000</v>
      </c>
      <c r="I54" s="279">
        <v>0</v>
      </c>
      <c r="J54" s="279">
        <v>0</v>
      </c>
      <c r="K54" s="280">
        <v>20000</v>
      </c>
      <c r="L54" s="280">
        <v>30000</v>
      </c>
      <c r="M54" s="279">
        <v>0</v>
      </c>
    </row>
    <row r="55" spans="4:13" ht="28.8" x14ac:dyDescent="0.3">
      <c r="D55" s="270" t="s">
        <v>478</v>
      </c>
      <c r="E55" s="278" t="s">
        <v>471</v>
      </c>
      <c r="F55" s="278" t="s">
        <v>479</v>
      </c>
      <c r="G55" s="278" t="s">
        <v>480</v>
      </c>
      <c r="H55" s="279">
        <v>125000</v>
      </c>
      <c r="I55" s="279">
        <v>25000</v>
      </c>
      <c r="J55" s="279">
        <v>25000</v>
      </c>
      <c r="K55" s="280">
        <v>25000</v>
      </c>
      <c r="L55" s="280">
        <v>25000</v>
      </c>
      <c r="M55" s="279">
        <v>25000</v>
      </c>
    </row>
    <row r="56" spans="4:13" ht="28.8" x14ac:dyDescent="0.3">
      <c r="D56" s="270" t="s">
        <v>481</v>
      </c>
      <c r="E56" s="278" t="s">
        <v>471</v>
      </c>
      <c r="F56" s="278" t="s">
        <v>477</v>
      </c>
      <c r="G56" s="278" t="s">
        <v>469</v>
      </c>
      <c r="H56" s="279">
        <v>75000</v>
      </c>
      <c r="I56" s="279">
        <v>0</v>
      </c>
      <c r="J56" s="279">
        <v>30000</v>
      </c>
      <c r="K56" s="280">
        <v>25000</v>
      </c>
      <c r="L56" s="280">
        <v>20000</v>
      </c>
      <c r="M56" s="279">
        <v>0</v>
      </c>
    </row>
    <row r="57" spans="4:13" ht="28.8" x14ac:dyDescent="0.3">
      <c r="D57" s="270" t="s">
        <v>482</v>
      </c>
      <c r="E57" s="278" t="s">
        <v>471</v>
      </c>
      <c r="F57" s="278" t="s">
        <v>477</v>
      </c>
      <c r="G57" s="278" t="s">
        <v>469</v>
      </c>
      <c r="H57" s="279">
        <v>5119</v>
      </c>
      <c r="I57" s="279">
        <v>0</v>
      </c>
      <c r="J57" s="279">
        <v>2000</v>
      </c>
      <c r="K57" s="280">
        <v>1000</v>
      </c>
      <c r="L57" s="280">
        <v>2119</v>
      </c>
      <c r="M57" s="279">
        <v>0</v>
      </c>
    </row>
    <row r="58" spans="4:13" x14ac:dyDescent="0.3">
      <c r="H58" s="281">
        <f>H51-H4</f>
        <v>-13874881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46403-C241-43B8-9B89-780DC25E2FF2}">
  <dimension ref="A2:T124"/>
  <sheetViews>
    <sheetView tabSelected="1" topLeftCell="A13" zoomScale="70" zoomScaleNormal="70" workbookViewId="0">
      <selection activeCell="L22" sqref="L22"/>
    </sheetView>
  </sheetViews>
  <sheetFormatPr defaultColWidth="8.19921875" defaultRowHeight="13.8" x14ac:dyDescent="0.25"/>
  <cols>
    <col min="1" max="1" width="24.5" style="187" customWidth="1"/>
    <col min="2" max="2" width="8.19921875" style="187" customWidth="1"/>
    <col min="3" max="3" width="32.69921875" style="187" customWidth="1"/>
    <col min="4" max="4" width="26" style="187" customWidth="1"/>
    <col min="5" max="5" width="11.59765625" style="187" customWidth="1"/>
    <col min="6" max="6" width="14" style="187" customWidth="1"/>
    <col min="7" max="7" width="14.09765625" style="188" customWidth="1"/>
    <col min="8" max="8" width="14.09765625" style="189" customWidth="1"/>
    <col min="9" max="9" width="14.09765625" style="190" customWidth="1"/>
    <col min="10" max="10" width="24.69921875" style="187" customWidth="1"/>
    <col min="11" max="11" width="17.59765625" style="187" customWidth="1"/>
    <col min="12" max="12" width="14" style="191" customWidth="1"/>
    <col min="13" max="13" width="13.5" style="191" customWidth="1"/>
    <col min="14" max="14" width="17.8984375" style="187" customWidth="1"/>
    <col min="15" max="16" width="8.19921875" style="187" customWidth="1"/>
    <col min="17" max="17" width="61.69921875" style="187" customWidth="1"/>
    <col min="18" max="18" width="51.69921875" style="187" customWidth="1"/>
    <col min="19" max="20" width="8.19921875" style="187" customWidth="1"/>
    <col min="21" max="16384" width="8.19921875" style="187"/>
  </cols>
  <sheetData>
    <row r="2" spans="1:20" ht="16.2" customHeight="1" thickBot="1" x14ac:dyDescent="0.3">
      <c r="A2" s="203"/>
      <c r="B2" s="203" t="s">
        <v>103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89"/>
      <c r="P2" s="89"/>
      <c r="Q2" s="82"/>
      <c r="R2" s="83"/>
      <c r="S2" s="89"/>
      <c r="T2" s="89"/>
    </row>
    <row r="3" spans="1:20" ht="15.6" x14ac:dyDescent="0.25">
      <c r="B3" s="422" t="s">
        <v>27</v>
      </c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4"/>
      <c r="O3" s="89"/>
      <c r="P3" s="89"/>
      <c r="Q3" s="205" t="s">
        <v>104</v>
      </c>
      <c r="R3" s="83"/>
      <c r="S3" s="89"/>
      <c r="T3" s="89"/>
    </row>
    <row r="4" spans="1:20" ht="14.4" customHeight="1" x14ac:dyDescent="0.25">
      <c r="A4" s="425"/>
      <c r="B4" s="425" t="s">
        <v>105</v>
      </c>
      <c r="C4" s="426" t="s">
        <v>106</v>
      </c>
      <c r="D4" s="426" t="s">
        <v>315</v>
      </c>
      <c r="E4" s="426" t="s">
        <v>107</v>
      </c>
      <c r="F4" s="426" t="s">
        <v>108</v>
      </c>
      <c r="G4" s="427" t="s">
        <v>109</v>
      </c>
      <c r="H4" s="427"/>
      <c r="I4" s="427"/>
      <c r="J4" s="426" t="s">
        <v>110</v>
      </c>
      <c r="K4" s="426" t="s">
        <v>316</v>
      </c>
      <c r="L4" s="426" t="s">
        <v>111</v>
      </c>
      <c r="M4" s="426"/>
      <c r="N4" s="428" t="s">
        <v>317</v>
      </c>
      <c r="O4" s="89"/>
      <c r="P4" s="89"/>
      <c r="Q4" s="205" t="s">
        <v>112</v>
      </c>
      <c r="R4" s="83"/>
      <c r="S4" s="89"/>
      <c r="T4" s="89"/>
    </row>
    <row r="5" spans="1:20" ht="33" customHeight="1" x14ac:dyDescent="0.25">
      <c r="A5" s="425"/>
      <c r="B5" s="425"/>
      <c r="C5" s="426"/>
      <c r="D5" s="426"/>
      <c r="E5" s="426"/>
      <c r="F5" s="426"/>
      <c r="G5" s="206" t="s">
        <v>113</v>
      </c>
      <c r="H5" s="207" t="s">
        <v>114</v>
      </c>
      <c r="I5" s="207" t="s">
        <v>115</v>
      </c>
      <c r="J5" s="426"/>
      <c r="K5" s="426"/>
      <c r="L5" s="208" t="s">
        <v>116</v>
      </c>
      <c r="M5" s="208" t="s">
        <v>117</v>
      </c>
      <c r="N5" s="428"/>
      <c r="O5" s="89"/>
      <c r="P5" s="89"/>
      <c r="Q5" s="209" t="s">
        <v>118</v>
      </c>
      <c r="R5" s="83"/>
      <c r="S5" s="89"/>
      <c r="T5" s="89"/>
    </row>
    <row r="6" spans="1:20" s="210" customFormat="1" x14ac:dyDescent="0.25">
      <c r="A6" s="193"/>
      <c r="B6" s="193"/>
      <c r="C6" s="192"/>
      <c r="D6" s="192"/>
      <c r="E6" s="192"/>
      <c r="F6" s="192"/>
      <c r="G6" s="201"/>
      <c r="H6" s="196"/>
      <c r="I6" s="196"/>
      <c r="J6" s="192"/>
      <c r="K6" s="192"/>
      <c r="L6" s="197"/>
      <c r="M6" s="197"/>
      <c r="N6" s="198"/>
      <c r="O6" s="89"/>
      <c r="P6" s="89"/>
      <c r="Q6" s="205" t="s">
        <v>119</v>
      </c>
      <c r="R6" s="83"/>
      <c r="S6" s="89"/>
      <c r="T6" s="89"/>
    </row>
    <row r="7" spans="1:20" s="210" customFormat="1" ht="14.4" thickBot="1" x14ac:dyDescent="0.3">
      <c r="A7" s="211"/>
      <c r="B7" s="211"/>
      <c r="C7" s="212"/>
      <c r="D7" s="212"/>
      <c r="E7" s="212"/>
      <c r="F7" s="212"/>
      <c r="G7" s="213"/>
      <c r="H7" s="214"/>
      <c r="I7" s="214"/>
      <c r="J7" s="212"/>
      <c r="K7" s="212"/>
      <c r="L7" s="215"/>
      <c r="M7" s="215"/>
      <c r="N7" s="216"/>
      <c r="O7" s="89"/>
      <c r="P7" s="89"/>
      <c r="Q7" s="205" t="s">
        <v>120</v>
      </c>
      <c r="R7" s="83"/>
      <c r="S7" s="89"/>
      <c r="T7" s="89"/>
    </row>
    <row r="8" spans="1:20" s="210" customFormat="1" ht="14.4" thickBot="1" x14ac:dyDescent="0.3">
      <c r="G8" s="217"/>
      <c r="H8" s="218"/>
      <c r="I8" s="218"/>
      <c r="L8" s="197"/>
      <c r="M8" s="219"/>
      <c r="Q8" s="205" t="s">
        <v>121</v>
      </c>
      <c r="R8" s="209"/>
    </row>
    <row r="9" spans="1:20" ht="15.6" x14ac:dyDescent="0.25">
      <c r="B9" s="429" t="s">
        <v>26</v>
      </c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1"/>
      <c r="O9" s="89"/>
      <c r="P9" s="89"/>
      <c r="Q9" s="205" t="s">
        <v>122</v>
      </c>
      <c r="R9" s="83"/>
      <c r="S9" s="89"/>
      <c r="T9" s="89"/>
    </row>
    <row r="10" spans="1:20" ht="15" customHeight="1" x14ac:dyDescent="0.25">
      <c r="A10" s="425"/>
      <c r="B10" s="425" t="s">
        <v>105</v>
      </c>
      <c r="C10" s="426" t="s">
        <v>106</v>
      </c>
      <c r="D10" s="426" t="s">
        <v>318</v>
      </c>
      <c r="E10" s="426" t="s">
        <v>107</v>
      </c>
      <c r="F10" s="426" t="s">
        <v>108</v>
      </c>
      <c r="G10" s="427" t="s">
        <v>109</v>
      </c>
      <c r="H10" s="427"/>
      <c r="I10" s="427"/>
      <c r="J10" s="426" t="s">
        <v>110</v>
      </c>
      <c r="K10" s="426" t="s">
        <v>316</v>
      </c>
      <c r="L10" s="426" t="s">
        <v>111</v>
      </c>
      <c r="M10" s="426"/>
      <c r="N10" s="428" t="s">
        <v>317</v>
      </c>
      <c r="O10" s="89"/>
      <c r="P10" s="89"/>
      <c r="Q10" s="205" t="s">
        <v>123</v>
      </c>
      <c r="R10" s="83"/>
      <c r="S10" s="89"/>
      <c r="T10" s="89"/>
    </row>
    <row r="11" spans="1:20" ht="36" customHeight="1" x14ac:dyDescent="0.25">
      <c r="A11" s="425"/>
      <c r="B11" s="425"/>
      <c r="C11" s="426"/>
      <c r="D11" s="426"/>
      <c r="E11" s="426"/>
      <c r="F11" s="426"/>
      <c r="G11" s="206" t="s">
        <v>113</v>
      </c>
      <c r="H11" s="207" t="s">
        <v>114</v>
      </c>
      <c r="I11" s="207" t="s">
        <v>115</v>
      </c>
      <c r="J11" s="426"/>
      <c r="K11" s="426"/>
      <c r="L11" s="208" t="s">
        <v>116</v>
      </c>
      <c r="M11" s="208" t="s">
        <v>117</v>
      </c>
      <c r="N11" s="428"/>
      <c r="O11" s="89"/>
      <c r="P11" s="89"/>
      <c r="Q11" s="82"/>
      <c r="R11" s="83"/>
      <c r="S11" s="89"/>
      <c r="T11" s="89"/>
    </row>
    <row r="12" spans="1:20" s="210" customFormat="1" ht="78.75" customHeight="1" x14ac:dyDescent="0.25">
      <c r="A12" s="439" t="str">
        <f>'1. Detailed Budget.2 '!A8</f>
        <v xml:space="preserve">1.1 Sistema de gestión de la inversión pública (SISIN) fortalecido (incluye: (i) el diseño de un módulo de registro de la preinversión; y (ii) el desarrollo e implementación de una propuesta de interoperabilidad del sistema de registro y gestión de la preinversión con otros sistemas de información nacionales </v>
      </c>
      <c r="B12" s="220" t="s">
        <v>93</v>
      </c>
      <c r="C12" s="221" t="s">
        <v>285</v>
      </c>
      <c r="D12" s="221" t="s">
        <v>180</v>
      </c>
      <c r="E12" s="221"/>
      <c r="F12" s="221" t="s">
        <v>124</v>
      </c>
      <c r="G12" s="222">
        <v>60000</v>
      </c>
      <c r="H12" s="223">
        <v>1</v>
      </c>
      <c r="I12" s="223">
        <v>0</v>
      </c>
      <c r="J12" s="221" t="s">
        <v>175</v>
      </c>
      <c r="K12" s="221" t="s">
        <v>112</v>
      </c>
      <c r="L12" s="224">
        <v>44354</v>
      </c>
      <c r="M12" s="224">
        <v>44425</v>
      </c>
      <c r="N12" s="225" t="s">
        <v>286</v>
      </c>
      <c r="O12" s="89"/>
      <c r="P12" s="89"/>
      <c r="Q12" s="205"/>
      <c r="R12" s="83"/>
      <c r="S12" s="89"/>
      <c r="T12" s="89"/>
    </row>
    <row r="13" spans="1:20" s="210" customFormat="1" ht="37.950000000000003" customHeight="1" x14ac:dyDescent="0.25">
      <c r="A13" s="440"/>
      <c r="B13" s="220" t="s">
        <v>93</v>
      </c>
      <c r="C13" s="221" t="s">
        <v>284</v>
      </c>
      <c r="D13" s="221" t="s">
        <v>180</v>
      </c>
      <c r="E13" s="221"/>
      <c r="F13" s="221" t="s">
        <v>124</v>
      </c>
      <c r="G13" s="222">
        <v>14000</v>
      </c>
      <c r="H13" s="223">
        <v>1</v>
      </c>
      <c r="I13" s="223">
        <v>0</v>
      </c>
      <c r="J13" s="221" t="s">
        <v>175</v>
      </c>
      <c r="K13" s="221" t="s">
        <v>112</v>
      </c>
      <c r="L13" s="224">
        <v>44354</v>
      </c>
      <c r="M13" s="224">
        <v>44425</v>
      </c>
      <c r="N13" s="226"/>
      <c r="O13" s="89"/>
      <c r="P13" s="89"/>
      <c r="Q13" s="205"/>
      <c r="R13" s="83"/>
      <c r="S13" s="89"/>
      <c r="T13" s="89"/>
    </row>
    <row r="14" spans="1:20" s="210" customFormat="1" ht="37.950000000000003" customHeight="1" x14ac:dyDescent="0.25">
      <c r="A14" s="193" t="s">
        <v>333</v>
      </c>
      <c r="B14" s="220" t="s">
        <v>93</v>
      </c>
      <c r="C14" s="232" t="s">
        <v>322</v>
      </c>
      <c r="D14" s="221" t="s">
        <v>180</v>
      </c>
      <c r="E14" s="221"/>
      <c r="F14" s="221" t="s">
        <v>124</v>
      </c>
      <c r="G14" s="222">
        <v>22126</v>
      </c>
      <c r="H14" s="223">
        <v>1</v>
      </c>
      <c r="I14" s="223">
        <v>0</v>
      </c>
      <c r="J14" s="221" t="s">
        <v>175</v>
      </c>
      <c r="K14" s="221" t="s">
        <v>112</v>
      </c>
      <c r="L14" s="224">
        <v>44344</v>
      </c>
      <c r="M14" s="224">
        <v>44405</v>
      </c>
      <c r="N14" s="226"/>
      <c r="O14" s="89"/>
      <c r="P14" s="89"/>
      <c r="Q14" s="205"/>
      <c r="R14" s="83"/>
      <c r="S14" s="89"/>
      <c r="T14" s="89"/>
    </row>
    <row r="15" spans="1:20" s="210" customFormat="1" ht="132" x14ac:dyDescent="0.25">
      <c r="A15" s="193" t="str">
        <f>'1. Detailed Budget.2 '!A43</f>
        <v xml:space="preserve">3.3 Estrategia de capacitación en preinversión implementada, que incluya: (a) un sistema de pasantías para funcionarios con empresas privadas; (b) el desarrollo de un programa de capacitación a municipios seleccionados; y (c) el desarrollo y difusión de Guías Técnicas de Preinversión </v>
      </c>
      <c r="B15" s="220" t="s">
        <v>93</v>
      </c>
      <c r="C15" s="221" t="str">
        <f>'1. Detailed Budget.2 '!M43</f>
        <v>Estación de conferencias unificadas. Permitirá mejorar la calidad las actividades de capacitación que impartan en salas de videoconferencia a diferentes grupos fura de las oficina central del VIPFE.</v>
      </c>
      <c r="D15" s="221" t="s">
        <v>180</v>
      </c>
      <c r="E15" s="221"/>
      <c r="F15" s="221" t="s">
        <v>124</v>
      </c>
      <c r="G15" s="222">
        <f>'1. Detailed Budget.2 '!P43</f>
        <v>7700</v>
      </c>
      <c r="H15" s="223">
        <v>1</v>
      </c>
      <c r="I15" s="223">
        <v>0</v>
      </c>
      <c r="J15" s="221" t="s">
        <v>177</v>
      </c>
      <c r="K15" s="221" t="s">
        <v>112</v>
      </c>
      <c r="L15" s="224">
        <v>44182</v>
      </c>
      <c r="M15" s="224">
        <v>44246</v>
      </c>
      <c r="N15" s="226"/>
      <c r="O15" s="89"/>
      <c r="P15" s="89"/>
      <c r="Q15" s="205"/>
      <c r="R15" s="83"/>
      <c r="S15" s="89"/>
      <c r="T15" s="89"/>
    </row>
    <row r="16" spans="1:20" s="210" customFormat="1" ht="14.4" thickBot="1" x14ac:dyDescent="0.3">
      <c r="A16" s="211"/>
      <c r="B16" s="211"/>
      <c r="C16" s="212"/>
      <c r="D16" s="212"/>
      <c r="E16" s="212"/>
      <c r="F16" s="212"/>
      <c r="G16" s="213"/>
      <c r="H16" s="214"/>
      <c r="I16" s="214"/>
      <c r="J16" s="212"/>
      <c r="K16" s="212"/>
      <c r="L16" s="215"/>
      <c r="M16" s="215"/>
      <c r="N16" s="216"/>
      <c r="O16" s="89"/>
      <c r="P16" s="89"/>
      <c r="Q16" s="205" t="s">
        <v>120</v>
      </c>
      <c r="R16" s="83"/>
      <c r="S16" s="89"/>
      <c r="T16" s="89"/>
    </row>
    <row r="17" spans="1:20" s="210" customFormat="1" ht="14.4" thickBot="1" x14ac:dyDescent="0.3">
      <c r="G17" s="227">
        <f>SUM(G12:G15)</f>
        <v>103826</v>
      </c>
      <c r="H17" s="218"/>
      <c r="I17" s="218"/>
      <c r="L17" s="219"/>
      <c r="M17" s="219"/>
      <c r="Q17" s="205" t="s">
        <v>125</v>
      </c>
      <c r="R17" s="209"/>
    </row>
    <row r="18" spans="1:20" ht="15.6" x14ac:dyDescent="0.25">
      <c r="B18" s="429" t="s">
        <v>126</v>
      </c>
      <c r="C18" s="430"/>
      <c r="D18" s="430"/>
      <c r="E18" s="430"/>
      <c r="F18" s="430"/>
      <c r="G18" s="430"/>
      <c r="H18" s="430"/>
      <c r="I18" s="430"/>
      <c r="J18" s="430"/>
      <c r="K18" s="430"/>
      <c r="L18" s="430"/>
      <c r="M18" s="430"/>
      <c r="N18" s="431"/>
      <c r="Q18" s="205" t="s">
        <v>127</v>
      </c>
      <c r="R18" s="209"/>
    </row>
    <row r="19" spans="1:20" ht="15" customHeight="1" x14ac:dyDescent="0.25">
      <c r="A19" s="425" t="s">
        <v>231</v>
      </c>
      <c r="B19" s="425" t="s">
        <v>105</v>
      </c>
      <c r="C19" s="426" t="s">
        <v>106</v>
      </c>
      <c r="D19" s="426" t="s">
        <v>318</v>
      </c>
      <c r="E19" s="426" t="s">
        <v>107</v>
      </c>
      <c r="F19" s="426" t="s">
        <v>108</v>
      </c>
      <c r="G19" s="427" t="s">
        <v>109</v>
      </c>
      <c r="H19" s="427"/>
      <c r="I19" s="427"/>
      <c r="J19" s="426" t="s">
        <v>110</v>
      </c>
      <c r="K19" s="426" t="s">
        <v>316</v>
      </c>
      <c r="L19" s="426" t="s">
        <v>111</v>
      </c>
      <c r="M19" s="426"/>
      <c r="N19" s="428" t="s">
        <v>317</v>
      </c>
      <c r="Q19" s="205" t="s">
        <v>128</v>
      </c>
      <c r="R19" s="209"/>
    </row>
    <row r="20" spans="1:20" ht="36.75" customHeight="1" x14ac:dyDescent="0.25">
      <c r="A20" s="425"/>
      <c r="B20" s="425"/>
      <c r="C20" s="426"/>
      <c r="D20" s="426"/>
      <c r="E20" s="426"/>
      <c r="F20" s="426"/>
      <c r="G20" s="206" t="s">
        <v>113</v>
      </c>
      <c r="H20" s="207" t="s">
        <v>114</v>
      </c>
      <c r="I20" s="207" t="s">
        <v>115</v>
      </c>
      <c r="J20" s="426"/>
      <c r="K20" s="426"/>
      <c r="L20" s="208" t="s">
        <v>129</v>
      </c>
      <c r="M20" s="208" t="s">
        <v>117</v>
      </c>
      <c r="N20" s="428"/>
      <c r="Q20" s="205" t="s">
        <v>180</v>
      </c>
      <c r="R20" s="209"/>
    </row>
    <row r="21" spans="1:20" s="210" customFormat="1" ht="72" customHeight="1" x14ac:dyDescent="0.25">
      <c r="A21" s="221" t="str">
        <f>'1. Detailed Budget.2 '!A37</f>
        <v>2.3 Fondo de Preinversión que garantice la sostenibilidad de recursos disponibles fortalecido</v>
      </c>
      <c r="B21" s="220" t="s">
        <v>93</v>
      </c>
      <c r="C21" s="221" t="str">
        <f>'1. Detailed Budget.2 '!Q37</f>
        <v xml:space="preserve">Talleres de socialización sobre el Fondo de Preinversión </v>
      </c>
      <c r="D21" s="221" t="s">
        <v>180</v>
      </c>
      <c r="E21" s="221"/>
      <c r="F21" s="221" t="s">
        <v>124</v>
      </c>
      <c r="G21" s="228">
        <f>'1. Detailed Budget.2 '!T37</f>
        <v>15000</v>
      </c>
      <c r="H21" s="223">
        <v>1</v>
      </c>
      <c r="I21" s="223">
        <v>0</v>
      </c>
      <c r="J21" s="221" t="s">
        <v>176</v>
      </c>
      <c r="K21" s="221" t="s">
        <v>112</v>
      </c>
      <c r="L21" s="224">
        <v>44078</v>
      </c>
      <c r="M21" s="224">
        <v>44159</v>
      </c>
      <c r="N21" s="226"/>
      <c r="Q21" s="82"/>
      <c r="R21" s="209"/>
    </row>
    <row r="22" spans="1:20" s="210" customFormat="1" ht="63.6" customHeight="1" x14ac:dyDescent="0.25">
      <c r="A22" s="221" t="str">
        <f>'1. Detailed Budget.2 '!A39</f>
        <v>3.1 Estructura organizacional de la Dirección General de Programación y Preinversión (DGPP) fortalecida</v>
      </c>
      <c r="B22" s="220" t="s">
        <v>93</v>
      </c>
      <c r="C22" s="221" t="s">
        <v>325</v>
      </c>
      <c r="D22" s="221" t="s">
        <v>180</v>
      </c>
      <c r="E22" s="221"/>
      <c r="F22" s="221" t="s">
        <v>124</v>
      </c>
      <c r="G22" s="228">
        <v>25000</v>
      </c>
      <c r="H22" s="223">
        <v>1</v>
      </c>
      <c r="I22" s="223">
        <v>0</v>
      </c>
      <c r="J22" s="221" t="s">
        <v>177</v>
      </c>
      <c r="K22" s="221" t="s">
        <v>112</v>
      </c>
      <c r="L22" s="224">
        <v>43780</v>
      </c>
      <c r="M22" s="224">
        <v>43860</v>
      </c>
      <c r="N22" s="226"/>
      <c r="Q22" s="82"/>
      <c r="R22" s="209"/>
    </row>
    <row r="23" spans="1:20" s="210" customFormat="1" ht="72" customHeight="1" x14ac:dyDescent="0.25">
      <c r="A23" s="221" t="str">
        <f>'1. Detailed Budget.2 '!A43</f>
        <v xml:space="preserve">3.3 Estrategia de capacitación en preinversión implementada, que incluya: (a) un sistema de pasantías para funcionarios con empresas privadas; (b) el desarrollo de un programa de capacitación a municipios seleccionados; y (c) el desarrollo y difusión de Guías Técnicas de Preinversión </v>
      </c>
      <c r="B23" s="220" t="s">
        <v>93</v>
      </c>
      <c r="C23" s="221" t="str">
        <f>'1. Detailed Budget.2 '!Q43</f>
        <v>Talleres de capacitación a municipios en las herramientas de preinversión</v>
      </c>
      <c r="D23" s="221" t="s">
        <v>180</v>
      </c>
      <c r="E23" s="221"/>
      <c r="F23" s="221" t="s">
        <v>124</v>
      </c>
      <c r="G23" s="228">
        <f>'1. Detailed Budget.2 '!T43</f>
        <v>200000</v>
      </c>
      <c r="H23" s="223">
        <v>1</v>
      </c>
      <c r="I23" s="223">
        <v>0</v>
      </c>
      <c r="J23" s="221" t="s">
        <v>177</v>
      </c>
      <c r="K23" s="221" t="s">
        <v>112</v>
      </c>
      <c r="L23" s="224">
        <v>43780</v>
      </c>
      <c r="M23" s="224">
        <v>43860</v>
      </c>
      <c r="N23" s="226"/>
      <c r="Q23" s="82"/>
      <c r="R23" s="209"/>
    </row>
    <row r="24" spans="1:20" s="210" customFormat="1" ht="14.4" thickBot="1" x14ac:dyDescent="0.3">
      <c r="A24" s="211"/>
      <c r="B24" s="211"/>
      <c r="C24" s="212"/>
      <c r="D24" s="212"/>
      <c r="E24" s="212"/>
      <c r="F24" s="212"/>
      <c r="G24" s="213"/>
      <c r="H24" s="214"/>
      <c r="I24" s="214"/>
      <c r="J24" s="212"/>
      <c r="K24" s="212"/>
      <c r="L24" s="215"/>
      <c r="M24" s="215"/>
      <c r="N24" s="216"/>
      <c r="O24" s="89"/>
      <c r="P24" s="89"/>
      <c r="Q24" s="205"/>
      <c r="R24" s="83"/>
      <c r="S24" s="89"/>
      <c r="T24" s="89"/>
    </row>
    <row r="25" spans="1:20" s="210" customFormat="1" ht="14.4" thickBot="1" x14ac:dyDescent="0.3">
      <c r="G25" s="217">
        <f>SUM(G21:G23)</f>
        <v>240000</v>
      </c>
      <c r="H25" s="218"/>
      <c r="I25" s="218"/>
      <c r="L25" s="219"/>
      <c r="M25" s="219"/>
      <c r="Q25" s="205" t="s">
        <v>134</v>
      </c>
      <c r="R25" s="209"/>
    </row>
    <row r="26" spans="1:20" ht="15.75" customHeight="1" x14ac:dyDescent="0.25">
      <c r="B26" s="429" t="s">
        <v>135</v>
      </c>
      <c r="C26" s="430"/>
      <c r="D26" s="430"/>
      <c r="E26" s="430"/>
      <c r="F26" s="430"/>
      <c r="G26" s="430"/>
      <c r="H26" s="430"/>
      <c r="I26" s="430"/>
      <c r="J26" s="430"/>
      <c r="K26" s="430"/>
      <c r="L26" s="430"/>
      <c r="M26" s="430"/>
      <c r="N26" s="431"/>
      <c r="Q26" s="205" t="s">
        <v>130</v>
      </c>
      <c r="R26" s="209"/>
    </row>
    <row r="27" spans="1:20" ht="15" customHeight="1" x14ac:dyDescent="0.25">
      <c r="A27" s="425" t="s">
        <v>231</v>
      </c>
      <c r="B27" s="425" t="s">
        <v>105</v>
      </c>
      <c r="C27" s="426" t="s">
        <v>106</v>
      </c>
      <c r="D27" s="426" t="s">
        <v>232</v>
      </c>
      <c r="E27" s="435" t="s">
        <v>108</v>
      </c>
      <c r="F27" s="436"/>
      <c r="G27" s="427" t="s">
        <v>109</v>
      </c>
      <c r="H27" s="427"/>
      <c r="I27" s="427"/>
      <c r="J27" s="426" t="s">
        <v>110</v>
      </c>
      <c r="K27" s="426" t="s">
        <v>316</v>
      </c>
      <c r="L27" s="426" t="s">
        <v>111</v>
      </c>
      <c r="M27" s="426"/>
      <c r="N27" s="428" t="s">
        <v>317</v>
      </c>
      <c r="Q27" s="205" t="s">
        <v>104</v>
      </c>
      <c r="R27" s="209"/>
    </row>
    <row r="28" spans="1:20" ht="39.6" x14ac:dyDescent="0.25">
      <c r="A28" s="425"/>
      <c r="B28" s="425"/>
      <c r="C28" s="426"/>
      <c r="D28" s="426"/>
      <c r="E28" s="229" t="s">
        <v>136</v>
      </c>
      <c r="F28" s="230" t="s">
        <v>137</v>
      </c>
      <c r="G28" s="231" t="s">
        <v>113</v>
      </c>
      <c r="H28" s="206" t="s">
        <v>114</v>
      </c>
      <c r="I28" s="207" t="s">
        <v>115</v>
      </c>
      <c r="J28" s="426"/>
      <c r="K28" s="426"/>
      <c r="L28" s="208" t="s">
        <v>138</v>
      </c>
      <c r="M28" s="208" t="s">
        <v>117</v>
      </c>
      <c r="N28" s="428"/>
      <c r="Q28" s="205" t="s">
        <v>139</v>
      </c>
      <c r="R28" s="209"/>
    </row>
    <row r="29" spans="1:20" ht="130.5" customHeight="1" x14ac:dyDescent="0.25">
      <c r="A29" s="221" t="str">
        <f>'1. Detailed Budget.2 '!A13</f>
        <v>1.2 Plan piloto de evaluación de proyectos de inversión incluyendo evaluaciones de resultado e impacto implementado</v>
      </c>
      <c r="B29" s="220" t="s">
        <v>93</v>
      </c>
      <c r="C29" s="221" t="s">
        <v>287</v>
      </c>
      <c r="D29" s="221" t="s">
        <v>133</v>
      </c>
      <c r="E29" s="221">
        <v>1</v>
      </c>
      <c r="F29" s="221" t="s">
        <v>124</v>
      </c>
      <c r="G29" s="194">
        <v>396911</v>
      </c>
      <c r="H29" s="223">
        <v>1</v>
      </c>
      <c r="I29" s="223">
        <v>0</v>
      </c>
      <c r="J29" s="221" t="s">
        <v>175</v>
      </c>
      <c r="K29" s="221" t="s">
        <v>118</v>
      </c>
      <c r="L29" s="224">
        <v>44414</v>
      </c>
      <c r="M29" s="224">
        <v>44543</v>
      </c>
      <c r="N29" s="226"/>
      <c r="R29" s="82"/>
    </row>
    <row r="30" spans="1:20" ht="99.75" customHeight="1" x14ac:dyDescent="0.25">
      <c r="A30" s="221" t="str">
        <f>'1. Detailed Budget.2 '!A14</f>
        <v>1.3 Sistema de Gestión Estratégica de Activos Públicos diseñado</v>
      </c>
      <c r="B30" s="220" t="s">
        <v>93</v>
      </c>
      <c r="C30" s="221" t="s">
        <v>288</v>
      </c>
      <c r="D30" s="221" t="s">
        <v>133</v>
      </c>
      <c r="E30" s="221">
        <v>1</v>
      </c>
      <c r="F30" s="221" t="s">
        <v>124</v>
      </c>
      <c r="G30" s="194">
        <f>'1. Detailed Budget.2 '!L14</f>
        <v>203543.99999999997</v>
      </c>
      <c r="H30" s="223">
        <v>1</v>
      </c>
      <c r="I30" s="223">
        <v>0</v>
      </c>
      <c r="J30" s="221" t="s">
        <v>175</v>
      </c>
      <c r="K30" s="221" t="s">
        <v>118</v>
      </c>
      <c r="L30" s="224">
        <v>44119</v>
      </c>
      <c r="M30" s="224">
        <v>44246</v>
      </c>
      <c r="N30" s="226"/>
      <c r="Q30" s="82"/>
      <c r="R30" s="82"/>
    </row>
    <row r="31" spans="1:20" ht="64.5" customHeight="1" x14ac:dyDescent="0.25">
      <c r="A31" s="221" t="str">
        <f>'1. Detailed Budget.2 '!A16</f>
        <v>1.5 Plan Piloto utilizando la tecnología Building Información Modellings (BIM) implementado</v>
      </c>
      <c r="B31" s="220" t="s">
        <v>93</v>
      </c>
      <c r="C31" s="221" t="s">
        <v>289</v>
      </c>
      <c r="D31" s="221" t="s">
        <v>133</v>
      </c>
      <c r="E31" s="221">
        <v>1</v>
      </c>
      <c r="F31" s="221" t="s">
        <v>124</v>
      </c>
      <c r="G31" s="194">
        <v>100000</v>
      </c>
      <c r="H31" s="223">
        <v>1</v>
      </c>
      <c r="I31" s="223">
        <v>0</v>
      </c>
      <c r="J31" s="221" t="s">
        <v>175</v>
      </c>
      <c r="K31" s="221" t="s">
        <v>118</v>
      </c>
      <c r="L31" s="224">
        <v>44280</v>
      </c>
      <c r="M31" s="224">
        <v>44373</v>
      </c>
      <c r="N31" s="226" t="s">
        <v>290</v>
      </c>
      <c r="Q31" s="82"/>
      <c r="R31" s="82"/>
    </row>
    <row r="32" spans="1:20" ht="39" customHeight="1" x14ac:dyDescent="0.25">
      <c r="A32" s="221" t="str">
        <f>'1. Detailed Budget.2 '!$A$19</f>
        <v>2.1 Estudios de preinversión financiados</v>
      </c>
      <c r="B32" s="220" t="s">
        <v>93</v>
      </c>
      <c r="C32" s="221" t="s">
        <v>291</v>
      </c>
      <c r="D32" s="221" t="s">
        <v>133</v>
      </c>
      <c r="E32" s="221">
        <v>1</v>
      </c>
      <c r="F32" s="221" t="s">
        <v>124</v>
      </c>
      <c r="G32" s="194">
        <v>276000</v>
      </c>
      <c r="H32" s="223">
        <v>1</v>
      </c>
      <c r="I32" s="223">
        <v>0</v>
      </c>
      <c r="J32" s="221" t="s">
        <v>176</v>
      </c>
      <c r="K32" s="221" t="s">
        <v>118</v>
      </c>
      <c r="L32" s="224">
        <v>44473</v>
      </c>
      <c r="M32" s="224">
        <v>44627</v>
      </c>
      <c r="N32" s="226"/>
      <c r="Q32" s="82"/>
      <c r="R32" s="82"/>
    </row>
    <row r="33" spans="1:18" ht="39" customHeight="1" x14ac:dyDescent="0.25">
      <c r="A33" s="221" t="str">
        <f>'1. Detailed Budget.2 '!$A$19</f>
        <v>2.1 Estudios de preinversión financiados</v>
      </c>
      <c r="B33" s="220" t="s">
        <v>93</v>
      </c>
      <c r="C33" s="221" t="s">
        <v>292</v>
      </c>
      <c r="D33" s="221" t="s">
        <v>133</v>
      </c>
      <c r="E33" s="221">
        <v>1</v>
      </c>
      <c r="F33" s="221" t="s">
        <v>124</v>
      </c>
      <c r="G33" s="194">
        <v>24000</v>
      </c>
      <c r="H33" s="223">
        <v>1</v>
      </c>
      <c r="I33" s="223">
        <v>0</v>
      </c>
      <c r="J33" s="221" t="s">
        <v>176</v>
      </c>
      <c r="K33" s="221" t="s">
        <v>118</v>
      </c>
      <c r="L33" s="224">
        <v>44473</v>
      </c>
      <c r="M33" s="224">
        <v>44627</v>
      </c>
      <c r="N33" s="226"/>
      <c r="Q33" s="82"/>
      <c r="R33" s="82"/>
    </row>
    <row r="34" spans="1:18" ht="39.6" x14ac:dyDescent="0.25">
      <c r="A34" s="221" t="str">
        <f>'1. Detailed Budget.2 '!$A$19</f>
        <v>2.1 Estudios de preinversión financiados</v>
      </c>
      <c r="B34" s="220" t="s">
        <v>93</v>
      </c>
      <c r="C34" s="221" t="s">
        <v>293</v>
      </c>
      <c r="D34" s="221" t="s">
        <v>133</v>
      </c>
      <c r="E34" s="221">
        <v>1</v>
      </c>
      <c r="F34" s="221" t="s">
        <v>124</v>
      </c>
      <c r="G34" s="194">
        <v>276000</v>
      </c>
      <c r="H34" s="223">
        <v>1</v>
      </c>
      <c r="I34" s="223">
        <v>0</v>
      </c>
      <c r="J34" s="221" t="s">
        <v>176</v>
      </c>
      <c r="K34" s="221" t="s">
        <v>118</v>
      </c>
      <c r="L34" s="224">
        <v>44062</v>
      </c>
      <c r="M34" s="224">
        <v>44207</v>
      </c>
      <c r="N34" s="226"/>
      <c r="Q34" s="82"/>
      <c r="R34" s="82"/>
    </row>
    <row r="35" spans="1:18" ht="26.4" x14ac:dyDescent="0.25">
      <c r="A35" s="221" t="str">
        <f>'1. Detailed Budget.2 '!$A$19</f>
        <v>2.1 Estudios de preinversión financiados</v>
      </c>
      <c r="B35" s="220" t="s">
        <v>93</v>
      </c>
      <c r="C35" s="221" t="s">
        <v>294</v>
      </c>
      <c r="D35" s="221" t="s">
        <v>133</v>
      </c>
      <c r="E35" s="221">
        <v>1</v>
      </c>
      <c r="F35" s="221" t="s">
        <v>124</v>
      </c>
      <c r="G35" s="194">
        <v>24000</v>
      </c>
      <c r="H35" s="223">
        <v>1</v>
      </c>
      <c r="I35" s="223">
        <v>0</v>
      </c>
      <c r="J35" s="221" t="s">
        <v>176</v>
      </c>
      <c r="K35" s="221" t="s">
        <v>118</v>
      </c>
      <c r="L35" s="224">
        <v>44062</v>
      </c>
      <c r="M35" s="224">
        <v>44207</v>
      </c>
      <c r="N35" s="226"/>
      <c r="Q35" s="82"/>
      <c r="R35" s="82"/>
    </row>
    <row r="36" spans="1:18" ht="52.8" x14ac:dyDescent="0.25">
      <c r="A36" s="221" t="str">
        <f>'1. Detailed Budget.2 '!$A$19</f>
        <v>2.1 Estudios de preinversión financiados</v>
      </c>
      <c r="B36" s="220" t="s">
        <v>93</v>
      </c>
      <c r="C36" s="221" t="s">
        <v>267</v>
      </c>
      <c r="D36" s="221" t="s">
        <v>133</v>
      </c>
      <c r="E36" s="221">
        <v>1</v>
      </c>
      <c r="F36" s="221" t="s">
        <v>124</v>
      </c>
      <c r="G36" s="194">
        <v>90000</v>
      </c>
      <c r="H36" s="223">
        <v>1</v>
      </c>
      <c r="I36" s="223">
        <v>0</v>
      </c>
      <c r="J36" s="221" t="s">
        <v>176</v>
      </c>
      <c r="K36" s="221" t="s">
        <v>118</v>
      </c>
      <c r="L36" s="224">
        <v>43952</v>
      </c>
      <c r="M36" s="224">
        <v>44105</v>
      </c>
      <c r="N36" s="226"/>
      <c r="Q36" s="82"/>
      <c r="R36" s="82"/>
    </row>
    <row r="37" spans="1:18" ht="41.25" customHeight="1" x14ac:dyDescent="0.25">
      <c r="A37" s="221" t="str">
        <f>'1. Detailed Budget.2 '!$A$19</f>
        <v>2.1 Estudios de preinversión financiados</v>
      </c>
      <c r="B37" s="220" t="s">
        <v>93</v>
      </c>
      <c r="C37" s="221" t="s">
        <v>295</v>
      </c>
      <c r="D37" s="221" t="s">
        <v>133</v>
      </c>
      <c r="E37" s="221">
        <v>1</v>
      </c>
      <c r="F37" s="221" t="s">
        <v>124</v>
      </c>
      <c r="G37" s="194">
        <v>10000</v>
      </c>
      <c r="H37" s="223">
        <v>1</v>
      </c>
      <c r="I37" s="223">
        <v>0</v>
      </c>
      <c r="J37" s="221" t="s">
        <v>176</v>
      </c>
      <c r="K37" s="221" t="s">
        <v>118</v>
      </c>
      <c r="L37" s="224">
        <v>43952</v>
      </c>
      <c r="M37" s="224">
        <v>44105</v>
      </c>
      <c r="N37" s="226"/>
      <c r="Q37" s="82"/>
      <c r="R37" s="82"/>
    </row>
    <row r="38" spans="1:18" s="210" customFormat="1" ht="39.6" x14ac:dyDescent="0.25">
      <c r="A38" s="221" t="str">
        <f>'1. Detailed Budget.2 '!$A$19</f>
        <v>2.1 Estudios de preinversión financiados</v>
      </c>
      <c r="B38" s="220" t="s">
        <v>93</v>
      </c>
      <c r="C38" s="221" t="s">
        <v>331</v>
      </c>
      <c r="D38" s="221" t="s">
        <v>133</v>
      </c>
      <c r="E38" s="221">
        <v>1</v>
      </c>
      <c r="F38" s="221" t="s">
        <v>124</v>
      </c>
      <c r="G38" s="194">
        <v>1012000</v>
      </c>
      <c r="H38" s="223">
        <v>1</v>
      </c>
      <c r="I38" s="223">
        <v>0</v>
      </c>
      <c r="J38" s="221" t="s">
        <v>176</v>
      </c>
      <c r="K38" s="221" t="s">
        <v>118</v>
      </c>
      <c r="L38" s="224">
        <v>44245</v>
      </c>
      <c r="M38" s="224">
        <v>44378</v>
      </c>
      <c r="N38" s="226"/>
      <c r="Q38" s="82"/>
      <c r="R38" s="82"/>
    </row>
    <row r="39" spans="1:18" s="210" customFormat="1" ht="26.4" x14ac:dyDescent="0.25">
      <c r="A39" s="221" t="str">
        <f>'1. Detailed Budget.2 '!$A$19</f>
        <v>2.1 Estudios de preinversión financiados</v>
      </c>
      <c r="B39" s="220" t="s">
        <v>93</v>
      </c>
      <c r="C39" s="221" t="s">
        <v>332</v>
      </c>
      <c r="D39" s="221" t="s">
        <v>133</v>
      </c>
      <c r="E39" s="221">
        <v>1</v>
      </c>
      <c r="F39" s="221" t="s">
        <v>124</v>
      </c>
      <c r="G39" s="194">
        <v>88000</v>
      </c>
      <c r="H39" s="223">
        <v>1</v>
      </c>
      <c r="I39" s="223">
        <v>0</v>
      </c>
      <c r="J39" s="221" t="s">
        <v>176</v>
      </c>
      <c r="K39" s="221" t="s">
        <v>118</v>
      </c>
      <c r="L39" s="224">
        <v>44245</v>
      </c>
      <c r="M39" s="224">
        <v>44378</v>
      </c>
      <c r="N39" s="226"/>
      <c r="Q39" s="82"/>
      <c r="R39" s="82"/>
    </row>
    <row r="40" spans="1:18" s="210" customFormat="1" ht="52.8" x14ac:dyDescent="0.25">
      <c r="A40" s="221" t="str">
        <f>'1. Detailed Budget.2 '!$A$19</f>
        <v>2.1 Estudios de preinversión financiados</v>
      </c>
      <c r="B40" s="220" t="s">
        <v>93</v>
      </c>
      <c r="C40" s="221" t="s">
        <v>256</v>
      </c>
      <c r="D40" s="221" t="s">
        <v>133</v>
      </c>
      <c r="E40" s="221">
        <v>1</v>
      </c>
      <c r="F40" s="221" t="s">
        <v>124</v>
      </c>
      <c r="G40" s="194">
        <v>920000</v>
      </c>
      <c r="H40" s="223">
        <v>1</v>
      </c>
      <c r="I40" s="223">
        <v>0</v>
      </c>
      <c r="J40" s="221" t="s">
        <v>176</v>
      </c>
      <c r="K40" s="221" t="s">
        <v>118</v>
      </c>
      <c r="L40" s="224">
        <v>44326</v>
      </c>
      <c r="M40" s="224">
        <v>44470</v>
      </c>
      <c r="N40" s="226"/>
      <c r="Q40" s="82"/>
      <c r="R40" s="82"/>
    </row>
    <row r="41" spans="1:18" s="210" customFormat="1" ht="49.5" customHeight="1" x14ac:dyDescent="0.25">
      <c r="A41" s="221" t="str">
        <f>'1. Detailed Budget.2 '!$A$19</f>
        <v>2.1 Estudios de preinversión financiados</v>
      </c>
      <c r="B41" s="220" t="s">
        <v>93</v>
      </c>
      <c r="C41" s="221" t="s">
        <v>296</v>
      </c>
      <c r="D41" s="221" t="s">
        <v>133</v>
      </c>
      <c r="E41" s="221">
        <v>1</v>
      </c>
      <c r="F41" s="221" t="s">
        <v>124</v>
      </c>
      <c r="G41" s="194">
        <v>80000</v>
      </c>
      <c r="H41" s="223">
        <v>1</v>
      </c>
      <c r="I41" s="223">
        <v>0</v>
      </c>
      <c r="J41" s="221" t="s">
        <v>176</v>
      </c>
      <c r="K41" s="221" t="s">
        <v>118</v>
      </c>
      <c r="L41" s="224">
        <v>44326</v>
      </c>
      <c r="M41" s="224">
        <v>44470</v>
      </c>
      <c r="N41" s="226"/>
      <c r="Q41" s="82"/>
      <c r="R41" s="82"/>
    </row>
    <row r="42" spans="1:18" s="210" customFormat="1" ht="39.6" x14ac:dyDescent="0.25">
      <c r="A42" s="221" t="str">
        <f>'1. Detailed Budget.2 '!$A$19</f>
        <v>2.1 Estudios de preinversión financiados</v>
      </c>
      <c r="B42" s="220" t="s">
        <v>93</v>
      </c>
      <c r="C42" s="221" t="s">
        <v>297</v>
      </c>
      <c r="D42" s="221" t="s">
        <v>133</v>
      </c>
      <c r="E42" s="221">
        <v>1</v>
      </c>
      <c r="F42" s="221" t="s">
        <v>124</v>
      </c>
      <c r="G42" s="194">
        <v>505000</v>
      </c>
      <c r="H42" s="223">
        <v>1</v>
      </c>
      <c r="I42" s="223">
        <v>0</v>
      </c>
      <c r="J42" s="221" t="s">
        <v>176</v>
      </c>
      <c r="K42" s="221" t="s">
        <v>118</v>
      </c>
      <c r="L42" s="224">
        <v>44256</v>
      </c>
      <c r="M42" s="224">
        <v>44409</v>
      </c>
      <c r="N42" s="226"/>
      <c r="Q42" s="82"/>
      <c r="R42" s="82"/>
    </row>
    <row r="43" spans="1:18" s="210" customFormat="1" ht="51.75" customHeight="1" x14ac:dyDescent="0.25">
      <c r="A43" s="232"/>
      <c r="B43" s="220" t="s">
        <v>93</v>
      </c>
      <c r="C43" s="221" t="s">
        <v>298</v>
      </c>
      <c r="D43" s="221" t="s">
        <v>133</v>
      </c>
      <c r="E43" s="221">
        <v>1</v>
      </c>
      <c r="F43" s="221" t="s">
        <v>124</v>
      </c>
      <c r="G43" s="194">
        <v>45000</v>
      </c>
      <c r="H43" s="223">
        <v>1</v>
      </c>
      <c r="I43" s="223">
        <v>0</v>
      </c>
      <c r="J43" s="221" t="s">
        <v>176</v>
      </c>
      <c r="K43" s="221" t="s">
        <v>118</v>
      </c>
      <c r="L43" s="224">
        <v>44256</v>
      </c>
      <c r="M43" s="224">
        <v>44409</v>
      </c>
      <c r="N43" s="226"/>
      <c r="Q43" s="82"/>
      <c r="R43" s="82"/>
    </row>
    <row r="44" spans="1:18" s="210" customFormat="1" ht="52.8" x14ac:dyDescent="0.25">
      <c r="A44" s="221" t="str">
        <f>'1. Detailed Budget.2 '!$A$19</f>
        <v>2.1 Estudios de preinversión financiados</v>
      </c>
      <c r="B44" s="220" t="s">
        <v>93</v>
      </c>
      <c r="C44" s="221" t="s">
        <v>258</v>
      </c>
      <c r="D44" s="221" t="s">
        <v>133</v>
      </c>
      <c r="E44" s="221">
        <v>1</v>
      </c>
      <c r="F44" s="221" t="s">
        <v>124</v>
      </c>
      <c r="G44" s="194">
        <v>690000</v>
      </c>
      <c r="H44" s="223">
        <v>1</v>
      </c>
      <c r="I44" s="223">
        <v>0</v>
      </c>
      <c r="J44" s="221" t="s">
        <v>176</v>
      </c>
      <c r="K44" s="221" t="s">
        <v>118</v>
      </c>
      <c r="L44" s="224">
        <v>44562</v>
      </c>
      <c r="M44" s="224">
        <v>44720</v>
      </c>
      <c r="N44" s="226"/>
      <c r="Q44" s="82"/>
      <c r="R44" s="82"/>
    </row>
    <row r="45" spans="1:18" s="210" customFormat="1" ht="52.8" x14ac:dyDescent="0.25">
      <c r="A45" s="232"/>
      <c r="B45" s="220" t="s">
        <v>93</v>
      </c>
      <c r="C45" s="221" t="s">
        <v>299</v>
      </c>
      <c r="D45" s="221" t="s">
        <v>133</v>
      </c>
      <c r="E45" s="221">
        <v>1</v>
      </c>
      <c r="F45" s="221" t="s">
        <v>124</v>
      </c>
      <c r="G45" s="194">
        <v>60000</v>
      </c>
      <c r="H45" s="223">
        <v>1</v>
      </c>
      <c r="I45" s="223">
        <v>0</v>
      </c>
      <c r="J45" s="221" t="s">
        <v>176</v>
      </c>
      <c r="K45" s="221" t="s">
        <v>118</v>
      </c>
      <c r="L45" s="224">
        <v>44562</v>
      </c>
      <c r="M45" s="224">
        <v>44720</v>
      </c>
      <c r="N45" s="226"/>
      <c r="Q45" s="82"/>
      <c r="R45" s="82"/>
    </row>
    <row r="46" spans="1:18" s="210" customFormat="1" ht="39.6" x14ac:dyDescent="0.25">
      <c r="A46" s="221" t="str">
        <f>'1. Detailed Budget.2 '!$A$19</f>
        <v>2.1 Estudios de preinversión financiados</v>
      </c>
      <c r="B46" s="220" t="s">
        <v>93</v>
      </c>
      <c r="C46" s="221" t="s">
        <v>259</v>
      </c>
      <c r="D46" s="221" t="s">
        <v>133</v>
      </c>
      <c r="E46" s="221">
        <v>1</v>
      </c>
      <c r="F46" s="221" t="s">
        <v>124</v>
      </c>
      <c r="G46" s="194">
        <v>414500</v>
      </c>
      <c r="H46" s="223">
        <v>1</v>
      </c>
      <c r="I46" s="223">
        <v>0</v>
      </c>
      <c r="J46" s="221" t="s">
        <v>176</v>
      </c>
      <c r="K46" s="221" t="s">
        <v>118</v>
      </c>
      <c r="L46" s="224">
        <v>44562</v>
      </c>
      <c r="M46" s="224">
        <v>44714</v>
      </c>
      <c r="N46" s="226"/>
      <c r="Q46" s="82"/>
      <c r="R46" s="82"/>
    </row>
    <row r="47" spans="1:18" s="210" customFormat="1" ht="40.5" customHeight="1" x14ac:dyDescent="0.25">
      <c r="A47" s="232"/>
      <c r="B47" s="220" t="s">
        <v>93</v>
      </c>
      <c r="C47" s="221" t="s">
        <v>300</v>
      </c>
      <c r="D47" s="221" t="s">
        <v>133</v>
      </c>
      <c r="E47" s="221">
        <v>1</v>
      </c>
      <c r="F47" s="221" t="s">
        <v>124</v>
      </c>
      <c r="G47" s="194">
        <v>35500</v>
      </c>
      <c r="H47" s="223">
        <v>1</v>
      </c>
      <c r="I47" s="223">
        <v>0</v>
      </c>
      <c r="J47" s="221" t="s">
        <v>176</v>
      </c>
      <c r="K47" s="221" t="s">
        <v>118</v>
      </c>
      <c r="L47" s="224">
        <v>44562</v>
      </c>
      <c r="M47" s="224">
        <v>44714</v>
      </c>
      <c r="N47" s="225"/>
      <c r="Q47" s="82"/>
      <c r="R47" s="82"/>
    </row>
    <row r="48" spans="1:18" s="210" customFormat="1" ht="55.5" customHeight="1" x14ac:dyDescent="0.25">
      <c r="A48" s="221" t="str">
        <f>'1. Detailed Budget.2 '!$A$19</f>
        <v>2.1 Estudios de preinversión financiados</v>
      </c>
      <c r="B48" s="220" t="s">
        <v>93</v>
      </c>
      <c r="C48" s="221" t="s">
        <v>260</v>
      </c>
      <c r="D48" s="221" t="s">
        <v>133</v>
      </c>
      <c r="E48" s="221">
        <v>1</v>
      </c>
      <c r="F48" s="221" t="s">
        <v>124</v>
      </c>
      <c r="G48" s="194">
        <v>645000</v>
      </c>
      <c r="H48" s="223">
        <v>1</v>
      </c>
      <c r="I48" s="223">
        <v>0</v>
      </c>
      <c r="J48" s="221" t="s">
        <v>176</v>
      </c>
      <c r="K48" s="221" t="s">
        <v>118</v>
      </c>
      <c r="L48" s="224">
        <v>44440</v>
      </c>
      <c r="M48" s="224">
        <v>44620</v>
      </c>
      <c r="N48" s="226"/>
      <c r="Q48" s="82"/>
      <c r="R48" s="82"/>
    </row>
    <row r="49" spans="1:18" s="210" customFormat="1" ht="52.8" x14ac:dyDescent="0.25">
      <c r="A49" s="232"/>
      <c r="B49" s="220" t="s">
        <v>93</v>
      </c>
      <c r="C49" s="221" t="s">
        <v>301</v>
      </c>
      <c r="D49" s="221" t="s">
        <v>133</v>
      </c>
      <c r="E49" s="221">
        <v>1</v>
      </c>
      <c r="F49" s="221" t="s">
        <v>124</v>
      </c>
      <c r="G49" s="194">
        <v>55000</v>
      </c>
      <c r="H49" s="223">
        <v>1</v>
      </c>
      <c r="I49" s="223">
        <v>0</v>
      </c>
      <c r="J49" s="221" t="s">
        <v>176</v>
      </c>
      <c r="K49" s="221" t="s">
        <v>118</v>
      </c>
      <c r="L49" s="224">
        <v>44440</v>
      </c>
      <c r="M49" s="224">
        <v>44620</v>
      </c>
      <c r="N49" s="226"/>
      <c r="Q49" s="82"/>
      <c r="R49" s="82"/>
    </row>
    <row r="50" spans="1:18" s="210" customFormat="1" ht="52.8" x14ac:dyDescent="0.25">
      <c r="A50" s="221" t="str">
        <f>'1. Detailed Budget.2 '!$A$19</f>
        <v>2.1 Estudios de preinversión financiados</v>
      </c>
      <c r="B50" s="220" t="s">
        <v>93</v>
      </c>
      <c r="C50" s="221" t="s">
        <v>268</v>
      </c>
      <c r="D50" s="221" t="s">
        <v>133</v>
      </c>
      <c r="E50" s="221">
        <v>1</v>
      </c>
      <c r="F50" s="221" t="s">
        <v>124</v>
      </c>
      <c r="G50" s="194">
        <v>230000</v>
      </c>
      <c r="H50" s="223">
        <v>1</v>
      </c>
      <c r="I50" s="223">
        <v>0</v>
      </c>
      <c r="J50" s="221" t="s">
        <v>176</v>
      </c>
      <c r="K50" s="221" t="s">
        <v>118</v>
      </c>
      <c r="L50" s="224">
        <v>44136</v>
      </c>
      <c r="M50" s="224">
        <v>44316</v>
      </c>
      <c r="N50" s="226"/>
      <c r="Q50" s="82"/>
      <c r="R50" s="82"/>
    </row>
    <row r="51" spans="1:18" s="210" customFormat="1" ht="39.6" x14ac:dyDescent="0.25">
      <c r="A51" s="232"/>
      <c r="B51" s="220" t="s">
        <v>93</v>
      </c>
      <c r="C51" s="221" t="s">
        <v>302</v>
      </c>
      <c r="D51" s="221" t="s">
        <v>133</v>
      </c>
      <c r="E51" s="221">
        <v>1</v>
      </c>
      <c r="F51" s="221" t="s">
        <v>124</v>
      </c>
      <c r="G51" s="194">
        <v>20000</v>
      </c>
      <c r="H51" s="223">
        <v>1</v>
      </c>
      <c r="I51" s="223">
        <v>0</v>
      </c>
      <c r="J51" s="221" t="s">
        <v>176</v>
      </c>
      <c r="K51" s="221" t="s">
        <v>118</v>
      </c>
      <c r="L51" s="224">
        <v>44136</v>
      </c>
      <c r="M51" s="224">
        <v>44316</v>
      </c>
      <c r="N51" s="226"/>
      <c r="Q51" s="82"/>
      <c r="R51" s="82"/>
    </row>
    <row r="52" spans="1:18" s="210" customFormat="1" ht="52.8" x14ac:dyDescent="0.25">
      <c r="A52" s="221" t="str">
        <f>'1. Detailed Budget.2 '!$A$19</f>
        <v>2.1 Estudios de preinversión financiados</v>
      </c>
      <c r="B52" s="220" t="s">
        <v>93</v>
      </c>
      <c r="C52" s="221" t="s">
        <v>261</v>
      </c>
      <c r="D52" s="221" t="s">
        <v>133</v>
      </c>
      <c r="E52" s="221">
        <v>1</v>
      </c>
      <c r="F52" s="221" t="s">
        <v>124</v>
      </c>
      <c r="G52" s="194">
        <v>138000</v>
      </c>
      <c r="H52" s="223">
        <v>1</v>
      </c>
      <c r="I52" s="223">
        <v>0</v>
      </c>
      <c r="J52" s="221" t="s">
        <v>176</v>
      </c>
      <c r="K52" s="221" t="s">
        <v>118</v>
      </c>
      <c r="L52" s="224">
        <v>44317</v>
      </c>
      <c r="M52" s="224">
        <v>44495</v>
      </c>
      <c r="N52" s="226"/>
      <c r="Q52" s="82"/>
      <c r="R52" s="82"/>
    </row>
    <row r="53" spans="1:18" s="210" customFormat="1" ht="39" customHeight="1" x14ac:dyDescent="0.25">
      <c r="A53" s="232"/>
      <c r="B53" s="233"/>
      <c r="C53" s="221" t="s">
        <v>303</v>
      </c>
      <c r="D53" s="221" t="s">
        <v>133</v>
      </c>
      <c r="E53" s="221">
        <v>1</v>
      </c>
      <c r="F53" s="221" t="s">
        <v>124</v>
      </c>
      <c r="G53" s="194">
        <v>12000</v>
      </c>
      <c r="H53" s="223">
        <v>1</v>
      </c>
      <c r="I53" s="223">
        <v>0</v>
      </c>
      <c r="J53" s="221" t="s">
        <v>176</v>
      </c>
      <c r="K53" s="221" t="s">
        <v>118</v>
      </c>
      <c r="L53" s="224">
        <v>44317</v>
      </c>
      <c r="M53" s="224">
        <v>44495</v>
      </c>
      <c r="N53" s="226"/>
      <c r="Q53" s="82"/>
      <c r="R53" s="82"/>
    </row>
    <row r="54" spans="1:18" s="210" customFormat="1" ht="92.4" x14ac:dyDescent="0.25">
      <c r="A54" s="221" t="str">
        <f>'1. Detailed Budget.2 '!$A$19</f>
        <v>2.1 Estudios de preinversión financiados</v>
      </c>
      <c r="B54" s="220" t="s">
        <v>93</v>
      </c>
      <c r="C54" s="221" t="s">
        <v>262</v>
      </c>
      <c r="D54" s="221" t="s">
        <v>133</v>
      </c>
      <c r="E54" s="221">
        <v>1</v>
      </c>
      <c r="F54" s="221" t="s">
        <v>124</v>
      </c>
      <c r="G54" s="194">
        <v>1380000</v>
      </c>
      <c r="H54" s="223">
        <v>1</v>
      </c>
      <c r="I54" s="223">
        <v>0</v>
      </c>
      <c r="J54" s="221" t="s">
        <v>176</v>
      </c>
      <c r="K54" s="221" t="s">
        <v>118</v>
      </c>
      <c r="L54" s="224">
        <v>44409</v>
      </c>
      <c r="M54" s="224">
        <v>44587</v>
      </c>
      <c r="N54" s="226"/>
      <c r="Q54" s="82"/>
      <c r="R54" s="82"/>
    </row>
    <row r="55" spans="1:18" s="210" customFormat="1" ht="92.4" x14ac:dyDescent="0.25">
      <c r="A55" s="232"/>
      <c r="B55" s="233"/>
      <c r="C55" s="221" t="s">
        <v>304</v>
      </c>
      <c r="D55" s="221" t="s">
        <v>133</v>
      </c>
      <c r="E55" s="221">
        <v>1</v>
      </c>
      <c r="F55" s="221" t="s">
        <v>124</v>
      </c>
      <c r="G55" s="194">
        <v>120000</v>
      </c>
      <c r="H55" s="223">
        <v>1</v>
      </c>
      <c r="I55" s="223">
        <v>0</v>
      </c>
      <c r="J55" s="221" t="s">
        <v>176</v>
      </c>
      <c r="K55" s="221" t="s">
        <v>118</v>
      </c>
      <c r="L55" s="224">
        <v>44409</v>
      </c>
      <c r="M55" s="224">
        <v>44587</v>
      </c>
      <c r="N55" s="226"/>
      <c r="Q55" s="82"/>
      <c r="R55" s="82"/>
    </row>
    <row r="56" spans="1:18" s="210" customFormat="1" ht="39.6" x14ac:dyDescent="0.25">
      <c r="A56" s="221" t="str">
        <f>'1. Detailed Budget.2 '!$A$19</f>
        <v>2.1 Estudios de preinversión financiados</v>
      </c>
      <c r="B56" s="220" t="s">
        <v>93</v>
      </c>
      <c r="C56" s="221" t="s">
        <v>327</v>
      </c>
      <c r="D56" s="221" t="s">
        <v>133</v>
      </c>
      <c r="E56" s="221">
        <v>1</v>
      </c>
      <c r="F56" s="221" t="s">
        <v>124</v>
      </c>
      <c r="G56" s="194">
        <v>920000</v>
      </c>
      <c r="H56" s="223">
        <v>1</v>
      </c>
      <c r="I56" s="223">
        <v>0</v>
      </c>
      <c r="J56" s="221" t="s">
        <v>176</v>
      </c>
      <c r="K56" s="221" t="s">
        <v>118</v>
      </c>
      <c r="L56" s="224">
        <v>43893</v>
      </c>
      <c r="M56" s="224">
        <v>44061</v>
      </c>
      <c r="N56" s="226"/>
      <c r="Q56" s="82"/>
      <c r="R56" s="82"/>
    </row>
    <row r="57" spans="1:18" s="210" customFormat="1" ht="41.25" customHeight="1" x14ac:dyDescent="0.25">
      <c r="A57" s="232"/>
      <c r="B57" s="220" t="s">
        <v>93</v>
      </c>
      <c r="C57" s="221" t="s">
        <v>329</v>
      </c>
      <c r="D57" s="221" t="s">
        <v>133</v>
      </c>
      <c r="E57" s="221">
        <v>1</v>
      </c>
      <c r="F57" s="221" t="s">
        <v>124</v>
      </c>
      <c r="G57" s="194">
        <v>80000</v>
      </c>
      <c r="H57" s="223">
        <v>1</v>
      </c>
      <c r="I57" s="223">
        <v>0</v>
      </c>
      <c r="J57" s="221" t="s">
        <v>176</v>
      </c>
      <c r="K57" s="221" t="s">
        <v>118</v>
      </c>
      <c r="L57" s="224">
        <v>43893</v>
      </c>
      <c r="M57" s="224">
        <v>44061</v>
      </c>
      <c r="N57" s="226"/>
      <c r="Q57" s="82"/>
      <c r="R57" s="82"/>
    </row>
    <row r="58" spans="1:18" s="210" customFormat="1" ht="52.8" x14ac:dyDescent="0.25">
      <c r="A58" s="221" t="str">
        <f>'1. Detailed Budget.2 '!$A$19</f>
        <v>2.1 Estudios de preinversión financiados</v>
      </c>
      <c r="B58" s="220" t="s">
        <v>93</v>
      </c>
      <c r="C58" s="221" t="s">
        <v>328</v>
      </c>
      <c r="D58" s="221" t="s">
        <v>133</v>
      </c>
      <c r="E58" s="221">
        <v>1</v>
      </c>
      <c r="F58" s="221" t="s">
        <v>124</v>
      </c>
      <c r="G58" s="194">
        <v>3220000</v>
      </c>
      <c r="H58" s="223">
        <v>1</v>
      </c>
      <c r="I58" s="223">
        <v>0</v>
      </c>
      <c r="J58" s="221" t="s">
        <v>176</v>
      </c>
      <c r="K58" s="221" t="s">
        <v>118</v>
      </c>
      <c r="L58" s="224">
        <v>44470</v>
      </c>
      <c r="M58" s="224">
        <v>44627</v>
      </c>
      <c r="N58" s="226"/>
      <c r="Q58" s="82"/>
      <c r="R58" s="82"/>
    </row>
    <row r="59" spans="1:18" s="210" customFormat="1" ht="37.5" customHeight="1" x14ac:dyDescent="0.25">
      <c r="A59" s="232"/>
      <c r="B59" s="220" t="s">
        <v>93</v>
      </c>
      <c r="C59" s="221" t="s">
        <v>330</v>
      </c>
      <c r="D59" s="221" t="s">
        <v>133</v>
      </c>
      <c r="E59" s="221">
        <v>1</v>
      </c>
      <c r="F59" s="221" t="s">
        <v>124</v>
      </c>
      <c r="G59" s="194">
        <v>280000</v>
      </c>
      <c r="H59" s="223">
        <v>1</v>
      </c>
      <c r="I59" s="223">
        <v>0</v>
      </c>
      <c r="J59" s="221" t="s">
        <v>176</v>
      </c>
      <c r="K59" s="221" t="s">
        <v>118</v>
      </c>
      <c r="L59" s="224">
        <v>44470</v>
      </c>
      <c r="M59" s="224">
        <v>44627</v>
      </c>
      <c r="N59" s="226"/>
      <c r="Q59" s="82"/>
      <c r="R59" s="82"/>
    </row>
    <row r="60" spans="1:18" s="210" customFormat="1" ht="52.8" x14ac:dyDescent="0.25">
      <c r="A60" s="221" t="str">
        <f>'1. Detailed Budget.2 '!$A$19</f>
        <v>2.1 Estudios de preinversión financiados</v>
      </c>
      <c r="B60" s="220" t="s">
        <v>93</v>
      </c>
      <c r="C60" s="221" t="s">
        <v>265</v>
      </c>
      <c r="D60" s="221" t="s">
        <v>133</v>
      </c>
      <c r="E60" s="221">
        <v>1</v>
      </c>
      <c r="F60" s="221" t="s">
        <v>124</v>
      </c>
      <c r="G60" s="194">
        <v>320000</v>
      </c>
      <c r="H60" s="223">
        <v>1</v>
      </c>
      <c r="I60" s="223">
        <v>0</v>
      </c>
      <c r="J60" s="221" t="s">
        <v>176</v>
      </c>
      <c r="K60" s="221" t="s">
        <v>118</v>
      </c>
      <c r="L60" s="224">
        <v>44136</v>
      </c>
      <c r="M60" s="224">
        <v>44291</v>
      </c>
      <c r="N60" s="226"/>
      <c r="Q60" s="82"/>
      <c r="R60" s="82"/>
    </row>
    <row r="61" spans="1:18" s="210" customFormat="1" ht="52.8" x14ac:dyDescent="0.25">
      <c r="A61" s="232"/>
      <c r="B61" s="233"/>
      <c r="C61" s="221" t="s">
        <v>305</v>
      </c>
      <c r="D61" s="221" t="s">
        <v>133</v>
      </c>
      <c r="E61" s="221">
        <v>1</v>
      </c>
      <c r="F61" s="221" t="s">
        <v>124</v>
      </c>
      <c r="G61" s="194">
        <v>30000</v>
      </c>
      <c r="H61" s="223">
        <v>1</v>
      </c>
      <c r="I61" s="223">
        <v>0</v>
      </c>
      <c r="J61" s="221" t="s">
        <v>176</v>
      </c>
      <c r="K61" s="221" t="s">
        <v>118</v>
      </c>
      <c r="L61" s="224">
        <v>44136</v>
      </c>
      <c r="M61" s="224">
        <v>44291</v>
      </c>
      <c r="N61" s="226"/>
      <c r="Q61" s="82"/>
      <c r="R61" s="82"/>
    </row>
    <row r="62" spans="1:18" ht="150.6" customHeight="1" x14ac:dyDescent="0.25">
      <c r="A62" s="221" t="str">
        <f>'1. Detailed Budget.2 '!A43</f>
        <v xml:space="preserve">3.3 Estrategia de capacitación en preinversión implementada, que incluya: (a) un sistema de pasantías para funcionarios con empresas privadas; (b) el desarrollo de un programa de capacitación a municipios seleccionados; y (c) el desarrollo y difusión de Guías Técnicas de Preinversión </v>
      </c>
      <c r="B62" s="220" t="s">
        <v>93</v>
      </c>
      <c r="C62" s="221" t="s">
        <v>178</v>
      </c>
      <c r="D62" s="221" t="s">
        <v>133</v>
      </c>
      <c r="E62" s="221">
        <v>1</v>
      </c>
      <c r="F62" s="221" t="s">
        <v>124</v>
      </c>
      <c r="G62" s="194">
        <f>'1. Detailed Budget.2 '!L43</f>
        <v>36960</v>
      </c>
      <c r="H62" s="223">
        <v>1</v>
      </c>
      <c r="I62" s="223">
        <v>0</v>
      </c>
      <c r="J62" s="221" t="s">
        <v>177</v>
      </c>
      <c r="K62" s="221" t="s">
        <v>118</v>
      </c>
      <c r="L62" s="224">
        <v>43875</v>
      </c>
      <c r="M62" s="224">
        <v>44000</v>
      </c>
      <c r="N62" s="226"/>
      <c r="Q62" s="82"/>
      <c r="R62" s="82"/>
    </row>
    <row r="63" spans="1:18" ht="113.4" customHeight="1" x14ac:dyDescent="0.25">
      <c r="A63" s="221" t="str">
        <f>'1. Detailed Budget.2 '!A48</f>
        <v>3.4 Proyectos tipo-modulares en áreas relevantes para los municipios definidos</v>
      </c>
      <c r="B63" s="220" t="s">
        <v>93</v>
      </c>
      <c r="C63" s="221" t="s">
        <v>98</v>
      </c>
      <c r="D63" s="221" t="s">
        <v>133</v>
      </c>
      <c r="E63" s="221">
        <v>1</v>
      </c>
      <c r="F63" s="221" t="s">
        <v>124</v>
      </c>
      <c r="G63" s="194">
        <f>'1. Detailed Budget.2 '!L49</f>
        <v>147840</v>
      </c>
      <c r="H63" s="223">
        <v>1</v>
      </c>
      <c r="I63" s="223">
        <v>0</v>
      </c>
      <c r="J63" s="221" t="s">
        <v>177</v>
      </c>
      <c r="K63" s="221" t="s">
        <v>118</v>
      </c>
      <c r="L63" s="224">
        <v>44000</v>
      </c>
      <c r="M63" s="224">
        <v>44071</v>
      </c>
      <c r="N63" s="226"/>
      <c r="Q63" s="82"/>
      <c r="R63" s="82"/>
    </row>
    <row r="64" spans="1:18" x14ac:dyDescent="0.25">
      <c r="A64" s="234"/>
      <c r="B64" s="234"/>
      <c r="C64" s="234"/>
      <c r="D64" s="234"/>
      <c r="E64" s="234"/>
      <c r="F64" s="234"/>
      <c r="G64" s="227">
        <f>SUM(G29:G63)</f>
        <v>12885255</v>
      </c>
      <c r="H64" s="235"/>
      <c r="I64" s="236"/>
      <c r="J64" s="234"/>
      <c r="K64" s="234"/>
      <c r="L64" s="237"/>
      <c r="M64" s="237"/>
      <c r="N64" s="234"/>
      <c r="Q64" s="82"/>
      <c r="R64" s="82"/>
    </row>
    <row r="65" spans="1:18" ht="14.4" thickBot="1" x14ac:dyDescent="0.3">
      <c r="Q65" s="238" t="s">
        <v>140</v>
      </c>
      <c r="R65" s="238" t="s">
        <v>132</v>
      </c>
    </row>
    <row r="66" spans="1:18" ht="15.6" x14ac:dyDescent="0.25">
      <c r="B66" s="422" t="s">
        <v>141</v>
      </c>
      <c r="C66" s="423"/>
      <c r="D66" s="423"/>
      <c r="E66" s="423"/>
      <c r="F66" s="423"/>
      <c r="G66" s="423"/>
      <c r="H66" s="423"/>
      <c r="I66" s="423"/>
      <c r="J66" s="423"/>
      <c r="K66" s="423"/>
      <c r="L66" s="423"/>
      <c r="M66" s="423"/>
      <c r="N66" s="424"/>
      <c r="Q66" s="238" t="s">
        <v>142</v>
      </c>
      <c r="R66" s="238" t="s">
        <v>132</v>
      </c>
    </row>
    <row r="67" spans="1:18" ht="15" customHeight="1" x14ac:dyDescent="0.25">
      <c r="A67" s="433"/>
      <c r="B67" s="433" t="s">
        <v>105</v>
      </c>
      <c r="C67" s="432" t="s">
        <v>106</v>
      </c>
      <c r="D67" s="432" t="s">
        <v>319</v>
      </c>
      <c r="E67" s="432" t="s">
        <v>108</v>
      </c>
      <c r="F67" s="434" t="s">
        <v>109</v>
      </c>
      <c r="G67" s="434"/>
      <c r="H67" s="434"/>
      <c r="I67" s="437" t="s">
        <v>143</v>
      </c>
      <c r="J67" s="432" t="s">
        <v>110</v>
      </c>
      <c r="K67" s="432" t="s">
        <v>320</v>
      </c>
      <c r="L67" s="426" t="s">
        <v>111</v>
      </c>
      <c r="M67" s="426"/>
      <c r="N67" s="438" t="s">
        <v>321</v>
      </c>
      <c r="Q67" s="238" t="s">
        <v>131</v>
      </c>
      <c r="R67" s="238" t="s">
        <v>144</v>
      </c>
    </row>
    <row r="68" spans="1:18" ht="39.6" x14ac:dyDescent="0.25">
      <c r="A68" s="433"/>
      <c r="B68" s="433"/>
      <c r="C68" s="432"/>
      <c r="D68" s="432"/>
      <c r="E68" s="432"/>
      <c r="F68" s="239" t="s">
        <v>113</v>
      </c>
      <c r="G68" s="240" t="s">
        <v>114</v>
      </c>
      <c r="H68" s="241" t="s">
        <v>115</v>
      </c>
      <c r="I68" s="437"/>
      <c r="J68" s="432"/>
      <c r="K68" s="432"/>
      <c r="L68" s="208" t="s">
        <v>145</v>
      </c>
      <c r="M68" s="208" t="s">
        <v>146</v>
      </c>
      <c r="N68" s="438"/>
      <c r="Q68" s="238" t="s">
        <v>140</v>
      </c>
      <c r="R68" s="238" t="s">
        <v>144</v>
      </c>
    </row>
    <row r="69" spans="1:18" ht="61.5" customHeight="1" x14ac:dyDescent="0.25">
      <c r="A69" s="419" t="str">
        <f>'1. Detailed Budget.2 '!A8</f>
        <v xml:space="preserve">1.1 Sistema de gestión de la inversión pública (SISIN) fortalecido (incluye: (i) el diseño de un módulo de registro de la preinversión; y (ii) el desarrollo e implementación de una propuesta de interoperabilidad del sistema de registro y gestión de la preinversión con otros sistemas de información nacionales </v>
      </c>
      <c r="B69" s="220" t="s">
        <v>93</v>
      </c>
      <c r="C69" s="221" t="s">
        <v>234</v>
      </c>
      <c r="D69" s="221" t="s">
        <v>147</v>
      </c>
      <c r="E69" s="221" t="s">
        <v>124</v>
      </c>
      <c r="F69" s="194">
        <f>'1. Detailed Budget.2 '!G8</f>
        <v>36000</v>
      </c>
      <c r="G69" s="256">
        <v>1</v>
      </c>
      <c r="H69" s="223">
        <v>0</v>
      </c>
      <c r="I69" s="194">
        <f>'1. Detailed Budget.2 '!F8</f>
        <v>2</v>
      </c>
      <c r="J69" s="221" t="s">
        <v>175</v>
      </c>
      <c r="K69" s="221" t="s">
        <v>118</v>
      </c>
      <c r="L69" s="224">
        <v>43953</v>
      </c>
      <c r="M69" s="224">
        <v>43945</v>
      </c>
      <c r="N69" s="226"/>
      <c r="Q69" s="238"/>
      <c r="R69" s="238" t="s">
        <v>148</v>
      </c>
    </row>
    <row r="70" spans="1:18" ht="87" customHeight="1" x14ac:dyDescent="0.25">
      <c r="A70" s="420"/>
      <c r="B70" s="220" t="s">
        <v>93</v>
      </c>
      <c r="C70" s="228" t="s">
        <v>238</v>
      </c>
      <c r="D70" s="221" t="s">
        <v>147</v>
      </c>
      <c r="E70" s="221" t="s">
        <v>124</v>
      </c>
      <c r="F70" s="194">
        <f>'1. Detailed Budget.2 '!G11</f>
        <v>36000</v>
      </c>
      <c r="G70" s="256">
        <v>1</v>
      </c>
      <c r="H70" s="223">
        <v>0</v>
      </c>
      <c r="I70" s="194">
        <f>'1. Detailed Budget.2 '!F11</f>
        <v>1</v>
      </c>
      <c r="J70" s="221" t="s">
        <v>175</v>
      </c>
      <c r="K70" s="221" t="s">
        <v>118</v>
      </c>
      <c r="L70" s="224">
        <v>43862</v>
      </c>
      <c r="M70" s="224">
        <v>43951</v>
      </c>
      <c r="N70" s="226"/>
      <c r="Q70" s="238"/>
      <c r="R70" s="238"/>
    </row>
    <row r="71" spans="1:18" ht="37.5" customHeight="1" x14ac:dyDescent="0.25">
      <c r="A71" s="421"/>
      <c r="B71" s="220" t="s">
        <v>93</v>
      </c>
      <c r="C71" s="228" t="s">
        <v>174</v>
      </c>
      <c r="D71" s="221" t="s">
        <v>147</v>
      </c>
      <c r="E71" s="221" t="s">
        <v>124</v>
      </c>
      <c r="F71" s="194">
        <f>'1. Detailed Budget.2 '!G12</f>
        <v>33000</v>
      </c>
      <c r="G71" s="256">
        <v>1</v>
      </c>
      <c r="H71" s="223">
        <v>0</v>
      </c>
      <c r="I71" s="194">
        <f>'1. Detailed Budget.2 '!F12</f>
        <v>1</v>
      </c>
      <c r="J71" s="221" t="s">
        <v>175</v>
      </c>
      <c r="K71" s="221" t="s">
        <v>118</v>
      </c>
      <c r="L71" s="224">
        <v>43951</v>
      </c>
      <c r="M71" s="224">
        <v>44005</v>
      </c>
      <c r="N71" s="226"/>
      <c r="Q71" s="238"/>
      <c r="R71" s="238"/>
    </row>
    <row r="72" spans="1:18" ht="52.8" x14ac:dyDescent="0.25">
      <c r="A72" s="221" t="str">
        <f>'1. Detailed Budget.2 '!A15</f>
        <v>1.4 Metodología para la evaluación temprana de viabilidad económica de proyectos desarrollada</v>
      </c>
      <c r="B72" s="220" t="s">
        <v>93</v>
      </c>
      <c r="C72" s="221" t="s">
        <v>96</v>
      </c>
      <c r="D72" s="221" t="s">
        <v>147</v>
      </c>
      <c r="E72" s="221" t="s">
        <v>124</v>
      </c>
      <c r="F72" s="194">
        <f>'1. Detailed Budget.2 '!G15</f>
        <v>9240</v>
      </c>
      <c r="G72" s="256">
        <v>1</v>
      </c>
      <c r="H72" s="223">
        <v>0</v>
      </c>
      <c r="I72" s="194">
        <f>'1. Detailed Budget.2 '!F15</f>
        <v>1</v>
      </c>
      <c r="J72" s="221" t="s">
        <v>175</v>
      </c>
      <c r="K72" s="221" t="s">
        <v>118</v>
      </c>
      <c r="L72" s="224">
        <v>44141</v>
      </c>
      <c r="M72" s="224">
        <v>44222</v>
      </c>
      <c r="N72" s="226"/>
      <c r="Q72" s="238"/>
      <c r="R72" s="238"/>
    </row>
    <row r="73" spans="1:18" ht="79.2" x14ac:dyDescent="0.25">
      <c r="A73" s="221" t="str">
        <f>'1. Detailed Budget.2 '!A17</f>
        <v>1.6 Metodología de análisis de brechas de inversión que facilite la priorización de proyectos implementada</v>
      </c>
      <c r="B73" s="220" t="s">
        <v>93</v>
      </c>
      <c r="C73" s="221" t="s">
        <v>306</v>
      </c>
      <c r="D73" s="221" t="s">
        <v>147</v>
      </c>
      <c r="E73" s="221" t="s">
        <v>124</v>
      </c>
      <c r="F73" s="194">
        <f>'1. Detailed Budget.2 '!G17</f>
        <v>18480</v>
      </c>
      <c r="G73" s="256">
        <v>1</v>
      </c>
      <c r="H73" s="223">
        <v>0</v>
      </c>
      <c r="I73" s="194">
        <f>'1. Detailed Budget.2 '!F17</f>
        <v>2</v>
      </c>
      <c r="J73" s="221" t="s">
        <v>175</v>
      </c>
      <c r="K73" s="221" t="s">
        <v>118</v>
      </c>
      <c r="L73" s="224">
        <v>44071</v>
      </c>
      <c r="M73" s="224">
        <v>44152</v>
      </c>
      <c r="N73" s="226"/>
      <c r="Q73" s="238"/>
      <c r="R73" s="238"/>
    </row>
    <row r="74" spans="1:18" ht="79.2" x14ac:dyDescent="0.25">
      <c r="A74" s="221" t="str">
        <f>'1. Detailed Budget.2 '!A36</f>
        <v>2.2 Base de datos de costos unitarios de la preinversión desarrollada</v>
      </c>
      <c r="B74" s="220" t="s">
        <v>93</v>
      </c>
      <c r="C74" s="221" t="s">
        <v>240</v>
      </c>
      <c r="D74" s="221" t="s">
        <v>147</v>
      </c>
      <c r="E74" s="221" t="s">
        <v>124</v>
      </c>
      <c r="F74" s="194">
        <f>'1. Detailed Budget.2 '!G36</f>
        <v>36960</v>
      </c>
      <c r="G74" s="256">
        <v>1</v>
      </c>
      <c r="H74" s="223">
        <v>0</v>
      </c>
      <c r="I74" s="194">
        <f>'1. Detailed Budget.2 '!F36</f>
        <v>2</v>
      </c>
      <c r="J74" s="221" t="s">
        <v>176</v>
      </c>
      <c r="K74" s="221" t="s">
        <v>118</v>
      </c>
      <c r="L74" s="224">
        <v>44014</v>
      </c>
      <c r="M74" s="224">
        <v>44095</v>
      </c>
      <c r="N74" s="226"/>
      <c r="Q74" s="238"/>
      <c r="R74" s="238"/>
    </row>
    <row r="75" spans="1:18" ht="67.5" customHeight="1" x14ac:dyDescent="0.25">
      <c r="A75" s="228" t="str">
        <f>'1. Detailed Budget.2 '!A39</f>
        <v>3.1 Estructura organizacional de la Dirección General de Programación y Preinversión (DGPP) fortalecida</v>
      </c>
      <c r="B75" s="220" t="s">
        <v>93</v>
      </c>
      <c r="C75" s="228" t="s">
        <v>269</v>
      </c>
      <c r="D75" s="221" t="s">
        <v>147</v>
      </c>
      <c r="E75" s="221" t="s">
        <v>124</v>
      </c>
      <c r="F75" s="194">
        <f>'1. Detailed Budget.2 '!G39</f>
        <v>144000</v>
      </c>
      <c r="G75" s="256">
        <v>1</v>
      </c>
      <c r="H75" s="223">
        <v>0</v>
      </c>
      <c r="I75" s="194">
        <f>'1. Detailed Budget.2 '!F39</f>
        <v>2</v>
      </c>
      <c r="J75" s="221" t="s">
        <v>177</v>
      </c>
      <c r="K75" s="221" t="s">
        <v>118</v>
      </c>
      <c r="L75" s="224">
        <v>43678</v>
      </c>
      <c r="M75" s="224">
        <v>43777</v>
      </c>
      <c r="N75" s="226"/>
      <c r="Q75" s="238"/>
      <c r="R75" s="238"/>
    </row>
    <row r="76" spans="1:18" ht="132" x14ac:dyDescent="0.25">
      <c r="A76" s="228" t="str">
        <f>'1. Detailed Budget.2 '!A41</f>
        <v>3.2 Metodologías y aspectos técnicos de: (a) Informe técnico de condiciones previas (ITCP) con evaluación socioeconómica preliminar; y (b) estudio de diseño técnico de preinversión (EDTP) con términos de referencia y presupuestos detallados por sectores fortalecidos</v>
      </c>
      <c r="B76" s="220" t="s">
        <v>93</v>
      </c>
      <c r="C76" s="228" t="str">
        <f>'1. Detailed Budget.2 '!C41</f>
        <v>Consultoría especializada en Fortalecimiento de los contenidos del informe técnico de condiciones previas (ITCP) con una evaluación socioeconómica preliminar .</v>
      </c>
      <c r="D76" s="221" t="s">
        <v>147</v>
      </c>
      <c r="E76" s="221" t="s">
        <v>124</v>
      </c>
      <c r="F76" s="194">
        <f>'1. Detailed Budget.2 '!G41</f>
        <v>18480</v>
      </c>
      <c r="G76" s="256">
        <v>1</v>
      </c>
      <c r="H76" s="223">
        <v>0</v>
      </c>
      <c r="I76" s="194">
        <f>'1. Detailed Budget.2 '!F41</f>
        <v>1</v>
      </c>
      <c r="J76" s="221" t="s">
        <v>177</v>
      </c>
      <c r="K76" s="221" t="s">
        <v>118</v>
      </c>
      <c r="L76" s="224">
        <v>43867</v>
      </c>
      <c r="M76" s="224">
        <v>43948</v>
      </c>
      <c r="N76" s="226"/>
      <c r="Q76" s="238"/>
      <c r="R76" s="238"/>
    </row>
    <row r="77" spans="1:18" ht="118.8" x14ac:dyDescent="0.25">
      <c r="A77" s="228" t="s">
        <v>341</v>
      </c>
      <c r="B77" s="220" t="s">
        <v>93</v>
      </c>
      <c r="C77" s="228" t="s">
        <v>307</v>
      </c>
      <c r="D77" s="221" t="s">
        <v>147</v>
      </c>
      <c r="E77" s="221" t="s">
        <v>124</v>
      </c>
      <c r="F77" s="194">
        <f>'1. Detailed Budget.2 '!G42</f>
        <v>27720</v>
      </c>
      <c r="G77" s="256">
        <v>1</v>
      </c>
      <c r="H77" s="223">
        <v>0</v>
      </c>
      <c r="I77" s="194">
        <f>'1. Detailed Budget.2 '!F42</f>
        <v>3</v>
      </c>
      <c r="J77" s="221" t="s">
        <v>177</v>
      </c>
      <c r="K77" s="221" t="s">
        <v>118</v>
      </c>
      <c r="L77" s="224">
        <v>43867</v>
      </c>
      <c r="M77" s="224">
        <v>43948</v>
      </c>
      <c r="N77" s="226"/>
      <c r="Q77" s="238"/>
      <c r="R77" s="238"/>
    </row>
    <row r="78" spans="1:18" ht="124.95" customHeight="1" x14ac:dyDescent="0.25">
      <c r="A78" s="228" t="str">
        <f>'1. Detailed Budget.2 '!A43</f>
        <v xml:space="preserve">3.3 Estrategia de capacitación en preinversión implementada, que incluya: (a) un sistema de pasantías para funcionarios con empresas privadas; (b) el desarrollo de un programa de capacitación a municipios seleccionados; y (c) el desarrollo y difusión de Guías Técnicas de Preinversión </v>
      </c>
      <c r="B78" s="220" t="s">
        <v>93</v>
      </c>
      <c r="C78" s="228" t="str">
        <f>'1. Detailed Budget.2 '!C44</f>
        <v xml:space="preserve">Consultoría para Desarrollo y difusión de las Guías Técnicas de Preinversión, (incluye Desarrollo de guías técnicas y Difusión y capacitación en aplicación de guías técnicas). </v>
      </c>
      <c r="D78" s="221" t="s">
        <v>147</v>
      </c>
      <c r="E78" s="221" t="s">
        <v>124</v>
      </c>
      <c r="F78" s="194">
        <f>'1. Detailed Budget.2 '!G44</f>
        <v>99000</v>
      </c>
      <c r="G78" s="256">
        <v>1</v>
      </c>
      <c r="H78" s="223">
        <v>0</v>
      </c>
      <c r="I78" s="194">
        <f>'1. Detailed Budget.2 '!F44</f>
        <v>2</v>
      </c>
      <c r="J78" s="221" t="s">
        <v>177</v>
      </c>
      <c r="K78" s="221" t="s">
        <v>118</v>
      </c>
      <c r="L78" s="224">
        <v>43855</v>
      </c>
      <c r="M78" s="224">
        <v>43933</v>
      </c>
      <c r="N78" s="226"/>
      <c r="Q78" s="238"/>
      <c r="R78" s="238"/>
    </row>
    <row r="79" spans="1:18" ht="39.6" x14ac:dyDescent="0.25">
      <c r="A79" s="221" t="str">
        <f>'1. Detailed Budget.2 '!A50</f>
        <v>3.5 Diagnóstico del análisis de género en la preinversión elaborado</v>
      </c>
      <c r="B79" s="220" t="s">
        <v>93</v>
      </c>
      <c r="C79" s="221" t="str">
        <f>'1. Detailed Budget.2 '!C51</f>
        <v>Consultoría especializada para el diagnóstico del análisis de género en la preinversión</v>
      </c>
      <c r="D79" s="221" t="s">
        <v>147</v>
      </c>
      <c r="E79" s="221" t="s">
        <v>124</v>
      </c>
      <c r="F79" s="194">
        <f>'1. Detailed Budget.2 '!G51</f>
        <v>6160</v>
      </c>
      <c r="G79" s="256">
        <v>1</v>
      </c>
      <c r="H79" s="223">
        <v>0</v>
      </c>
      <c r="I79" s="194">
        <f>'1. Detailed Budget.2 '!F51</f>
        <v>1</v>
      </c>
      <c r="J79" s="221" t="s">
        <v>177</v>
      </c>
      <c r="K79" s="221" t="s">
        <v>112</v>
      </c>
      <c r="L79" s="224">
        <v>44075</v>
      </c>
      <c r="M79" s="224">
        <v>44136</v>
      </c>
      <c r="N79" s="226"/>
      <c r="Q79" s="238"/>
      <c r="R79" s="238"/>
    </row>
    <row r="80" spans="1:18" ht="39" customHeight="1" x14ac:dyDescent="0.25">
      <c r="A80" s="221" t="str">
        <f>'1. Detailed Budget.2 '!$A$19</f>
        <v>2.1 Estudios de preinversión financiados</v>
      </c>
      <c r="B80" s="220" t="s">
        <v>93</v>
      </c>
      <c r="C80" s="221" t="s">
        <v>314</v>
      </c>
      <c r="D80" s="221" t="s">
        <v>147</v>
      </c>
      <c r="E80" s="221" t="s">
        <v>124</v>
      </c>
      <c r="F80" s="194">
        <v>180760</v>
      </c>
      <c r="G80" s="256">
        <v>1</v>
      </c>
      <c r="H80" s="223">
        <v>0</v>
      </c>
      <c r="I80" s="194">
        <v>6</v>
      </c>
      <c r="J80" s="221" t="s">
        <v>176</v>
      </c>
      <c r="K80" s="221" t="s">
        <v>118</v>
      </c>
      <c r="L80" s="224">
        <v>43893</v>
      </c>
      <c r="M80" s="224">
        <v>43981</v>
      </c>
      <c r="N80" s="226"/>
      <c r="Q80" s="238"/>
      <c r="R80" s="238"/>
    </row>
    <row r="81" spans="1:18" ht="92.4" x14ac:dyDescent="0.25">
      <c r="A81" s="221" t="str">
        <f>'1. Detailed Budget.2 '!$A$52</f>
        <v>Total Coordinación del Proyecto</v>
      </c>
      <c r="B81" s="220" t="s">
        <v>93</v>
      </c>
      <c r="C81" s="221" t="s">
        <v>308</v>
      </c>
      <c r="D81" s="221" t="s">
        <v>130</v>
      </c>
      <c r="E81" s="221" t="s">
        <v>124</v>
      </c>
      <c r="F81" s="194">
        <f>'1. Detailed Budget.2 '!B53</f>
        <v>78000</v>
      </c>
      <c r="G81" s="256">
        <v>1</v>
      </c>
      <c r="H81" s="223">
        <v>0</v>
      </c>
      <c r="I81" s="194">
        <f>'1. Detailed Budget.2 '!F53</f>
        <v>1</v>
      </c>
      <c r="J81" s="221" t="s">
        <v>102</v>
      </c>
      <c r="K81" s="221" t="s">
        <v>118</v>
      </c>
      <c r="L81" s="224">
        <v>43709</v>
      </c>
      <c r="M81" s="224">
        <v>43709</v>
      </c>
      <c r="N81" s="226" t="s">
        <v>312</v>
      </c>
      <c r="Q81" s="238"/>
      <c r="R81" s="238"/>
    </row>
    <row r="82" spans="1:18" ht="92.4" x14ac:dyDescent="0.25">
      <c r="A82" s="221" t="str">
        <f>'1. Detailed Budget.2 '!$A$52</f>
        <v>Total Coordinación del Proyecto</v>
      </c>
      <c r="B82" s="220" t="s">
        <v>93</v>
      </c>
      <c r="C82" s="221" t="s">
        <v>309</v>
      </c>
      <c r="D82" s="221" t="s">
        <v>130</v>
      </c>
      <c r="E82" s="221" t="s">
        <v>124</v>
      </c>
      <c r="F82" s="194">
        <f>'1. Detailed Budget.2 '!B54</f>
        <v>78000</v>
      </c>
      <c r="G82" s="256">
        <v>1</v>
      </c>
      <c r="H82" s="223">
        <v>0</v>
      </c>
      <c r="I82" s="194">
        <f>'1. Detailed Budget.2 '!F54</f>
        <v>1</v>
      </c>
      <c r="J82" s="221" t="s">
        <v>102</v>
      </c>
      <c r="K82" s="221" t="s">
        <v>118</v>
      </c>
      <c r="L82" s="224">
        <v>44197</v>
      </c>
      <c r="M82" s="224">
        <v>44229</v>
      </c>
      <c r="N82" s="226" t="s">
        <v>312</v>
      </c>
      <c r="Q82" s="238"/>
      <c r="R82" s="238"/>
    </row>
    <row r="83" spans="1:18" ht="92.4" x14ac:dyDescent="0.25">
      <c r="A83" s="221" t="str">
        <f>'1. Detailed Budget.2 '!$A$52</f>
        <v>Total Coordinación del Proyecto</v>
      </c>
      <c r="B83" s="220" t="s">
        <v>93</v>
      </c>
      <c r="C83" s="221" t="s">
        <v>310</v>
      </c>
      <c r="D83" s="221" t="s">
        <v>130</v>
      </c>
      <c r="E83" s="221" t="s">
        <v>124</v>
      </c>
      <c r="F83" s="194">
        <f>'1. Detailed Budget.2 '!B55</f>
        <v>78000</v>
      </c>
      <c r="G83" s="256">
        <v>1</v>
      </c>
      <c r="H83" s="223">
        <v>0</v>
      </c>
      <c r="I83" s="194">
        <f>'1. Detailed Budget.2 '!F55</f>
        <v>1</v>
      </c>
      <c r="J83" s="221" t="s">
        <v>102</v>
      </c>
      <c r="K83" s="221" t="s">
        <v>118</v>
      </c>
      <c r="L83" s="224">
        <v>44197</v>
      </c>
      <c r="M83" s="224">
        <v>44229</v>
      </c>
      <c r="N83" s="226" t="s">
        <v>312</v>
      </c>
      <c r="Q83" s="238"/>
      <c r="R83" s="238"/>
    </row>
    <row r="84" spans="1:18" ht="92.4" x14ac:dyDescent="0.25">
      <c r="A84" s="221" t="str">
        <f>'1. Detailed Budget.2 '!$A$52</f>
        <v>Total Coordinación del Proyecto</v>
      </c>
      <c r="B84" s="220" t="s">
        <v>93</v>
      </c>
      <c r="C84" s="221" t="s">
        <v>311</v>
      </c>
      <c r="D84" s="221" t="s">
        <v>130</v>
      </c>
      <c r="E84" s="221" t="s">
        <v>124</v>
      </c>
      <c r="F84" s="194">
        <f>'1. Detailed Budget.2 '!B56</f>
        <v>78000</v>
      </c>
      <c r="G84" s="256">
        <v>1</v>
      </c>
      <c r="H84" s="223">
        <v>0</v>
      </c>
      <c r="I84" s="194">
        <f>'1. Detailed Budget.2 '!F56</f>
        <v>1</v>
      </c>
      <c r="J84" s="221" t="s">
        <v>102</v>
      </c>
      <c r="K84" s="221" t="s">
        <v>118</v>
      </c>
      <c r="L84" s="224">
        <v>44197</v>
      </c>
      <c r="M84" s="224">
        <v>44229</v>
      </c>
      <c r="N84" s="226" t="s">
        <v>312</v>
      </c>
      <c r="Q84" s="238"/>
      <c r="R84" s="238"/>
    </row>
    <row r="85" spans="1:18" ht="26.4" x14ac:dyDescent="0.25">
      <c r="A85" s="221" t="str">
        <f>'1. Detailed Budget.2 '!$A$52</f>
        <v>Total Coordinación del Proyecto</v>
      </c>
      <c r="B85" s="220" t="s">
        <v>93</v>
      </c>
      <c r="C85" s="221" t="str">
        <f>'1. Detailed Budget.2 '!A57</f>
        <v>Especialista técnico Energía</v>
      </c>
      <c r="D85" s="221" t="s">
        <v>147</v>
      </c>
      <c r="E85" s="221" t="s">
        <v>124</v>
      </c>
      <c r="F85" s="194">
        <f>'1. Detailed Budget.2 '!B57</f>
        <v>78000</v>
      </c>
      <c r="G85" s="256">
        <v>1</v>
      </c>
      <c r="H85" s="223">
        <v>0</v>
      </c>
      <c r="I85" s="194">
        <f>'1. Detailed Budget.2 '!F57</f>
        <v>1</v>
      </c>
      <c r="J85" s="221" t="s">
        <v>102</v>
      </c>
      <c r="K85" s="221" t="s">
        <v>118</v>
      </c>
      <c r="L85" s="224">
        <v>44197</v>
      </c>
      <c r="M85" s="224">
        <v>44229</v>
      </c>
      <c r="N85" s="226"/>
      <c r="Q85" s="238"/>
      <c r="R85" s="238"/>
    </row>
    <row r="86" spans="1:18" ht="26.4" x14ac:dyDescent="0.25">
      <c r="A86" s="221" t="str">
        <f>'1. Detailed Budget.2 '!$A$52</f>
        <v>Total Coordinación del Proyecto</v>
      </c>
      <c r="B86" s="220" t="s">
        <v>93</v>
      </c>
      <c r="C86" s="221" t="str">
        <f>'1. Detailed Budget.2 '!A58</f>
        <v>Especialista técnico Transporte</v>
      </c>
      <c r="D86" s="221" t="s">
        <v>147</v>
      </c>
      <c r="E86" s="221" t="s">
        <v>124</v>
      </c>
      <c r="F86" s="194">
        <f>'1. Detailed Budget.2 '!B58</f>
        <v>78000</v>
      </c>
      <c r="G86" s="256">
        <v>1</v>
      </c>
      <c r="H86" s="223">
        <v>0</v>
      </c>
      <c r="I86" s="194">
        <f>'1. Detailed Budget.2 '!F58</f>
        <v>1</v>
      </c>
      <c r="J86" s="221" t="s">
        <v>102</v>
      </c>
      <c r="K86" s="221" t="s">
        <v>118</v>
      </c>
      <c r="L86" s="224">
        <v>44197</v>
      </c>
      <c r="M86" s="224">
        <v>44229</v>
      </c>
      <c r="N86" s="226"/>
      <c r="Q86" s="238"/>
      <c r="R86" s="238"/>
    </row>
    <row r="87" spans="1:18" ht="26.4" x14ac:dyDescent="0.25">
      <c r="A87" s="221" t="str">
        <f>'1. Detailed Budget.2 '!$A$52</f>
        <v>Total Coordinación del Proyecto</v>
      </c>
      <c r="B87" s="220" t="s">
        <v>93</v>
      </c>
      <c r="C87" s="221" t="str">
        <f>'1. Detailed Budget.2 '!A59</f>
        <v>Especialista técnico Riego</v>
      </c>
      <c r="D87" s="221" t="s">
        <v>147</v>
      </c>
      <c r="E87" s="221" t="s">
        <v>124</v>
      </c>
      <c r="F87" s="194">
        <f>'1. Detailed Budget.2 '!B59</f>
        <v>78000</v>
      </c>
      <c r="G87" s="256">
        <v>1</v>
      </c>
      <c r="H87" s="223">
        <v>0</v>
      </c>
      <c r="I87" s="194">
        <f>'1. Detailed Budget.2 '!F59</f>
        <v>1</v>
      </c>
      <c r="J87" s="221" t="s">
        <v>102</v>
      </c>
      <c r="K87" s="221" t="s">
        <v>118</v>
      </c>
      <c r="L87" s="224">
        <v>44197</v>
      </c>
      <c r="M87" s="224">
        <v>44229</v>
      </c>
      <c r="N87" s="226"/>
      <c r="Q87" s="238"/>
      <c r="R87" s="238"/>
    </row>
    <row r="88" spans="1:18" ht="26.4" x14ac:dyDescent="0.25">
      <c r="A88" s="221" t="str">
        <f>'1. Detailed Budget.2 '!$A$52</f>
        <v>Total Coordinación del Proyecto</v>
      </c>
      <c r="B88" s="220" t="s">
        <v>93</v>
      </c>
      <c r="C88" s="221" t="str">
        <f>'1. Detailed Budget.2 '!A60</f>
        <v>Especialista técnico Infraestructura</v>
      </c>
      <c r="D88" s="221" t="s">
        <v>147</v>
      </c>
      <c r="E88" s="221" t="s">
        <v>124</v>
      </c>
      <c r="F88" s="194">
        <f>'1. Detailed Budget.2 '!B60</f>
        <v>78000</v>
      </c>
      <c r="G88" s="256">
        <v>1</v>
      </c>
      <c r="H88" s="223">
        <v>0</v>
      </c>
      <c r="I88" s="194">
        <f>'1. Detailed Budget.2 '!F60</f>
        <v>1</v>
      </c>
      <c r="J88" s="221" t="s">
        <v>102</v>
      </c>
      <c r="K88" s="221" t="s">
        <v>118</v>
      </c>
      <c r="L88" s="224">
        <v>44197</v>
      </c>
      <c r="M88" s="224">
        <v>44229</v>
      </c>
      <c r="N88" s="226"/>
      <c r="Q88" s="238"/>
      <c r="R88" s="238"/>
    </row>
    <row r="89" spans="1:18" ht="26.4" x14ac:dyDescent="0.25">
      <c r="A89" s="221" t="str">
        <f>'1. Detailed Budget.2 '!$A$52</f>
        <v>Total Coordinación del Proyecto</v>
      </c>
      <c r="B89" s="220" t="s">
        <v>93</v>
      </c>
      <c r="C89" s="221" t="str">
        <f>'1. Detailed Budget.2 '!A61</f>
        <v>Especialista técnico Medio Ambiente</v>
      </c>
      <c r="D89" s="221" t="s">
        <v>147</v>
      </c>
      <c r="E89" s="221" t="s">
        <v>124</v>
      </c>
      <c r="F89" s="194">
        <f>'1. Detailed Budget.2 '!B61</f>
        <v>78000</v>
      </c>
      <c r="G89" s="256">
        <v>1</v>
      </c>
      <c r="H89" s="223">
        <v>0</v>
      </c>
      <c r="I89" s="194">
        <f>'1. Detailed Budget.2 '!F61</f>
        <v>1</v>
      </c>
      <c r="J89" s="221" t="s">
        <v>102</v>
      </c>
      <c r="K89" s="221" t="s">
        <v>118</v>
      </c>
      <c r="L89" s="224">
        <v>44197</v>
      </c>
      <c r="M89" s="224">
        <v>44229</v>
      </c>
      <c r="N89" s="226"/>
      <c r="Q89" s="238"/>
      <c r="R89" s="238"/>
    </row>
    <row r="90" spans="1:18" ht="26.4" x14ac:dyDescent="0.25">
      <c r="A90" s="192" t="str">
        <f>'1. Detailed Budget.2 '!$A$52</f>
        <v>Total Coordinación del Proyecto</v>
      </c>
      <c r="B90" s="193" t="s">
        <v>93</v>
      </c>
      <c r="C90" s="192" t="str">
        <f>'1. Detailed Budget.2 '!A62</f>
        <v xml:space="preserve">Especialista técnico </v>
      </c>
      <c r="D90" s="192" t="s">
        <v>147</v>
      </c>
      <c r="E90" s="192" t="s">
        <v>124</v>
      </c>
      <c r="F90" s="194">
        <f>'1. Detailed Budget.2 '!B62</f>
        <v>84000</v>
      </c>
      <c r="G90" s="195">
        <v>1</v>
      </c>
      <c r="H90" s="196">
        <v>0</v>
      </c>
      <c r="I90" s="194">
        <f>'1. Detailed Budget.2 '!F62</f>
        <v>1</v>
      </c>
      <c r="J90" s="192" t="s">
        <v>102</v>
      </c>
      <c r="K90" s="192" t="s">
        <v>118</v>
      </c>
      <c r="L90" s="199">
        <v>43691</v>
      </c>
      <c r="M90" s="199">
        <v>43752</v>
      </c>
      <c r="N90" s="198"/>
      <c r="Q90" s="238"/>
      <c r="R90" s="238"/>
    </row>
    <row r="91" spans="1:18" ht="26.4" x14ac:dyDescent="0.25">
      <c r="A91" s="192" t="str">
        <f>'1. Detailed Budget.2 '!$A$52</f>
        <v>Total Coordinación del Proyecto</v>
      </c>
      <c r="B91" s="193" t="s">
        <v>93</v>
      </c>
      <c r="C91" s="192" t="str">
        <f>'1. Detailed Budget.2 '!A63</f>
        <v xml:space="preserve">Especialista técnico </v>
      </c>
      <c r="D91" s="192" t="s">
        <v>147</v>
      </c>
      <c r="E91" s="192" t="s">
        <v>124</v>
      </c>
      <c r="F91" s="194">
        <f>'1. Detailed Budget.2 '!B63</f>
        <v>84000</v>
      </c>
      <c r="G91" s="195">
        <v>1</v>
      </c>
      <c r="H91" s="196">
        <v>0</v>
      </c>
      <c r="I91" s="194">
        <f>'1. Detailed Budget.2 '!F63</f>
        <v>1</v>
      </c>
      <c r="J91" s="192" t="s">
        <v>102</v>
      </c>
      <c r="K91" s="192" t="s">
        <v>118</v>
      </c>
      <c r="L91" s="199">
        <v>43691</v>
      </c>
      <c r="M91" s="199">
        <v>43752</v>
      </c>
      <c r="N91" s="198"/>
      <c r="Q91" s="238"/>
      <c r="R91" s="238"/>
    </row>
    <row r="92" spans="1:18" ht="26.4" x14ac:dyDescent="0.25">
      <c r="A92" s="192" t="str">
        <f>'1. Detailed Budget.2 '!$A$52</f>
        <v>Total Coordinación del Proyecto</v>
      </c>
      <c r="B92" s="193" t="s">
        <v>93</v>
      </c>
      <c r="C92" s="192" t="s">
        <v>323</v>
      </c>
      <c r="D92" s="192" t="s">
        <v>147</v>
      </c>
      <c r="E92" s="192" t="s">
        <v>124</v>
      </c>
      <c r="F92" s="194">
        <f>'1. Detailed Budget.2 '!B64</f>
        <v>20000</v>
      </c>
      <c r="G92" s="195">
        <v>1</v>
      </c>
      <c r="H92" s="196">
        <v>0</v>
      </c>
      <c r="I92" s="194">
        <f>SUM('1. Detailed Budget.2 '!F64:F67)</f>
        <v>2</v>
      </c>
      <c r="J92" s="192" t="s">
        <v>102</v>
      </c>
      <c r="K92" s="192" t="s">
        <v>118</v>
      </c>
      <c r="L92" s="199">
        <v>44407</v>
      </c>
      <c r="M92" s="199">
        <v>44460</v>
      </c>
      <c r="N92" s="198"/>
      <c r="Q92" s="238"/>
      <c r="R92" s="238"/>
    </row>
    <row r="93" spans="1:18" ht="26.4" x14ac:dyDescent="0.25">
      <c r="A93" s="192" t="str">
        <f>'1. Detailed Budget.2 '!$A$52</f>
        <v>Total Coordinación del Proyecto</v>
      </c>
      <c r="B93" s="258"/>
      <c r="C93" s="257" t="s">
        <v>324</v>
      </c>
      <c r="D93" s="192" t="s">
        <v>147</v>
      </c>
      <c r="E93" s="192" t="s">
        <v>124</v>
      </c>
      <c r="F93" s="194">
        <v>30000</v>
      </c>
      <c r="G93" s="195">
        <v>1</v>
      </c>
      <c r="H93" s="196">
        <v>0</v>
      </c>
      <c r="I93" s="194">
        <f>SUM('1. Detailed Budget.2 '!F65:F68)</f>
        <v>2</v>
      </c>
      <c r="J93" s="192" t="s">
        <v>102</v>
      </c>
      <c r="K93" s="192" t="s">
        <v>118</v>
      </c>
      <c r="L93" s="199">
        <v>45046</v>
      </c>
      <c r="M93" s="199">
        <v>45107</v>
      </c>
      <c r="N93" s="198"/>
      <c r="Q93" s="238"/>
      <c r="R93" s="238"/>
    </row>
    <row r="94" spans="1:18" ht="26.4" x14ac:dyDescent="0.25">
      <c r="A94" s="192" t="str">
        <f>'1. Detailed Budget.2 '!$A$52</f>
        <v>Total Coordinación del Proyecto</v>
      </c>
      <c r="B94" s="193" t="s">
        <v>93</v>
      </c>
      <c r="C94" s="192" t="str">
        <f>'1. Detailed Budget.2 '!A68</f>
        <v>Auditoría</v>
      </c>
      <c r="D94" s="221" t="s">
        <v>133</v>
      </c>
      <c r="E94" s="192" t="s">
        <v>124</v>
      </c>
      <c r="F94" s="194">
        <f>'1. Detailed Budget.2 '!B68</f>
        <v>125000</v>
      </c>
      <c r="G94" s="195">
        <v>1</v>
      </c>
      <c r="H94" s="196">
        <v>0</v>
      </c>
      <c r="I94" s="194">
        <f>'1. Detailed Budget.2 '!F68</f>
        <v>1</v>
      </c>
      <c r="J94" s="192" t="s">
        <v>102</v>
      </c>
      <c r="K94" s="192" t="s">
        <v>118</v>
      </c>
      <c r="L94" s="199">
        <v>43881</v>
      </c>
      <c r="M94" s="199">
        <v>43951</v>
      </c>
      <c r="N94" s="198"/>
      <c r="Q94" s="238"/>
      <c r="R94" s="238"/>
    </row>
    <row r="95" spans="1:18" ht="26.4" x14ac:dyDescent="0.25">
      <c r="A95" s="192" t="str">
        <f>'1. Detailed Budget.2 '!$A$52</f>
        <v>Total Coordinación del Proyecto</v>
      </c>
      <c r="B95" s="193" t="s">
        <v>93</v>
      </c>
      <c r="C95" s="192" t="s">
        <v>313</v>
      </c>
      <c r="D95" s="192" t="s">
        <v>147</v>
      </c>
      <c r="E95" s="192" t="s">
        <v>124</v>
      </c>
      <c r="F95" s="194">
        <f>'1. Detailed Budget.2 '!B69</f>
        <v>75000</v>
      </c>
      <c r="G95" s="195">
        <v>1</v>
      </c>
      <c r="H95" s="196">
        <v>0</v>
      </c>
      <c r="I95" s="194">
        <f>'1. Detailed Budget.2 '!F69</f>
        <v>3</v>
      </c>
      <c r="J95" s="192" t="s">
        <v>102</v>
      </c>
      <c r="K95" s="192" t="s">
        <v>118</v>
      </c>
      <c r="L95" s="199">
        <v>44272</v>
      </c>
      <c r="M95" s="199">
        <v>44333</v>
      </c>
      <c r="N95" s="198"/>
      <c r="Q95" s="238"/>
      <c r="R95" s="238"/>
    </row>
    <row r="96" spans="1:18" ht="16.2" thickBot="1" x14ac:dyDescent="0.35">
      <c r="F96" s="242">
        <f>SUM(F69:F95)</f>
        <v>1765800</v>
      </c>
      <c r="Q96" s="238" t="s">
        <v>149</v>
      </c>
      <c r="R96" s="238" t="s">
        <v>150</v>
      </c>
    </row>
    <row r="97" spans="1:18" ht="15.75" customHeight="1" x14ac:dyDescent="0.25">
      <c r="B97" s="422" t="s">
        <v>151</v>
      </c>
      <c r="C97" s="423"/>
      <c r="D97" s="423"/>
      <c r="E97" s="423"/>
      <c r="F97" s="423"/>
      <c r="G97" s="423"/>
      <c r="H97" s="423"/>
      <c r="I97" s="423"/>
      <c r="J97" s="423"/>
      <c r="K97" s="423"/>
      <c r="L97" s="423"/>
      <c r="M97" s="423"/>
      <c r="N97" s="424"/>
      <c r="Q97" s="238" t="s">
        <v>152</v>
      </c>
      <c r="R97" s="238" t="s">
        <v>150</v>
      </c>
    </row>
    <row r="98" spans="1:18" ht="15" customHeight="1" x14ac:dyDescent="0.25">
      <c r="A98" s="433"/>
      <c r="B98" s="433" t="s">
        <v>105</v>
      </c>
      <c r="C98" s="432" t="s">
        <v>106</v>
      </c>
      <c r="D98" s="432" t="s">
        <v>319</v>
      </c>
      <c r="E98" s="447"/>
      <c r="F98" s="447"/>
      <c r="G98" s="434" t="s">
        <v>109</v>
      </c>
      <c r="H98" s="434"/>
      <c r="I98" s="434"/>
      <c r="J98" s="432" t="s">
        <v>110</v>
      </c>
      <c r="K98" s="432" t="s">
        <v>320</v>
      </c>
      <c r="L98" s="426" t="s">
        <v>111</v>
      </c>
      <c r="M98" s="426"/>
      <c r="N98" s="438" t="s">
        <v>321</v>
      </c>
      <c r="Q98" s="238"/>
      <c r="R98" s="238" t="s">
        <v>153</v>
      </c>
    </row>
    <row r="99" spans="1:18" ht="39.6" x14ac:dyDescent="0.25">
      <c r="A99" s="433"/>
      <c r="B99" s="433"/>
      <c r="C99" s="432"/>
      <c r="D99" s="432"/>
      <c r="E99" s="432" t="s">
        <v>108</v>
      </c>
      <c r="F99" s="432"/>
      <c r="G99" s="239" t="s">
        <v>113</v>
      </c>
      <c r="H99" s="240" t="s">
        <v>114</v>
      </c>
      <c r="I99" s="207" t="s">
        <v>115</v>
      </c>
      <c r="J99" s="432"/>
      <c r="K99" s="432"/>
      <c r="L99" s="208" t="s">
        <v>138</v>
      </c>
      <c r="M99" s="208" t="s">
        <v>117</v>
      </c>
      <c r="N99" s="438"/>
      <c r="Q99" s="238"/>
      <c r="R99" s="238" t="s">
        <v>153</v>
      </c>
    </row>
    <row r="100" spans="1:18" x14ac:dyDescent="0.25">
      <c r="A100" s="193"/>
      <c r="B100" s="193"/>
      <c r="C100" s="192"/>
      <c r="D100" s="192"/>
      <c r="E100" s="441"/>
      <c r="F100" s="442"/>
      <c r="G100" s="192"/>
      <c r="H100" s="201"/>
      <c r="I100" s="243"/>
      <c r="J100" s="196"/>
      <c r="K100" s="192"/>
      <c r="L100" s="244"/>
      <c r="M100" s="244"/>
      <c r="N100" s="198"/>
      <c r="Q100" s="82"/>
      <c r="R100" s="82"/>
    </row>
    <row r="101" spans="1:18" ht="14.4" thickBot="1" x14ac:dyDescent="0.3">
      <c r="A101" s="211"/>
      <c r="B101" s="211"/>
      <c r="C101" s="212"/>
      <c r="D101" s="212"/>
      <c r="E101" s="445"/>
      <c r="F101" s="446"/>
      <c r="G101" s="212"/>
      <c r="H101" s="213"/>
      <c r="I101" s="245"/>
      <c r="J101" s="214"/>
      <c r="K101" s="212"/>
      <c r="L101" s="246"/>
      <c r="M101" s="246"/>
      <c r="N101" s="216"/>
      <c r="Q101" s="238" t="s">
        <v>154</v>
      </c>
      <c r="R101" s="238" t="s">
        <v>132</v>
      </c>
    </row>
    <row r="102" spans="1:18" ht="14.4" thickBot="1" x14ac:dyDescent="0.3">
      <c r="A102" s="234"/>
      <c r="B102" s="234"/>
      <c r="C102" s="234"/>
      <c r="D102" s="234"/>
      <c r="E102" s="234"/>
      <c r="F102" s="234"/>
      <c r="G102" s="234"/>
      <c r="H102" s="247"/>
      <c r="I102" s="236"/>
      <c r="J102" s="235"/>
      <c r="K102" s="234"/>
      <c r="L102" s="237"/>
      <c r="M102" s="237"/>
      <c r="N102" s="234"/>
      <c r="Q102" s="238"/>
      <c r="R102" s="238"/>
    </row>
    <row r="103" spans="1:18" ht="15.75" customHeight="1" x14ac:dyDescent="0.25">
      <c r="B103" s="422" t="s">
        <v>155</v>
      </c>
      <c r="C103" s="423"/>
      <c r="D103" s="423"/>
      <c r="E103" s="423"/>
      <c r="F103" s="423"/>
      <c r="G103" s="423"/>
      <c r="H103" s="423"/>
      <c r="I103" s="423"/>
      <c r="J103" s="423"/>
      <c r="K103" s="423"/>
      <c r="L103" s="423"/>
      <c r="M103" s="423"/>
      <c r="N103" s="424"/>
      <c r="Q103" s="238" t="s">
        <v>156</v>
      </c>
      <c r="R103" s="238" t="s">
        <v>132</v>
      </c>
    </row>
    <row r="104" spans="1:18" ht="15" customHeight="1" x14ac:dyDescent="0.25">
      <c r="A104" s="433"/>
      <c r="B104" s="433" t="s">
        <v>105</v>
      </c>
      <c r="C104" s="432" t="s">
        <v>157</v>
      </c>
      <c r="D104" s="432"/>
      <c r="E104" s="432" t="s">
        <v>108</v>
      </c>
      <c r="F104" s="432"/>
      <c r="G104" s="434" t="s">
        <v>109</v>
      </c>
      <c r="H104" s="434"/>
      <c r="I104" s="434"/>
      <c r="J104" s="432" t="s">
        <v>110</v>
      </c>
      <c r="K104" s="448" t="s">
        <v>158</v>
      </c>
      <c r="L104" s="426" t="s">
        <v>111</v>
      </c>
      <c r="M104" s="426"/>
      <c r="N104" s="449" t="s">
        <v>159</v>
      </c>
      <c r="Q104" s="238" t="s">
        <v>160</v>
      </c>
      <c r="R104" s="238" t="s">
        <v>132</v>
      </c>
    </row>
    <row r="105" spans="1:18" ht="66" x14ac:dyDescent="0.25">
      <c r="A105" s="433"/>
      <c r="B105" s="433"/>
      <c r="C105" s="432"/>
      <c r="D105" s="432"/>
      <c r="E105" s="432"/>
      <c r="F105" s="432"/>
      <c r="G105" s="239" t="s">
        <v>113</v>
      </c>
      <c r="H105" s="239" t="s">
        <v>114</v>
      </c>
      <c r="I105" s="206" t="s">
        <v>115</v>
      </c>
      <c r="J105" s="432"/>
      <c r="K105" s="448"/>
      <c r="L105" s="208" t="s">
        <v>161</v>
      </c>
      <c r="M105" s="208" t="s">
        <v>162</v>
      </c>
      <c r="N105" s="450"/>
      <c r="Q105" s="238" t="s">
        <v>163</v>
      </c>
      <c r="R105" s="238" t="s">
        <v>132</v>
      </c>
    </row>
    <row r="106" spans="1:18" x14ac:dyDescent="0.25">
      <c r="A106" s="193"/>
      <c r="B106" s="193"/>
      <c r="C106" s="192"/>
      <c r="D106" s="202"/>
      <c r="E106" s="444"/>
      <c r="F106" s="444"/>
      <c r="G106" s="192"/>
      <c r="H106" s="192"/>
      <c r="I106" s="248"/>
      <c r="J106" s="196"/>
      <c r="K106" s="196"/>
      <c r="L106" s="244"/>
      <c r="M106" s="244"/>
      <c r="N106" s="198"/>
      <c r="Q106" s="238" t="s">
        <v>164</v>
      </c>
      <c r="R106" s="238" t="s">
        <v>144</v>
      </c>
    </row>
    <row r="107" spans="1:18" ht="14.4" thickBot="1" x14ac:dyDescent="0.3">
      <c r="A107" s="211"/>
      <c r="B107" s="211"/>
      <c r="C107" s="212"/>
      <c r="D107" s="249"/>
      <c r="E107" s="443"/>
      <c r="F107" s="443"/>
      <c r="G107" s="212"/>
      <c r="H107" s="212"/>
      <c r="I107" s="250"/>
      <c r="J107" s="214"/>
      <c r="K107" s="214"/>
      <c r="L107" s="246"/>
      <c r="M107" s="246"/>
      <c r="N107" s="216"/>
      <c r="Q107" s="238" t="s">
        <v>165</v>
      </c>
      <c r="R107" s="238" t="s">
        <v>144</v>
      </c>
    </row>
    <row r="108" spans="1:18" ht="14.4" thickBot="1" x14ac:dyDescent="0.3">
      <c r="Q108" s="82"/>
      <c r="R108" s="238" t="s">
        <v>144</v>
      </c>
    </row>
    <row r="109" spans="1:18" ht="15.6" x14ac:dyDescent="0.25">
      <c r="B109" s="422" t="s">
        <v>166</v>
      </c>
      <c r="C109" s="423"/>
      <c r="D109" s="423"/>
      <c r="E109" s="423"/>
      <c r="F109" s="423"/>
      <c r="G109" s="423"/>
      <c r="H109" s="423"/>
      <c r="I109" s="423"/>
      <c r="J109" s="423"/>
      <c r="K109" s="423"/>
      <c r="L109" s="423"/>
      <c r="M109" s="423"/>
      <c r="N109" s="424"/>
      <c r="Q109" s="82"/>
      <c r="R109" s="238"/>
    </row>
    <row r="110" spans="1:18" x14ac:dyDescent="0.25">
      <c r="A110" s="433"/>
      <c r="B110" s="433" t="s">
        <v>105</v>
      </c>
      <c r="C110" s="432" t="s">
        <v>157</v>
      </c>
      <c r="D110" s="432" t="s">
        <v>319</v>
      </c>
      <c r="E110" s="432" t="s">
        <v>108</v>
      </c>
      <c r="F110" s="432"/>
      <c r="G110" s="434" t="s">
        <v>109</v>
      </c>
      <c r="H110" s="434"/>
      <c r="I110" s="434"/>
      <c r="J110" s="432" t="s">
        <v>110</v>
      </c>
      <c r="K110" s="432" t="s">
        <v>320</v>
      </c>
      <c r="L110" s="426" t="s">
        <v>111</v>
      </c>
      <c r="M110" s="426"/>
      <c r="N110" s="438" t="s">
        <v>321</v>
      </c>
      <c r="Q110" s="82"/>
      <c r="R110" s="82"/>
    </row>
    <row r="111" spans="1:18" ht="39.6" x14ac:dyDescent="0.25">
      <c r="A111" s="433"/>
      <c r="B111" s="433"/>
      <c r="C111" s="432"/>
      <c r="D111" s="432"/>
      <c r="E111" s="432"/>
      <c r="F111" s="432"/>
      <c r="G111" s="239" t="s">
        <v>113</v>
      </c>
      <c r="H111" s="239" t="s">
        <v>114</v>
      </c>
      <c r="I111" s="206" t="s">
        <v>115</v>
      </c>
      <c r="J111" s="432"/>
      <c r="K111" s="432"/>
      <c r="L111" s="208" t="s">
        <v>138</v>
      </c>
      <c r="M111" s="208" t="s">
        <v>117</v>
      </c>
      <c r="N111" s="438"/>
      <c r="Q111" s="238" t="s">
        <v>167</v>
      </c>
      <c r="R111" s="238" t="s">
        <v>148</v>
      </c>
    </row>
    <row r="112" spans="1:18" ht="66" x14ac:dyDescent="0.25">
      <c r="A112" s="193"/>
      <c r="B112" s="193" t="s">
        <v>93</v>
      </c>
      <c r="C112" s="192" t="s">
        <v>168</v>
      </c>
      <c r="D112" s="202" t="s">
        <v>169</v>
      </c>
      <c r="E112" s="444" t="s">
        <v>169</v>
      </c>
      <c r="F112" s="444"/>
      <c r="G112" s="200">
        <v>5119</v>
      </c>
      <c r="H112" s="196">
        <v>1</v>
      </c>
      <c r="I112" s="201">
        <v>0</v>
      </c>
      <c r="J112" s="192" t="s">
        <v>102</v>
      </c>
      <c r="K112" s="196" t="s">
        <v>124</v>
      </c>
      <c r="L112" s="196" t="s">
        <v>124</v>
      </c>
      <c r="M112" s="196" t="s">
        <v>124</v>
      </c>
      <c r="N112" s="198" t="s">
        <v>170</v>
      </c>
      <c r="Q112" s="82"/>
      <c r="R112" s="82"/>
    </row>
    <row r="113" spans="1:18" x14ac:dyDescent="0.25">
      <c r="A113" s="193"/>
      <c r="B113" s="193"/>
      <c r="C113" s="192"/>
      <c r="D113" s="202"/>
      <c r="E113" s="444"/>
      <c r="F113" s="444"/>
      <c r="G113" s="251">
        <f>+G112</f>
        <v>5119</v>
      </c>
      <c r="H113" s="192"/>
      <c r="I113" s="248"/>
      <c r="J113" s="196"/>
      <c r="K113" s="196"/>
      <c r="L113" s="244"/>
      <c r="M113" s="244"/>
      <c r="N113" s="198"/>
      <c r="Q113" s="238" t="s">
        <v>171</v>
      </c>
      <c r="R113" s="238" t="s">
        <v>150</v>
      </c>
    </row>
    <row r="114" spans="1:18" x14ac:dyDescent="0.25">
      <c r="Q114" s="238" t="s">
        <v>172</v>
      </c>
      <c r="R114" s="238" t="s">
        <v>150</v>
      </c>
    </row>
    <row r="115" spans="1:18" s="252" customFormat="1" x14ac:dyDescent="0.25">
      <c r="B115" s="252" t="s">
        <v>10</v>
      </c>
      <c r="G115" s="227">
        <f>+G113+F96+G64+G25+G17+G8</f>
        <v>15000000</v>
      </c>
      <c r="H115" s="253"/>
      <c r="I115" s="254"/>
      <c r="L115" s="255"/>
      <c r="M115" s="255"/>
      <c r="Q115" s="90"/>
      <c r="R115" s="90"/>
    </row>
    <row r="116" spans="1:18" x14ac:dyDescent="0.25">
      <c r="Q116" s="209"/>
      <c r="R116" s="209"/>
    </row>
    <row r="117" spans="1:18" x14ac:dyDescent="0.25">
      <c r="Q117" s="238" t="s">
        <v>173</v>
      </c>
      <c r="R117" s="82"/>
    </row>
    <row r="118" spans="1:18" x14ac:dyDescent="0.25">
      <c r="Q118" s="238" t="s">
        <v>152</v>
      </c>
      <c r="R118" s="82"/>
    </row>
    <row r="119" spans="1:18" x14ac:dyDescent="0.25">
      <c r="Q119" s="209"/>
      <c r="R119" s="209"/>
    </row>
    <row r="120" spans="1:18" x14ac:dyDescent="0.25">
      <c r="Q120" s="209"/>
      <c r="R120" s="209"/>
    </row>
    <row r="121" spans="1:18" x14ac:dyDescent="0.25">
      <c r="Q121" s="205" t="s">
        <v>134</v>
      </c>
      <c r="R121" s="82"/>
    </row>
    <row r="122" spans="1:18" x14ac:dyDescent="0.25">
      <c r="Q122" s="205" t="s">
        <v>130</v>
      </c>
      <c r="R122" s="82"/>
    </row>
    <row r="123" spans="1:18" x14ac:dyDescent="0.25">
      <c r="Q123" s="205" t="s">
        <v>147</v>
      </c>
      <c r="R123" s="82"/>
    </row>
    <row r="124" spans="1:18" x14ac:dyDescent="0.25">
      <c r="Q124" s="205" t="s">
        <v>104</v>
      </c>
      <c r="R124" s="209"/>
    </row>
  </sheetData>
  <autoFilter ref="J1:J124" xr:uid="{820CDC7F-1BC4-4582-980E-5D1422DF53A7}"/>
  <mergeCells count="101">
    <mergeCell ref="N110:N111"/>
    <mergeCell ref="E112:F112"/>
    <mergeCell ref="E113:F113"/>
    <mergeCell ref="B104:B105"/>
    <mergeCell ref="C104:C105"/>
    <mergeCell ref="D104:D105"/>
    <mergeCell ref="E104:F105"/>
    <mergeCell ref="G104:I104"/>
    <mergeCell ref="J104:J105"/>
    <mergeCell ref="K104:K105"/>
    <mergeCell ref="J110:J111"/>
    <mergeCell ref="K110:K111"/>
    <mergeCell ref="L110:M110"/>
    <mergeCell ref="L104:M104"/>
    <mergeCell ref="N104:N105"/>
    <mergeCell ref="B110:B111"/>
    <mergeCell ref="C110:C111"/>
    <mergeCell ref="D110:D111"/>
    <mergeCell ref="E110:F111"/>
    <mergeCell ref="G110:I110"/>
    <mergeCell ref="A4:A5"/>
    <mergeCell ref="A10:A11"/>
    <mergeCell ref="A19:A20"/>
    <mergeCell ref="A27:A28"/>
    <mergeCell ref="A67:A68"/>
    <mergeCell ref="A12:A13"/>
    <mergeCell ref="A110:A111"/>
    <mergeCell ref="E100:F100"/>
    <mergeCell ref="J98:J99"/>
    <mergeCell ref="A98:A99"/>
    <mergeCell ref="E107:F107"/>
    <mergeCell ref="B109:N109"/>
    <mergeCell ref="E106:F106"/>
    <mergeCell ref="E101:F101"/>
    <mergeCell ref="B103:N103"/>
    <mergeCell ref="A104:A105"/>
    <mergeCell ref="B98:B99"/>
    <mergeCell ref="C98:C99"/>
    <mergeCell ref="D98:D99"/>
    <mergeCell ref="E98:F98"/>
    <mergeCell ref="G98:I98"/>
    <mergeCell ref="K98:K99"/>
    <mergeCell ref="L98:M98"/>
    <mergeCell ref="N98:N99"/>
    <mergeCell ref="E99:F99"/>
    <mergeCell ref="N19:N20"/>
    <mergeCell ref="B26:N26"/>
    <mergeCell ref="B97:N97"/>
    <mergeCell ref="J27:J28"/>
    <mergeCell ref="K27:K28"/>
    <mergeCell ref="L27:M27"/>
    <mergeCell ref="N27:N28"/>
    <mergeCell ref="B66:N66"/>
    <mergeCell ref="B67:B68"/>
    <mergeCell ref="C67:C68"/>
    <mergeCell ref="D67:D68"/>
    <mergeCell ref="E67:E68"/>
    <mergeCell ref="F67:H67"/>
    <mergeCell ref="B27:B28"/>
    <mergeCell ref="C27:C28"/>
    <mergeCell ref="D27:D28"/>
    <mergeCell ref="E27:F27"/>
    <mergeCell ref="G27:I27"/>
    <mergeCell ref="I67:I68"/>
    <mergeCell ref="J67:J68"/>
    <mergeCell ref="K67:K68"/>
    <mergeCell ref="L67:M67"/>
    <mergeCell ref="N67:N68"/>
    <mergeCell ref="B19:B20"/>
    <mergeCell ref="C19:C20"/>
    <mergeCell ref="D19:D20"/>
    <mergeCell ref="E19:E20"/>
    <mergeCell ref="F19:F20"/>
    <mergeCell ref="G19:I19"/>
    <mergeCell ref="J19:J20"/>
    <mergeCell ref="K19:K20"/>
    <mergeCell ref="L19:M19"/>
    <mergeCell ref="A69:A71"/>
    <mergeCell ref="B3:N3"/>
    <mergeCell ref="B4:B5"/>
    <mergeCell ref="C4:C5"/>
    <mergeCell ref="D4:D5"/>
    <mergeCell ref="E4:E5"/>
    <mergeCell ref="F4:F5"/>
    <mergeCell ref="G4:I4"/>
    <mergeCell ref="J4:J5"/>
    <mergeCell ref="K4:K5"/>
    <mergeCell ref="L4:M4"/>
    <mergeCell ref="N4:N5"/>
    <mergeCell ref="B9:N9"/>
    <mergeCell ref="B10:B11"/>
    <mergeCell ref="C10:C11"/>
    <mergeCell ref="D10:D11"/>
    <mergeCell ref="E10:E11"/>
    <mergeCell ref="F10:F11"/>
    <mergeCell ref="G10:I10"/>
    <mergeCell ref="J10:J11"/>
    <mergeCell ref="K10:K11"/>
    <mergeCell ref="L10:M10"/>
    <mergeCell ref="N10:N11"/>
    <mergeCell ref="B18:N18"/>
  </mergeCells>
  <dataValidations count="5">
    <dataValidation type="list" allowBlank="1" showInputMessage="1" showErrorMessage="1" sqref="D100:D102 D94 D29:D64" xr:uid="{F0C731F5-72AE-45FF-AC4C-048751AAF450}">
      <formula1>$Q$25:$Q$28</formula1>
    </dataValidation>
    <dataValidation type="list" allowBlank="1" showInputMessage="1" showErrorMessage="1" sqref="K6:K7 K21:K24 K100:K101 K12:K16 K69:K95 K29:K64" xr:uid="{B37069A3-92A8-4440-8604-7DE0957D07D3}">
      <formula1>$Q$3:$Q$5</formula1>
    </dataValidation>
    <dataValidation type="list" allowBlank="1" showInputMessage="1" showErrorMessage="1" sqref="D6:D7 D16 D21:D24" xr:uid="{2A7F7A9C-5514-4FFA-9A0D-ABD7B9C8F250}">
      <formula1>$Q$17:$Q$20</formula1>
    </dataValidation>
    <dataValidation type="list" allowBlank="1" showInputMessage="1" showErrorMessage="1" sqref="K102" xr:uid="{9EC54763-0750-44A4-B58A-61FFB1B67F81}">
      <formula1>$Q$3:$Q$4</formula1>
    </dataValidation>
    <dataValidation type="list" allowBlank="1" showInputMessage="1" showErrorMessage="1" sqref="D95 D69:D93" xr:uid="{8D21A330-72D2-4EBA-AFB3-3835D46622EC}">
      <formula1>$Q$121:$Q$124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7"/>
  <sheetViews>
    <sheetView topLeftCell="A7" workbookViewId="0">
      <selection activeCell="A20" sqref="A20"/>
    </sheetView>
  </sheetViews>
  <sheetFormatPr defaultColWidth="8.69921875" defaultRowHeight="15.6" x14ac:dyDescent="0.3"/>
  <cols>
    <col min="1" max="1" width="41.19921875" customWidth="1"/>
    <col min="2" max="3" width="32" customWidth="1"/>
  </cols>
  <sheetData>
    <row r="1" spans="1:3" ht="16.2" thickBot="1" x14ac:dyDescent="0.35">
      <c r="A1" s="454"/>
      <c r="B1" s="454"/>
      <c r="C1" s="454"/>
    </row>
    <row r="2" spans="1:3" x14ac:dyDescent="0.3">
      <c r="A2" s="455" t="s">
        <v>100</v>
      </c>
      <c r="B2" s="456"/>
      <c r="C2" s="457"/>
    </row>
    <row r="3" spans="1:3" x14ac:dyDescent="0.3">
      <c r="A3" s="86" t="s">
        <v>31</v>
      </c>
      <c r="B3" s="87" t="s">
        <v>32</v>
      </c>
      <c r="C3" s="88" t="s">
        <v>33</v>
      </c>
    </row>
    <row r="4" spans="1:3" ht="16.2" thickBot="1" x14ac:dyDescent="0.35">
      <c r="A4" s="15" t="s">
        <v>34</v>
      </c>
      <c r="B4" s="16">
        <v>43560</v>
      </c>
      <c r="C4" s="16">
        <f>B4+(365*5)</f>
        <v>45385</v>
      </c>
    </row>
    <row r="5" spans="1:3" x14ac:dyDescent="0.3">
      <c r="A5" s="458"/>
      <c r="B5" s="458"/>
      <c r="C5" s="458"/>
    </row>
    <row r="6" spans="1:3" x14ac:dyDescent="0.3">
      <c r="A6" s="459" t="s">
        <v>35</v>
      </c>
      <c r="B6" s="460"/>
      <c r="C6" s="461"/>
    </row>
    <row r="7" spans="1:3" ht="16.2" thickBot="1" x14ac:dyDescent="0.35">
      <c r="A7" s="17"/>
      <c r="B7" s="462"/>
      <c r="C7" s="463"/>
    </row>
    <row r="8" spans="1:3" ht="16.2" thickBot="1" x14ac:dyDescent="0.35">
      <c r="A8" s="458"/>
      <c r="B8" s="458"/>
      <c r="C8" s="458"/>
    </row>
    <row r="9" spans="1:3" x14ac:dyDescent="0.3">
      <c r="A9" s="451" t="s">
        <v>36</v>
      </c>
      <c r="B9" s="452"/>
      <c r="C9" s="453"/>
    </row>
    <row r="10" spans="1:3" ht="31.2" x14ac:dyDescent="0.3">
      <c r="A10" s="81" t="s">
        <v>101</v>
      </c>
      <c r="B10" s="85" t="s">
        <v>37</v>
      </c>
      <c r="C10" s="81" t="s">
        <v>38</v>
      </c>
    </row>
    <row r="11" spans="1:3" x14ac:dyDescent="0.3">
      <c r="A11" s="18" t="s">
        <v>28</v>
      </c>
      <c r="B11" s="49">
        <f>+'3. Procurement Plan - PA'!F96</f>
        <v>1765800</v>
      </c>
      <c r="C11" s="49">
        <f>+B11</f>
        <v>1765800</v>
      </c>
    </row>
    <row r="12" spans="1:3" x14ac:dyDescent="0.3">
      <c r="A12" s="18" t="s">
        <v>29</v>
      </c>
      <c r="B12" s="49">
        <f>+'3. Procurement Plan - PA'!G64</f>
        <v>12885255</v>
      </c>
      <c r="C12" s="49">
        <f>+B12</f>
        <v>12885255</v>
      </c>
    </row>
    <row r="13" spans="1:3" x14ac:dyDescent="0.3">
      <c r="A13" s="18" t="s">
        <v>4</v>
      </c>
      <c r="B13" s="49">
        <f>+'3. Procurement Plan - PA'!G17</f>
        <v>103826</v>
      </c>
      <c r="C13" s="49">
        <f>+B13</f>
        <v>103826</v>
      </c>
    </row>
    <row r="14" spans="1:3" x14ac:dyDescent="0.3">
      <c r="A14" s="19" t="s">
        <v>30</v>
      </c>
      <c r="B14" s="49">
        <f>+'3. Procurement Plan - PA'!G25</f>
        <v>240000</v>
      </c>
      <c r="C14" s="49">
        <f>+B14</f>
        <v>240000</v>
      </c>
    </row>
    <row r="15" spans="1:3" x14ac:dyDescent="0.3">
      <c r="A15" s="259" t="s">
        <v>326</v>
      </c>
      <c r="B15" s="260">
        <f>+'3. Procurement Plan - PA'!G113</f>
        <v>5119</v>
      </c>
      <c r="C15" s="260">
        <f>+B15</f>
        <v>5119</v>
      </c>
    </row>
    <row r="16" spans="1:3" x14ac:dyDescent="0.3">
      <c r="A16" s="81" t="s">
        <v>10</v>
      </c>
      <c r="B16" s="186">
        <f>SUM(B11:B15)</f>
        <v>15000000</v>
      </c>
      <c r="C16" s="186">
        <f>SUM(C11:C15)</f>
        <v>15000000</v>
      </c>
    </row>
    <row r="17" spans="1:3" ht="16.2" thickBot="1" x14ac:dyDescent="0.35"/>
    <row r="18" spans="1:3" x14ac:dyDescent="0.3">
      <c r="A18" s="451" t="s">
        <v>39</v>
      </c>
      <c r="B18" s="452"/>
      <c r="C18" s="453"/>
    </row>
    <row r="19" spans="1:3" ht="31.2" x14ac:dyDescent="0.3">
      <c r="A19" s="81" t="s">
        <v>40</v>
      </c>
      <c r="B19" s="81" t="s">
        <v>37</v>
      </c>
      <c r="C19" s="81" t="s">
        <v>41</v>
      </c>
    </row>
    <row r="20" spans="1:3" ht="39.6" customHeight="1" x14ac:dyDescent="0.3">
      <c r="A20" s="50" t="str">
        <f>'1. Detailed Budget.2 '!C7</f>
        <v>Componente 1. Fortalecimiento de los procesos de gestión de la preinversión y de la coordinación con el ciclo de IP</v>
      </c>
      <c r="B20" s="185">
        <f>+'3. Procurement Plan - PA'!G12+'3. Procurement Plan - PA'!G13+'3. Procurement Plan - PA'!G29+'3. Procurement Plan - PA'!G30+'3. Procurement Plan - PA'!G31+'3. Procurement Plan - PA'!F69+'3. Procurement Plan - PA'!F70+'3. Procurement Plan - PA'!F71+'3. Procurement Plan - PA'!F72+'3. Procurement Plan - PA'!F73+'3. Procurement Plan - PA'!G14</f>
        <v>929301</v>
      </c>
      <c r="C20" s="185">
        <f>+B20</f>
        <v>929301</v>
      </c>
    </row>
    <row r="21" spans="1:3" ht="24" customHeight="1" x14ac:dyDescent="0.3">
      <c r="A21" s="50" t="str">
        <f>'1. Detailed Budget.2 '!C18</f>
        <v xml:space="preserve">Componente 2. Apoyo a la financiación de la preinversión </v>
      </c>
      <c r="B21" s="185">
        <f>+'3. Procurement Plan - PA'!G21+'3. Procurement Plan - PA'!G32+'3. Procurement Plan - PA'!G33+'3. Procurement Plan - PA'!G34+'3. Procurement Plan - PA'!G35+'3. Procurement Plan - PA'!G36+'3. Procurement Plan - PA'!G37+'3. Procurement Plan - PA'!G38+'3. Procurement Plan - PA'!G39+'3. Procurement Plan - PA'!G40+'3. Procurement Plan - PA'!G41+'3. Procurement Plan - PA'!G42+'3. Procurement Plan - PA'!G43+'3. Procurement Plan - PA'!G44+'3. Procurement Plan - PA'!G45+'3. Procurement Plan - PA'!G46+'3. Procurement Plan - PA'!G47+'3. Procurement Plan - PA'!G48+'3. Procurement Plan - PA'!G49+'3. Procurement Plan - PA'!G50+'3. Procurement Plan - PA'!G51+'3. Procurement Plan - PA'!G52+'3. Procurement Plan - PA'!G53+'3. Procurement Plan - PA'!G54+'3. Procurement Plan - PA'!G55+'3. Procurement Plan - PA'!G56+'3. Procurement Plan - PA'!G57+'3. Procurement Plan - PA'!G58+'3. Procurement Plan - PA'!G59+'3. Procurement Plan - PA'!G60+'3. Procurement Plan - PA'!G61+'3. Procurement Plan - PA'!F74+'3. Procurement Plan - PA'!F80</f>
        <v>12232720</v>
      </c>
      <c r="C21" s="185">
        <f>+B21</f>
        <v>12232720</v>
      </c>
    </row>
    <row r="22" spans="1:3" ht="24" customHeight="1" x14ac:dyDescent="0.3">
      <c r="A22" s="50" t="str">
        <f>'1. Detailed Budget.2 '!C38</f>
        <v xml:space="preserve">Componente 3. Mejora de las capacidades de gestión de la preinversión </v>
      </c>
      <c r="B22" s="185">
        <f>+'3. Procurement Plan - PA'!G15+'3. Procurement Plan - PA'!G22+'3. Procurement Plan - PA'!G23+'3. Procurement Plan - PA'!G62+'3. Procurement Plan - PA'!G63+'3. Procurement Plan - PA'!F75+'3. Procurement Plan - PA'!F76+'3. Procurement Plan - PA'!F77+'3. Procurement Plan - PA'!F78+'3. Procurement Plan - PA'!F79</f>
        <v>712860</v>
      </c>
      <c r="C22" s="185">
        <f>+B22</f>
        <v>712860</v>
      </c>
    </row>
    <row r="23" spans="1:3" x14ac:dyDescent="0.3">
      <c r="A23" s="51" t="s">
        <v>102</v>
      </c>
      <c r="B23" s="185">
        <f>+'3. Procurement Plan - PA'!F81+'3. Procurement Plan - PA'!F82+'3. Procurement Plan - PA'!F83+'3. Procurement Plan - PA'!F84+'3. Procurement Plan - PA'!F85+'3. Procurement Plan - PA'!F86+'3. Procurement Plan - PA'!F87+'3. Procurement Plan - PA'!F88+'3. Procurement Plan - PA'!F89+'3. Procurement Plan - PA'!F90+'3. Procurement Plan - PA'!F91+'3. Procurement Plan - PA'!F92+'3. Procurement Plan - PA'!F93+'3. Procurement Plan - PA'!F94+'3. Procurement Plan - PA'!F95+'3. Procurement Plan - PA'!G112</f>
        <v>1125119</v>
      </c>
      <c r="C23" s="185">
        <f>+B23</f>
        <v>1125119</v>
      </c>
    </row>
    <row r="24" spans="1:3" x14ac:dyDescent="0.3">
      <c r="A24" s="81" t="s">
        <v>10</v>
      </c>
      <c r="B24" s="186">
        <f>SUM(B20:B23)</f>
        <v>15000000</v>
      </c>
      <c r="C24" s="186">
        <f>SUM(C20:C23)</f>
        <v>15000000</v>
      </c>
    </row>
    <row r="27" spans="1:3" x14ac:dyDescent="0.3">
      <c r="B27" s="12"/>
      <c r="C27" s="184"/>
    </row>
  </sheetData>
  <mergeCells count="8">
    <mergeCell ref="A9:C9"/>
    <mergeCell ref="A18:C18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4D3C9-2CF6-42B9-BEDF-297075047567}">
  <sheetPr>
    <pageSetUpPr fitToPage="1"/>
  </sheetPr>
  <dimension ref="A1:O485"/>
  <sheetViews>
    <sheetView zoomScale="110" zoomScaleNormal="110" workbookViewId="0">
      <pane ySplit="4" topLeftCell="A477" activePane="bottomLeft" state="frozen"/>
      <selection pane="bottomLeft" activeCell="E498" sqref="E498"/>
    </sheetView>
  </sheetViews>
  <sheetFormatPr defaultColWidth="10.19921875" defaultRowHeight="14.4" x14ac:dyDescent="0.3"/>
  <cols>
    <col min="1" max="1" width="4.59765625" style="144" customWidth="1"/>
    <col min="2" max="2" width="45.3984375" style="80" customWidth="1"/>
    <col min="3" max="3" width="9.59765625" style="139" customWidth="1"/>
    <col min="4" max="4" width="12.69921875" style="140" customWidth="1"/>
    <col min="5" max="5" width="12.19921875" style="140" customWidth="1"/>
    <col min="6" max="6" width="14.3984375" style="91" customWidth="1"/>
    <col min="7" max="12" width="15.69921875" style="92" customWidth="1"/>
    <col min="13" max="13" width="10.19921875" style="80"/>
    <col min="14" max="14" width="15.69921875" style="80" customWidth="1"/>
    <col min="15" max="16384" width="10.19921875" style="80"/>
  </cols>
  <sheetData>
    <row r="1" spans="1:15" ht="18" x14ac:dyDescent="0.3">
      <c r="A1" s="464" t="s">
        <v>230</v>
      </c>
      <c r="B1" s="464"/>
      <c r="C1" s="464"/>
      <c r="D1" s="464"/>
      <c r="E1" s="464"/>
    </row>
    <row r="2" spans="1:15" ht="18" x14ac:dyDescent="0.3">
      <c r="A2" s="464" t="s">
        <v>229</v>
      </c>
      <c r="B2" s="464"/>
      <c r="C2" s="464"/>
      <c r="D2" s="464"/>
      <c r="E2" s="464"/>
    </row>
    <row r="3" spans="1:15" ht="18" x14ac:dyDescent="0.3">
      <c r="A3" s="464" t="s">
        <v>181</v>
      </c>
      <c r="B3" s="464"/>
      <c r="C3" s="464"/>
      <c r="D3" s="464"/>
      <c r="E3" s="464"/>
    </row>
    <row r="4" spans="1:15" ht="54.75" customHeight="1" x14ac:dyDescent="0.3">
      <c r="A4" s="93"/>
      <c r="B4" s="94" t="s">
        <v>182</v>
      </c>
      <c r="C4" s="95" t="s">
        <v>183</v>
      </c>
      <c r="D4" s="96" t="s">
        <v>184</v>
      </c>
      <c r="E4" s="96" t="s">
        <v>185</v>
      </c>
      <c r="F4" s="95" t="s">
        <v>186</v>
      </c>
      <c r="G4" s="95" t="s">
        <v>187</v>
      </c>
      <c r="H4" s="95" t="s">
        <v>187</v>
      </c>
      <c r="I4" s="95" t="s">
        <v>188</v>
      </c>
      <c r="J4" s="95" t="s">
        <v>277</v>
      </c>
      <c r="K4" s="95" t="s">
        <v>278</v>
      </c>
      <c r="L4" s="95" t="s">
        <v>279</v>
      </c>
    </row>
    <row r="5" spans="1:15" ht="28.8" x14ac:dyDescent="0.3">
      <c r="A5" s="97">
        <v>0</v>
      </c>
      <c r="B5" s="98" t="s">
        <v>230</v>
      </c>
      <c r="C5" s="93"/>
      <c r="D5" s="99"/>
      <c r="E5" s="99"/>
      <c r="F5" s="100"/>
      <c r="G5" s="100"/>
      <c r="H5" s="100"/>
      <c r="I5" s="100"/>
      <c r="J5" s="100"/>
      <c r="K5" s="100"/>
      <c r="L5" s="100"/>
      <c r="N5" s="84"/>
      <c r="O5" s="101"/>
    </row>
    <row r="6" spans="1:15" ht="21" x14ac:dyDescent="0.3">
      <c r="A6" s="97"/>
      <c r="B6" s="102" t="s">
        <v>189</v>
      </c>
      <c r="C6" s="103"/>
      <c r="D6" s="104"/>
      <c r="E6" s="104">
        <v>43355</v>
      </c>
      <c r="F6" s="100"/>
      <c r="G6" s="100"/>
      <c r="H6" s="100"/>
      <c r="I6" s="100"/>
      <c r="J6" s="100"/>
      <c r="K6" s="100"/>
      <c r="L6" s="100"/>
      <c r="N6" s="84"/>
      <c r="O6" s="101"/>
    </row>
    <row r="7" spans="1:15" ht="21" x14ac:dyDescent="0.3">
      <c r="A7" s="97"/>
      <c r="B7" s="102" t="s">
        <v>190</v>
      </c>
      <c r="C7" s="103">
        <f>+E7-D7</f>
        <v>90</v>
      </c>
      <c r="D7" s="104">
        <f>+E6</f>
        <v>43355</v>
      </c>
      <c r="E7" s="104">
        <f>+D7+90</f>
        <v>43445</v>
      </c>
      <c r="F7" s="100"/>
      <c r="G7" s="100"/>
      <c r="H7" s="100"/>
      <c r="I7" s="100"/>
      <c r="J7" s="100"/>
      <c r="K7" s="100"/>
      <c r="L7" s="100"/>
      <c r="N7" s="84"/>
      <c r="O7" s="101"/>
    </row>
    <row r="8" spans="1:15" ht="21" x14ac:dyDescent="0.3">
      <c r="A8" s="97"/>
      <c r="B8" s="102" t="s">
        <v>191</v>
      </c>
      <c r="C8" s="103">
        <v>60</v>
      </c>
      <c r="D8" s="104">
        <f>+E7</f>
        <v>43445</v>
      </c>
      <c r="E8" s="104">
        <f>+C8+D8</f>
        <v>43505</v>
      </c>
      <c r="F8" s="100"/>
      <c r="G8" s="100"/>
      <c r="H8" s="100"/>
      <c r="I8" s="100"/>
      <c r="J8" s="100"/>
      <c r="K8" s="100"/>
      <c r="L8" s="100"/>
      <c r="N8" s="84"/>
      <c r="O8" s="101"/>
    </row>
    <row r="9" spans="1:15" ht="21" x14ac:dyDescent="0.3">
      <c r="A9" s="97"/>
      <c r="B9" s="102" t="s">
        <v>192</v>
      </c>
      <c r="C9" s="103">
        <f>+E9-D9</f>
        <v>180</v>
      </c>
      <c r="D9" s="104">
        <f>+E8</f>
        <v>43505</v>
      </c>
      <c r="E9" s="104">
        <f>+D9+180</f>
        <v>43685</v>
      </c>
      <c r="F9" s="100"/>
      <c r="G9" s="100"/>
      <c r="H9" s="100"/>
      <c r="I9" s="100"/>
      <c r="J9" s="100"/>
      <c r="K9" s="100"/>
      <c r="L9" s="100"/>
      <c r="N9" s="84"/>
      <c r="O9" s="101"/>
    </row>
    <row r="10" spans="1:15" ht="31.2" customHeight="1" x14ac:dyDescent="0.3">
      <c r="A10" s="105">
        <v>1</v>
      </c>
      <c r="B10" s="106" t="str">
        <f>'1. Detailed Budget.2 '!C7</f>
        <v>Componente 1. Fortalecimiento de los procesos de gestión de la preinversión y de la coordinación con el ciclo de IP</v>
      </c>
      <c r="C10" s="107"/>
      <c r="D10" s="108"/>
      <c r="E10" s="108"/>
      <c r="F10" s="109">
        <f>F11+F23+F35+F47+F59+F71+F83+F95</f>
        <v>855301.2</v>
      </c>
      <c r="G10" s="109" t="e">
        <f t="shared" ref="G10:L10" si="0">+G11+G285</f>
        <v>#REF!</v>
      </c>
      <c r="H10" s="109" t="e">
        <f t="shared" si="0"/>
        <v>#REF!</v>
      </c>
      <c r="I10" s="109" t="e">
        <f t="shared" si="0"/>
        <v>#REF!</v>
      </c>
      <c r="J10" s="109" t="e">
        <f t="shared" si="0"/>
        <v>#REF!</v>
      </c>
      <c r="K10" s="109" t="e">
        <f t="shared" si="0"/>
        <v>#REF!</v>
      </c>
      <c r="L10" s="109" t="e">
        <f t="shared" si="0"/>
        <v>#REF!</v>
      </c>
    </row>
    <row r="11" spans="1:15" ht="86.4" x14ac:dyDescent="0.3">
      <c r="A11" s="110"/>
      <c r="B11" s="111" t="str">
        <f>'1. Detailed Budget.2 '!A8</f>
        <v xml:space="preserve">1.1 Sistema de gestión de la inversión pública (SISIN) fortalecido (incluye: (i) el diseño de un módulo de registro de la preinversión; y (ii) el desarrollo e implementación de una propuesta de interoperabilidad del sistema de registro y gestión de la preinversión con otros sistemas de información nacionales </v>
      </c>
      <c r="C11" s="112"/>
      <c r="D11" s="113"/>
      <c r="E11" s="114"/>
      <c r="F11" s="115">
        <f>F12</f>
        <v>36000</v>
      </c>
      <c r="G11" s="115" t="e">
        <f>+G48+G60+#REF!+G109+G120+G131+G142+G153+G164+G175+G186+G197+G208+G274</f>
        <v>#REF!</v>
      </c>
      <c r="H11" s="115" t="e">
        <f>+H48+H60+#REF!+I109+H120+H131+H142+H153+H164+H175+H186+H197+H208+H274</f>
        <v>#REF!</v>
      </c>
      <c r="I11" s="115" t="e">
        <f>+I48+I60+#REF!+J109+I120+I131+I142+I153+I164+I175+I186+I197+I208+I274</f>
        <v>#REF!</v>
      </c>
      <c r="J11" s="115" t="e">
        <f>+J48+J60+#REF!+K109+J120+J131+J142+J153+J164+J175+J186+J197+J208+J274</f>
        <v>#REF!</v>
      </c>
      <c r="K11" s="115" t="e">
        <f>+K48+K60+#REF!+K109+K120+K131+K142+K153+K164+K175+K186+K197+K208+K274</f>
        <v>#REF!</v>
      </c>
      <c r="L11" s="115" t="e">
        <f>+L48+L60+#REF!+L109+L120+L131+L142+L153+L164+L175+L186+L197+L208+L274</f>
        <v>#REF!</v>
      </c>
    </row>
    <row r="12" spans="1:15" ht="44.4" customHeight="1" x14ac:dyDescent="0.3">
      <c r="B12" s="122" t="str">
        <f>'1. Detailed Budget.2 '!C8</f>
        <v>Consultoría especializada para el desarrollo del Módulo de Preinversión y su incorporación al SISIN (Consultores de línea)</v>
      </c>
      <c r="C12" s="97"/>
      <c r="D12" s="99"/>
      <c r="E12" s="99"/>
      <c r="F12" s="119">
        <f>'1. Detailed Budget.2 '!$G$8</f>
        <v>36000</v>
      </c>
      <c r="G12" s="123"/>
      <c r="H12" s="119">
        <f>+F12*20%</f>
        <v>7200</v>
      </c>
      <c r="I12" s="119">
        <f>+F12*15%</f>
        <v>5400</v>
      </c>
      <c r="J12" s="119">
        <f>+F12*15%</f>
        <v>5400</v>
      </c>
      <c r="K12" s="119">
        <f>+F12*20%</f>
        <v>7200</v>
      </c>
      <c r="L12" s="119">
        <f>+F12*30%</f>
        <v>10800</v>
      </c>
    </row>
    <row r="13" spans="1:15" ht="28.8" x14ac:dyDescent="0.3">
      <c r="B13" s="124" t="s">
        <v>203</v>
      </c>
      <c r="C13" s="97">
        <v>20</v>
      </c>
      <c r="D13" s="99">
        <f>+E58</f>
        <v>44469</v>
      </c>
      <c r="E13" s="99">
        <f>+D13+C13</f>
        <v>44489</v>
      </c>
      <c r="F13" s="119"/>
      <c r="G13" s="123"/>
      <c r="H13" s="123"/>
      <c r="I13" s="123"/>
      <c r="J13" s="123"/>
      <c r="K13" s="123"/>
      <c r="L13" s="123"/>
    </row>
    <row r="14" spans="1:15" x14ac:dyDescent="0.3">
      <c r="B14" s="124" t="s">
        <v>204</v>
      </c>
      <c r="C14" s="97">
        <v>5</v>
      </c>
      <c r="D14" s="99">
        <f>+E13</f>
        <v>44489</v>
      </c>
      <c r="E14" s="99">
        <f>+C14+D14</f>
        <v>44494</v>
      </c>
      <c r="F14" s="119"/>
      <c r="G14" s="123"/>
      <c r="H14" s="123"/>
      <c r="I14" s="123"/>
      <c r="J14" s="123"/>
      <c r="K14" s="123"/>
      <c r="L14" s="123"/>
    </row>
    <row r="15" spans="1:15" x14ac:dyDescent="0.3">
      <c r="B15" s="124" t="s">
        <v>205</v>
      </c>
      <c r="C15" s="97">
        <v>10</v>
      </c>
      <c r="D15" s="99">
        <f>+E14</f>
        <v>44494</v>
      </c>
      <c r="E15" s="99">
        <f>+C15+D15</f>
        <v>44504</v>
      </c>
      <c r="F15" s="119"/>
      <c r="G15" s="123"/>
      <c r="H15" s="123"/>
      <c r="I15" s="123"/>
      <c r="J15" s="123"/>
      <c r="K15" s="123"/>
      <c r="L15" s="123"/>
    </row>
    <row r="16" spans="1:15" x14ac:dyDescent="0.3">
      <c r="B16" s="124" t="s">
        <v>206</v>
      </c>
      <c r="C16" s="97">
        <v>1</v>
      </c>
      <c r="D16" s="99">
        <f t="shared" ref="D16:D22" si="1">+E15</f>
        <v>44504</v>
      </c>
      <c r="E16" s="99">
        <f t="shared" ref="E16:E22" si="2">+C16+D16</f>
        <v>44505</v>
      </c>
      <c r="F16" s="119"/>
      <c r="G16" s="123"/>
      <c r="H16" s="123"/>
      <c r="I16" s="123"/>
      <c r="J16" s="123"/>
      <c r="K16" s="123"/>
      <c r="L16" s="123"/>
    </row>
    <row r="17" spans="2:12" x14ac:dyDescent="0.3">
      <c r="B17" s="124" t="s">
        <v>207</v>
      </c>
      <c r="C17" s="97">
        <v>15</v>
      </c>
      <c r="D17" s="99">
        <f t="shared" si="1"/>
        <v>44505</v>
      </c>
      <c r="E17" s="99">
        <f t="shared" si="2"/>
        <v>44520</v>
      </c>
      <c r="F17" s="119"/>
      <c r="G17" s="123"/>
      <c r="H17" s="123"/>
      <c r="I17" s="123"/>
      <c r="J17" s="123"/>
      <c r="K17" s="123"/>
      <c r="L17" s="123"/>
    </row>
    <row r="18" spans="2:12" x14ac:dyDescent="0.3">
      <c r="B18" s="124" t="s">
        <v>204</v>
      </c>
      <c r="C18" s="97">
        <v>5</v>
      </c>
      <c r="D18" s="99">
        <f t="shared" si="1"/>
        <v>44520</v>
      </c>
      <c r="E18" s="99">
        <f t="shared" si="2"/>
        <v>44525</v>
      </c>
      <c r="F18" s="119"/>
      <c r="G18" s="123"/>
      <c r="H18" s="123"/>
      <c r="I18" s="123"/>
      <c r="J18" s="123"/>
      <c r="K18" s="123"/>
      <c r="L18" s="123"/>
    </row>
    <row r="19" spans="2:12" x14ac:dyDescent="0.3">
      <c r="B19" s="124" t="s">
        <v>208</v>
      </c>
      <c r="C19" s="97">
        <v>1</v>
      </c>
      <c r="D19" s="99">
        <f t="shared" si="1"/>
        <v>44525</v>
      </c>
      <c r="E19" s="99">
        <f t="shared" si="2"/>
        <v>44526</v>
      </c>
      <c r="F19" s="119"/>
      <c r="G19" s="123"/>
      <c r="H19" s="123"/>
      <c r="I19" s="123"/>
      <c r="J19" s="123"/>
      <c r="K19" s="123"/>
      <c r="L19" s="123"/>
    </row>
    <row r="20" spans="2:12" ht="28.8" x14ac:dyDescent="0.3">
      <c r="B20" s="124" t="s">
        <v>209</v>
      </c>
      <c r="C20" s="97">
        <v>15</v>
      </c>
      <c r="D20" s="99">
        <f t="shared" si="1"/>
        <v>44526</v>
      </c>
      <c r="E20" s="99">
        <f t="shared" si="2"/>
        <v>44541</v>
      </c>
      <c r="F20" s="119"/>
      <c r="G20" s="123"/>
      <c r="H20" s="123"/>
      <c r="I20" s="123"/>
      <c r="J20" s="123"/>
      <c r="K20" s="123"/>
      <c r="L20" s="123"/>
    </row>
    <row r="21" spans="2:12" x14ac:dyDescent="0.3">
      <c r="B21" s="124" t="s">
        <v>210</v>
      </c>
      <c r="C21" s="97">
        <v>10</v>
      </c>
      <c r="D21" s="99">
        <f t="shared" si="1"/>
        <v>44541</v>
      </c>
      <c r="E21" s="99">
        <f t="shared" si="2"/>
        <v>44551</v>
      </c>
      <c r="F21" s="119"/>
      <c r="G21" s="123"/>
      <c r="H21" s="123"/>
      <c r="I21" s="123"/>
      <c r="J21" s="123"/>
      <c r="K21" s="123"/>
      <c r="L21" s="123"/>
    </row>
    <row r="22" spans="2:12" x14ac:dyDescent="0.3">
      <c r="B22" s="125" t="s">
        <v>211</v>
      </c>
      <c r="C22" s="97">
        <v>1552</v>
      </c>
      <c r="D22" s="99">
        <f t="shared" si="1"/>
        <v>44551</v>
      </c>
      <c r="E22" s="99">
        <f t="shared" si="2"/>
        <v>46103</v>
      </c>
      <c r="F22" s="119"/>
      <c r="G22" s="123"/>
      <c r="H22" s="123"/>
      <c r="I22" s="123"/>
      <c r="J22" s="123"/>
      <c r="K22" s="123"/>
      <c r="L22" s="123"/>
    </row>
    <row r="23" spans="2:12" ht="53.4" customHeight="1" x14ac:dyDescent="0.3">
      <c r="B23" s="111">
        <f>'1. Detailed Budget.2 '!A11</f>
        <v>0</v>
      </c>
      <c r="C23" s="112"/>
      <c r="D23" s="114"/>
      <c r="E23" s="114"/>
      <c r="F23" s="115">
        <f>F24</f>
        <v>36000</v>
      </c>
      <c r="G23" s="115">
        <f t="shared" ref="G23:L23" si="3">+G24+G36</f>
        <v>0</v>
      </c>
      <c r="H23" s="115">
        <f t="shared" si="3"/>
        <v>0</v>
      </c>
      <c r="I23" s="115">
        <f t="shared" si="3"/>
        <v>400000</v>
      </c>
      <c r="J23" s="115">
        <f t="shared" si="3"/>
        <v>0</v>
      </c>
      <c r="K23" s="115">
        <f t="shared" si="3"/>
        <v>0</v>
      </c>
      <c r="L23" s="115">
        <f t="shared" si="3"/>
        <v>0</v>
      </c>
    </row>
    <row r="24" spans="2:12" ht="72" x14ac:dyDescent="0.3">
      <c r="B24" s="122" t="str">
        <f>'1. Detailed Budget.2 '!C11</f>
        <v>Consultoría especializada para la implementación de Servicios Web para la interoperabilidad con otros sistemas de gestión nacionales (SISIN, SISFIN, SIGEP y SICOES. Incluye del Desarrollo de las interfaces de usuario).</v>
      </c>
      <c r="C24" s="126"/>
      <c r="D24" s="99"/>
      <c r="E24" s="99"/>
      <c r="F24" s="119">
        <f>'1. Detailed Budget.2 '!$G$11</f>
        <v>36000</v>
      </c>
      <c r="G24" s="123"/>
      <c r="H24" s="123"/>
      <c r="I24" s="119">
        <v>200000</v>
      </c>
      <c r="J24" s="123"/>
      <c r="K24" s="123"/>
      <c r="L24" s="123"/>
    </row>
    <row r="25" spans="2:12" x14ac:dyDescent="0.3">
      <c r="B25" s="121" t="s">
        <v>193</v>
      </c>
      <c r="C25" s="117">
        <v>120</v>
      </c>
      <c r="D25" s="118">
        <v>42510</v>
      </c>
      <c r="E25" s="118">
        <f t="shared" ref="E25:E34" si="4">+D25+C25</f>
        <v>42630</v>
      </c>
      <c r="F25" s="119"/>
      <c r="G25" s="123"/>
      <c r="H25" s="123"/>
      <c r="I25" s="119"/>
      <c r="J25" s="123"/>
      <c r="K25" s="123"/>
      <c r="L25" s="123"/>
    </row>
    <row r="26" spans="2:12" x14ac:dyDescent="0.3">
      <c r="B26" s="121" t="s">
        <v>194</v>
      </c>
      <c r="C26" s="117">
        <v>14</v>
      </c>
      <c r="D26" s="118">
        <f t="shared" ref="D26:D34" si="5">+E25</f>
        <v>42630</v>
      </c>
      <c r="E26" s="118">
        <f t="shared" si="4"/>
        <v>42644</v>
      </c>
      <c r="F26" s="119"/>
      <c r="G26" s="123"/>
      <c r="H26" s="123"/>
      <c r="I26" s="119"/>
      <c r="J26" s="123"/>
      <c r="K26" s="123"/>
      <c r="L26" s="123"/>
    </row>
    <row r="27" spans="2:12" x14ac:dyDescent="0.3">
      <c r="B27" s="121" t="s">
        <v>195</v>
      </c>
      <c r="C27" s="117">
        <v>7</v>
      </c>
      <c r="D27" s="118">
        <f t="shared" si="5"/>
        <v>42644</v>
      </c>
      <c r="E27" s="118">
        <f t="shared" si="4"/>
        <v>42651</v>
      </c>
      <c r="F27" s="119"/>
      <c r="G27" s="123"/>
      <c r="H27" s="123"/>
      <c r="I27" s="119"/>
      <c r="J27" s="123"/>
      <c r="K27" s="123"/>
      <c r="L27" s="123"/>
    </row>
    <row r="28" spans="2:12" ht="28.8" x14ac:dyDescent="0.3">
      <c r="B28" s="121" t="s">
        <v>196</v>
      </c>
      <c r="C28" s="117">
        <v>5</v>
      </c>
      <c r="D28" s="118">
        <f t="shared" si="5"/>
        <v>42651</v>
      </c>
      <c r="E28" s="118">
        <f t="shared" si="4"/>
        <v>42656</v>
      </c>
      <c r="F28" s="119"/>
      <c r="G28" s="123"/>
      <c r="H28" s="123"/>
      <c r="I28" s="119"/>
      <c r="J28" s="123"/>
      <c r="K28" s="123"/>
      <c r="L28" s="123"/>
    </row>
    <row r="29" spans="2:12" x14ac:dyDescent="0.3">
      <c r="B29" s="121" t="s">
        <v>197</v>
      </c>
      <c r="C29" s="117">
        <v>30</v>
      </c>
      <c r="D29" s="118">
        <f t="shared" si="5"/>
        <v>42656</v>
      </c>
      <c r="E29" s="118">
        <f t="shared" si="4"/>
        <v>42686</v>
      </c>
      <c r="F29" s="119"/>
      <c r="G29" s="123"/>
      <c r="H29" s="123"/>
      <c r="I29" s="119"/>
      <c r="J29" s="123"/>
      <c r="K29" s="123"/>
      <c r="L29" s="123"/>
    </row>
    <row r="30" spans="2:12" x14ac:dyDescent="0.3">
      <c r="B30" s="121" t="s">
        <v>198</v>
      </c>
      <c r="C30" s="117">
        <v>10</v>
      </c>
      <c r="D30" s="118">
        <f t="shared" si="5"/>
        <v>42686</v>
      </c>
      <c r="E30" s="118">
        <f t="shared" si="4"/>
        <v>42696</v>
      </c>
      <c r="F30" s="119"/>
      <c r="G30" s="123"/>
      <c r="H30" s="123"/>
      <c r="I30" s="119"/>
      <c r="J30" s="123"/>
      <c r="K30" s="123"/>
      <c r="L30" s="123"/>
    </row>
    <row r="31" spans="2:12" x14ac:dyDescent="0.3">
      <c r="B31" s="121" t="s">
        <v>199</v>
      </c>
      <c r="C31" s="117">
        <v>5</v>
      </c>
      <c r="D31" s="118">
        <f t="shared" si="5"/>
        <v>42696</v>
      </c>
      <c r="E31" s="118">
        <f t="shared" si="4"/>
        <v>42701</v>
      </c>
      <c r="F31" s="119"/>
      <c r="G31" s="123"/>
      <c r="H31" s="123"/>
      <c r="I31" s="119"/>
      <c r="J31" s="123"/>
      <c r="K31" s="123"/>
      <c r="L31" s="123"/>
    </row>
    <row r="32" spans="2:12" x14ac:dyDescent="0.3">
      <c r="B32" s="121" t="s">
        <v>200</v>
      </c>
      <c r="C32" s="117">
        <v>1</v>
      </c>
      <c r="D32" s="118">
        <f t="shared" si="5"/>
        <v>42701</v>
      </c>
      <c r="E32" s="118">
        <f t="shared" si="4"/>
        <v>42702</v>
      </c>
      <c r="F32" s="119"/>
      <c r="G32" s="123"/>
      <c r="H32" s="123"/>
      <c r="I32" s="119"/>
      <c r="J32" s="123"/>
      <c r="K32" s="123"/>
      <c r="L32" s="123"/>
    </row>
    <row r="33" spans="1:12" x14ac:dyDescent="0.3">
      <c r="B33" s="121" t="s">
        <v>201</v>
      </c>
      <c r="C33" s="117">
        <v>15</v>
      </c>
      <c r="D33" s="118">
        <f t="shared" si="5"/>
        <v>42702</v>
      </c>
      <c r="E33" s="118">
        <f t="shared" si="4"/>
        <v>42717</v>
      </c>
      <c r="F33" s="119"/>
      <c r="G33" s="123"/>
      <c r="H33" s="123"/>
      <c r="I33" s="119"/>
      <c r="J33" s="123"/>
      <c r="K33" s="123"/>
      <c r="L33" s="123"/>
    </row>
    <row r="34" spans="1:12" x14ac:dyDescent="0.3">
      <c r="B34" s="121" t="s">
        <v>202</v>
      </c>
      <c r="C34" s="117">
        <f>8*30</f>
        <v>240</v>
      </c>
      <c r="D34" s="118">
        <f t="shared" si="5"/>
        <v>42717</v>
      </c>
      <c r="E34" s="118">
        <f t="shared" si="4"/>
        <v>42957</v>
      </c>
      <c r="F34" s="119"/>
      <c r="G34" s="123"/>
      <c r="H34" s="123"/>
      <c r="I34" s="119"/>
      <c r="J34" s="123"/>
      <c r="K34" s="123"/>
      <c r="L34" s="123"/>
    </row>
    <row r="35" spans="1:12" ht="15" customHeight="1" x14ac:dyDescent="0.3">
      <c r="B35" s="111">
        <f>'1. Detailed Budget.2 '!A12</f>
        <v>0</v>
      </c>
      <c r="C35" s="112"/>
      <c r="D35" s="114"/>
      <c r="E35" s="114"/>
      <c r="F35" s="115">
        <f>+F36+F49</f>
        <v>33000</v>
      </c>
      <c r="G35" s="115">
        <f t="shared" ref="G35:L35" si="6">+G36+G49</f>
        <v>0</v>
      </c>
      <c r="H35" s="115">
        <f t="shared" si="6"/>
        <v>0</v>
      </c>
      <c r="I35" s="115">
        <f t="shared" si="6"/>
        <v>200000</v>
      </c>
      <c r="J35" s="115">
        <f t="shared" si="6"/>
        <v>0</v>
      </c>
      <c r="K35" s="115">
        <f t="shared" si="6"/>
        <v>0</v>
      </c>
      <c r="L35" s="115">
        <f t="shared" si="6"/>
        <v>0</v>
      </c>
    </row>
    <row r="36" spans="1:12" ht="28.8" x14ac:dyDescent="0.3">
      <c r="B36" s="122" t="str">
        <f>'1. Detailed Budget.2 '!C12</f>
        <v xml:space="preserve">Consultoría especializada para la revisión del SISIN y propuesta de mejora </v>
      </c>
      <c r="C36" s="126"/>
      <c r="D36" s="99"/>
      <c r="E36" s="99"/>
      <c r="F36" s="119">
        <f>'1. Detailed Budget.2 '!$G$12</f>
        <v>33000</v>
      </c>
      <c r="G36" s="123"/>
      <c r="H36" s="123"/>
      <c r="I36" s="119">
        <v>200000</v>
      </c>
      <c r="J36" s="123"/>
      <c r="K36" s="123"/>
      <c r="L36" s="123"/>
    </row>
    <row r="37" spans="1:12" x14ac:dyDescent="0.3">
      <c r="B37" s="121" t="s">
        <v>193</v>
      </c>
      <c r="C37" s="117">
        <v>120</v>
      </c>
      <c r="D37" s="118">
        <v>42510</v>
      </c>
      <c r="E37" s="118">
        <f t="shared" ref="E37:E46" si="7">+D37+C37</f>
        <v>42630</v>
      </c>
      <c r="F37" s="119"/>
      <c r="G37" s="123"/>
      <c r="H37" s="123"/>
      <c r="I37" s="123"/>
      <c r="J37" s="123"/>
      <c r="K37" s="123"/>
      <c r="L37" s="123"/>
    </row>
    <row r="38" spans="1:12" x14ac:dyDescent="0.3">
      <c r="B38" s="121" t="s">
        <v>194</v>
      </c>
      <c r="C38" s="117">
        <v>14</v>
      </c>
      <c r="D38" s="118">
        <f t="shared" ref="D38:D46" si="8">+E37</f>
        <v>42630</v>
      </c>
      <c r="E38" s="118">
        <f t="shared" si="7"/>
        <v>42644</v>
      </c>
      <c r="F38" s="119"/>
      <c r="G38" s="123"/>
      <c r="H38" s="123"/>
      <c r="I38" s="123"/>
      <c r="J38" s="123"/>
      <c r="K38" s="123"/>
      <c r="L38" s="123"/>
    </row>
    <row r="39" spans="1:12" x14ac:dyDescent="0.3">
      <c r="B39" s="121" t="s">
        <v>195</v>
      </c>
      <c r="C39" s="117">
        <v>7</v>
      </c>
      <c r="D39" s="118">
        <f t="shared" si="8"/>
        <v>42644</v>
      </c>
      <c r="E39" s="118">
        <f t="shared" si="7"/>
        <v>42651</v>
      </c>
      <c r="F39" s="119"/>
      <c r="G39" s="123"/>
      <c r="H39" s="123"/>
      <c r="I39" s="123"/>
      <c r="J39" s="123"/>
      <c r="K39" s="123"/>
      <c r="L39" s="123"/>
    </row>
    <row r="40" spans="1:12" ht="28.8" x14ac:dyDescent="0.3">
      <c r="B40" s="121" t="s">
        <v>196</v>
      </c>
      <c r="C40" s="117">
        <v>5</v>
      </c>
      <c r="D40" s="118">
        <f t="shared" si="8"/>
        <v>42651</v>
      </c>
      <c r="E40" s="118">
        <f t="shared" si="7"/>
        <v>42656</v>
      </c>
      <c r="F40" s="119"/>
      <c r="G40" s="123"/>
      <c r="H40" s="123"/>
      <c r="I40" s="123"/>
      <c r="J40" s="123"/>
      <c r="K40" s="123"/>
      <c r="L40" s="123"/>
    </row>
    <row r="41" spans="1:12" x14ac:dyDescent="0.3">
      <c r="B41" s="121" t="s">
        <v>197</v>
      </c>
      <c r="C41" s="117">
        <v>30</v>
      </c>
      <c r="D41" s="118">
        <f t="shared" si="8"/>
        <v>42656</v>
      </c>
      <c r="E41" s="118">
        <f t="shared" si="7"/>
        <v>42686</v>
      </c>
      <c r="F41" s="119"/>
      <c r="G41" s="123"/>
      <c r="H41" s="123"/>
      <c r="I41" s="123"/>
      <c r="J41" s="123"/>
      <c r="K41" s="123"/>
      <c r="L41" s="123"/>
    </row>
    <row r="42" spans="1:12" x14ac:dyDescent="0.3">
      <c r="B42" s="121" t="s">
        <v>198</v>
      </c>
      <c r="C42" s="117">
        <v>10</v>
      </c>
      <c r="D42" s="118">
        <f t="shared" si="8"/>
        <v>42686</v>
      </c>
      <c r="E42" s="118">
        <f t="shared" si="7"/>
        <v>42696</v>
      </c>
      <c r="F42" s="119"/>
      <c r="G42" s="123"/>
      <c r="H42" s="123"/>
      <c r="I42" s="123"/>
      <c r="J42" s="123"/>
      <c r="K42" s="123"/>
      <c r="L42" s="123"/>
    </row>
    <row r="43" spans="1:12" x14ac:dyDescent="0.3">
      <c r="B43" s="121" t="s">
        <v>199</v>
      </c>
      <c r="C43" s="117">
        <v>5</v>
      </c>
      <c r="D43" s="118">
        <f t="shared" si="8"/>
        <v>42696</v>
      </c>
      <c r="E43" s="118">
        <f t="shared" si="7"/>
        <v>42701</v>
      </c>
      <c r="F43" s="119"/>
      <c r="G43" s="123"/>
      <c r="H43" s="123"/>
      <c r="I43" s="123"/>
      <c r="J43" s="123"/>
      <c r="K43" s="123"/>
      <c r="L43" s="123"/>
    </row>
    <row r="44" spans="1:12" x14ac:dyDescent="0.3">
      <c r="B44" s="121" t="s">
        <v>200</v>
      </c>
      <c r="C44" s="117">
        <v>1</v>
      </c>
      <c r="D44" s="118">
        <f t="shared" si="8"/>
        <v>42701</v>
      </c>
      <c r="E44" s="118">
        <f t="shared" si="7"/>
        <v>42702</v>
      </c>
      <c r="F44" s="119"/>
      <c r="G44" s="123"/>
      <c r="H44" s="123"/>
      <c r="I44" s="123"/>
      <c r="J44" s="123"/>
      <c r="K44" s="123"/>
      <c r="L44" s="123"/>
    </row>
    <row r="45" spans="1:12" x14ac:dyDescent="0.3">
      <c r="B45" s="121" t="s">
        <v>201</v>
      </c>
      <c r="C45" s="117">
        <v>15</v>
      </c>
      <c r="D45" s="118">
        <f t="shared" si="8"/>
        <v>42702</v>
      </c>
      <c r="E45" s="118">
        <f t="shared" si="7"/>
        <v>42717</v>
      </c>
      <c r="F45" s="119"/>
      <c r="G45" s="123"/>
      <c r="H45" s="123"/>
      <c r="I45" s="123"/>
      <c r="J45" s="123"/>
      <c r="K45" s="123"/>
      <c r="L45" s="123"/>
    </row>
    <row r="46" spans="1:12" x14ac:dyDescent="0.3">
      <c r="B46" s="121" t="s">
        <v>202</v>
      </c>
      <c r="C46" s="117">
        <f>8*30</f>
        <v>240</v>
      </c>
      <c r="D46" s="118">
        <f t="shared" si="8"/>
        <v>42717</v>
      </c>
      <c r="E46" s="118">
        <f t="shared" si="7"/>
        <v>42957</v>
      </c>
      <c r="F46" s="119"/>
      <c r="G46" s="127"/>
      <c r="H46" s="123"/>
      <c r="I46" s="123"/>
      <c r="J46" s="123"/>
      <c r="K46" s="123"/>
      <c r="L46" s="123"/>
    </row>
    <row r="47" spans="1:12" ht="43.2" customHeight="1" x14ac:dyDescent="0.3">
      <c r="B47" s="111" t="str">
        <f>'1. Detailed Budget.2 '!A13</f>
        <v>1.2 Plan piloto de evaluación de proyectos de inversión incluyendo evaluaciones de resultado e impacto implementado</v>
      </c>
      <c r="C47" s="112"/>
      <c r="D47" s="114"/>
      <c r="E47" s="114"/>
      <c r="F47" s="115">
        <f>+F48+F62</f>
        <v>396910.79999999993</v>
      </c>
      <c r="G47" s="115">
        <f t="shared" ref="G47:L47" si="9">+G48+G62</f>
        <v>0</v>
      </c>
      <c r="H47" s="115">
        <f t="shared" si="9"/>
        <v>0</v>
      </c>
      <c r="I47" s="115">
        <f t="shared" si="9"/>
        <v>158764.31999999998</v>
      </c>
      <c r="J47" s="115">
        <f t="shared" si="9"/>
        <v>238146.47999999995</v>
      </c>
      <c r="K47" s="115">
        <f t="shared" si="9"/>
        <v>0</v>
      </c>
      <c r="L47" s="115">
        <f t="shared" si="9"/>
        <v>0</v>
      </c>
    </row>
    <row r="48" spans="1:12" s="120" customFormat="1" ht="44.4" customHeight="1" x14ac:dyDescent="0.3">
      <c r="A48" s="116"/>
      <c r="B48" s="98" t="str">
        <f>'1. Detailed Budget.2 '!H13</f>
        <v xml:space="preserve">Consultoría especializada para Desarrollo e implementación de un plan piloto de evaluación de proyectos de inversión incluyendo evaluaciones de resultado e impacto (incluye Recopilación de información y selección de la muestra de proyectos y desarrollo de metodologías de evaluación de resultado (medio plazo) e impacto (largo plazo) por sectores). </v>
      </c>
      <c r="C48" s="117"/>
      <c r="D48" s="118"/>
      <c r="E48" s="118"/>
      <c r="F48" s="119">
        <f>'1. Detailed Budget.2 '!$L$13</f>
        <v>396910.79999999993</v>
      </c>
      <c r="G48" s="119"/>
      <c r="H48" s="119"/>
      <c r="I48" s="119">
        <f>+F48*40%</f>
        <v>158764.31999999998</v>
      </c>
      <c r="J48" s="119">
        <f>+F48*60%</f>
        <v>238146.47999999995</v>
      </c>
      <c r="K48" s="119"/>
      <c r="L48" s="119"/>
    </row>
    <row r="49" spans="1:12" s="120" customFormat="1" x14ac:dyDescent="0.3">
      <c r="A49" s="116"/>
      <c r="B49" s="121" t="s">
        <v>193</v>
      </c>
      <c r="C49" s="117">
        <v>90</v>
      </c>
      <c r="D49" s="118">
        <f>+E415</f>
        <v>43767</v>
      </c>
      <c r="E49" s="118">
        <f>+D49+C49</f>
        <v>43857</v>
      </c>
      <c r="F49" s="119"/>
      <c r="G49" s="119"/>
      <c r="H49" s="119"/>
      <c r="I49" s="119"/>
      <c r="J49" s="119"/>
      <c r="K49" s="119"/>
      <c r="L49" s="119"/>
    </row>
    <row r="50" spans="1:12" s="120" customFormat="1" x14ac:dyDescent="0.3">
      <c r="A50" s="116"/>
      <c r="B50" s="121" t="s">
        <v>194</v>
      </c>
      <c r="C50" s="117">
        <v>14</v>
      </c>
      <c r="D50" s="118">
        <f t="shared" ref="D50:D58" si="10">+E49</f>
        <v>43857</v>
      </c>
      <c r="E50" s="118">
        <f t="shared" ref="E50:E58" si="11">+D50+C50</f>
        <v>43871</v>
      </c>
      <c r="F50" s="119"/>
      <c r="G50" s="119"/>
      <c r="H50" s="119"/>
      <c r="I50" s="119"/>
      <c r="J50" s="119"/>
      <c r="K50" s="119"/>
      <c r="L50" s="119"/>
    </row>
    <row r="51" spans="1:12" s="120" customFormat="1" ht="18.75" customHeight="1" x14ac:dyDescent="0.3">
      <c r="A51" s="116"/>
      <c r="B51" s="121" t="s">
        <v>195</v>
      </c>
      <c r="C51" s="117">
        <v>7</v>
      </c>
      <c r="D51" s="118">
        <f t="shared" si="10"/>
        <v>43871</v>
      </c>
      <c r="E51" s="118">
        <f t="shared" si="11"/>
        <v>43878</v>
      </c>
      <c r="F51" s="119"/>
      <c r="G51" s="119"/>
      <c r="H51" s="119"/>
      <c r="I51" s="119"/>
      <c r="J51" s="119"/>
      <c r="K51" s="119"/>
      <c r="L51" s="119"/>
    </row>
    <row r="52" spans="1:12" s="120" customFormat="1" ht="28.8" x14ac:dyDescent="0.3">
      <c r="A52" s="116"/>
      <c r="B52" s="121" t="s">
        <v>196</v>
      </c>
      <c r="C52" s="117">
        <v>5</v>
      </c>
      <c r="D52" s="118">
        <f t="shared" si="10"/>
        <v>43878</v>
      </c>
      <c r="E52" s="118">
        <f t="shared" si="11"/>
        <v>43883</v>
      </c>
      <c r="F52" s="119"/>
      <c r="G52" s="119"/>
      <c r="H52" s="119"/>
      <c r="I52" s="119"/>
      <c r="J52" s="119"/>
      <c r="K52" s="119"/>
      <c r="L52" s="119"/>
    </row>
    <row r="53" spans="1:12" s="120" customFormat="1" x14ac:dyDescent="0.3">
      <c r="A53" s="116"/>
      <c r="B53" s="121" t="s">
        <v>197</v>
      </c>
      <c r="C53" s="117">
        <v>45</v>
      </c>
      <c r="D53" s="118">
        <f t="shared" si="10"/>
        <v>43883</v>
      </c>
      <c r="E53" s="118">
        <f t="shared" si="11"/>
        <v>43928</v>
      </c>
      <c r="F53" s="119"/>
      <c r="G53" s="119"/>
      <c r="H53" s="119"/>
      <c r="I53" s="119"/>
      <c r="J53" s="119"/>
      <c r="K53" s="119"/>
      <c r="L53" s="119"/>
    </row>
    <row r="54" spans="1:12" s="120" customFormat="1" x14ac:dyDescent="0.3">
      <c r="A54" s="116"/>
      <c r="B54" s="121" t="s">
        <v>198</v>
      </c>
      <c r="C54" s="117">
        <v>10</v>
      </c>
      <c r="D54" s="118">
        <f t="shared" si="10"/>
        <v>43928</v>
      </c>
      <c r="E54" s="118">
        <f t="shared" si="11"/>
        <v>43938</v>
      </c>
      <c r="F54" s="119"/>
      <c r="G54" s="119"/>
      <c r="H54" s="119"/>
      <c r="I54" s="119"/>
      <c r="J54" s="119"/>
      <c r="K54" s="119"/>
      <c r="L54" s="119"/>
    </row>
    <row r="55" spans="1:12" s="120" customFormat="1" x14ac:dyDescent="0.3">
      <c r="A55" s="116"/>
      <c r="B55" s="121" t="s">
        <v>199</v>
      </c>
      <c r="C55" s="117">
        <v>5</v>
      </c>
      <c r="D55" s="118">
        <f t="shared" si="10"/>
        <v>43938</v>
      </c>
      <c r="E55" s="118">
        <f t="shared" si="11"/>
        <v>43943</v>
      </c>
      <c r="F55" s="119"/>
      <c r="G55" s="119"/>
      <c r="H55" s="119"/>
      <c r="I55" s="119"/>
      <c r="J55" s="119"/>
      <c r="K55" s="119"/>
      <c r="L55" s="119"/>
    </row>
    <row r="56" spans="1:12" s="120" customFormat="1" x14ac:dyDescent="0.3">
      <c r="A56" s="116"/>
      <c r="B56" s="121" t="s">
        <v>200</v>
      </c>
      <c r="C56" s="117">
        <v>1</v>
      </c>
      <c r="D56" s="118">
        <f t="shared" si="10"/>
        <v>43943</v>
      </c>
      <c r="E56" s="118">
        <f t="shared" si="11"/>
        <v>43944</v>
      </c>
      <c r="F56" s="119"/>
      <c r="G56" s="119"/>
      <c r="H56" s="119"/>
      <c r="I56" s="119"/>
      <c r="J56" s="119"/>
      <c r="K56" s="119"/>
      <c r="L56" s="119"/>
    </row>
    <row r="57" spans="1:12" s="120" customFormat="1" x14ac:dyDescent="0.3">
      <c r="A57" s="116"/>
      <c r="B57" s="121" t="s">
        <v>201</v>
      </c>
      <c r="C57" s="117">
        <v>15</v>
      </c>
      <c r="D57" s="118">
        <f t="shared" si="10"/>
        <v>43944</v>
      </c>
      <c r="E57" s="118">
        <f t="shared" si="11"/>
        <v>43959</v>
      </c>
      <c r="F57" s="119"/>
      <c r="G57" s="119"/>
      <c r="H57" s="119"/>
      <c r="I57" s="119"/>
      <c r="J57" s="119"/>
      <c r="K57" s="119"/>
      <c r="L57" s="119"/>
    </row>
    <row r="58" spans="1:12" s="120" customFormat="1" x14ac:dyDescent="0.3">
      <c r="A58" s="116"/>
      <c r="B58" s="121" t="s">
        <v>202</v>
      </c>
      <c r="C58" s="117">
        <f>17*30</f>
        <v>510</v>
      </c>
      <c r="D58" s="118">
        <f t="shared" si="10"/>
        <v>43959</v>
      </c>
      <c r="E58" s="118">
        <f t="shared" si="11"/>
        <v>44469</v>
      </c>
      <c r="F58" s="119"/>
      <c r="G58" s="119"/>
      <c r="H58" s="119"/>
      <c r="I58" s="119"/>
      <c r="J58" s="119"/>
      <c r="K58" s="119"/>
      <c r="L58" s="119"/>
    </row>
    <row r="59" spans="1:12" ht="29.4" customHeight="1" x14ac:dyDescent="0.3">
      <c r="B59" s="111" t="str">
        <f>'1. Detailed Budget.2 '!A14</f>
        <v>1.3 Sistema de Gestión Estratégica de Activos Públicos diseñado</v>
      </c>
      <c r="C59" s="112"/>
      <c r="D59" s="114"/>
      <c r="E59" s="114"/>
      <c r="F59" s="115">
        <f t="shared" ref="F59:L59" si="12">+F60+F75</f>
        <v>203543.99999999997</v>
      </c>
      <c r="G59" s="115">
        <f t="shared" si="12"/>
        <v>0</v>
      </c>
      <c r="H59" s="115">
        <f t="shared" si="12"/>
        <v>0</v>
      </c>
      <c r="I59" s="115">
        <f t="shared" si="12"/>
        <v>81417.599999999991</v>
      </c>
      <c r="J59" s="115">
        <f t="shared" si="12"/>
        <v>122126.39999999998</v>
      </c>
      <c r="K59" s="115">
        <f t="shared" si="12"/>
        <v>0</v>
      </c>
      <c r="L59" s="115">
        <f t="shared" si="12"/>
        <v>0</v>
      </c>
    </row>
    <row r="60" spans="1:12" s="120" customFormat="1" ht="66.599999999999994" customHeight="1" x14ac:dyDescent="0.3">
      <c r="A60" s="116"/>
      <c r="B60" s="98" t="str">
        <f>'1. Detailed Budget.2 '!H14</f>
        <v>Consultoría especializada para diseño de un sistema piloto de Gestión Estratégica de Activos Públicos (incluye Recopilación de información y selección de la muestra, desarrollo del sistema de gestión estratégica e Implementación del sistema Piloto en un sector), interoperable con el SISIN</v>
      </c>
      <c r="C60" s="117"/>
      <c r="D60" s="118"/>
      <c r="E60" s="118"/>
      <c r="F60" s="119">
        <f>'1. Detailed Budget.2 '!$L$14</f>
        <v>203543.99999999997</v>
      </c>
      <c r="G60" s="119"/>
      <c r="H60" s="119"/>
      <c r="I60" s="119">
        <f>+F60*40%</f>
        <v>81417.599999999991</v>
      </c>
      <c r="J60" s="119">
        <f>+F60*60%</f>
        <v>122126.39999999998</v>
      </c>
      <c r="K60" s="119"/>
      <c r="L60" s="119"/>
    </row>
    <row r="61" spans="1:12" s="120" customFormat="1" x14ac:dyDescent="0.3">
      <c r="A61" s="116"/>
      <c r="B61" s="121" t="s">
        <v>193</v>
      </c>
      <c r="C61" s="117">
        <v>90</v>
      </c>
      <c r="D61" s="118">
        <v>42689</v>
      </c>
      <c r="E61" s="118">
        <f t="shared" ref="E61:E70" si="13">+D61+C61</f>
        <v>42779</v>
      </c>
      <c r="F61" s="119"/>
      <c r="G61" s="119"/>
      <c r="H61" s="119"/>
      <c r="I61" s="119"/>
      <c r="J61" s="119"/>
      <c r="K61" s="119"/>
      <c r="L61" s="119"/>
    </row>
    <row r="62" spans="1:12" s="120" customFormat="1" x14ac:dyDescent="0.3">
      <c r="A62" s="116"/>
      <c r="B62" s="121" t="s">
        <v>194</v>
      </c>
      <c r="C62" s="117">
        <v>14</v>
      </c>
      <c r="D62" s="118">
        <f t="shared" ref="D62:D70" si="14">+E61</f>
        <v>42779</v>
      </c>
      <c r="E62" s="118">
        <f t="shared" si="13"/>
        <v>42793</v>
      </c>
      <c r="F62" s="119"/>
      <c r="G62" s="119"/>
      <c r="H62" s="119"/>
      <c r="I62" s="119"/>
      <c r="J62" s="119"/>
      <c r="K62" s="119"/>
      <c r="L62" s="119"/>
    </row>
    <row r="63" spans="1:12" s="120" customFormat="1" x14ac:dyDescent="0.3">
      <c r="A63" s="116"/>
      <c r="B63" s="121" t="s">
        <v>195</v>
      </c>
      <c r="C63" s="117">
        <v>7</v>
      </c>
      <c r="D63" s="118">
        <f t="shared" si="14"/>
        <v>42793</v>
      </c>
      <c r="E63" s="118">
        <f t="shared" si="13"/>
        <v>42800</v>
      </c>
      <c r="F63" s="119"/>
      <c r="G63" s="119"/>
      <c r="H63" s="119"/>
      <c r="I63" s="119"/>
      <c r="J63" s="119"/>
      <c r="K63" s="119"/>
      <c r="L63" s="119"/>
    </row>
    <row r="64" spans="1:12" s="120" customFormat="1" ht="28.8" x14ac:dyDescent="0.3">
      <c r="A64" s="116"/>
      <c r="B64" s="121" t="s">
        <v>196</v>
      </c>
      <c r="C64" s="117">
        <v>5</v>
      </c>
      <c r="D64" s="118">
        <f t="shared" si="14"/>
        <v>42800</v>
      </c>
      <c r="E64" s="118">
        <f t="shared" si="13"/>
        <v>42805</v>
      </c>
      <c r="F64" s="119"/>
      <c r="G64" s="119"/>
      <c r="H64" s="119"/>
      <c r="I64" s="119"/>
      <c r="J64" s="119"/>
      <c r="K64" s="119"/>
      <c r="L64" s="119"/>
    </row>
    <row r="65" spans="1:12" s="120" customFormat="1" x14ac:dyDescent="0.3">
      <c r="A65" s="116"/>
      <c r="B65" s="121" t="s">
        <v>197</v>
      </c>
      <c r="C65" s="117">
        <v>45</v>
      </c>
      <c r="D65" s="118">
        <f t="shared" si="14"/>
        <v>42805</v>
      </c>
      <c r="E65" s="118">
        <f t="shared" si="13"/>
        <v>42850</v>
      </c>
      <c r="F65" s="119"/>
      <c r="G65" s="119"/>
      <c r="H65" s="119"/>
      <c r="I65" s="119"/>
      <c r="J65" s="119"/>
      <c r="K65" s="119"/>
      <c r="L65" s="119"/>
    </row>
    <row r="66" spans="1:12" s="120" customFormat="1" x14ac:dyDescent="0.3">
      <c r="A66" s="116"/>
      <c r="B66" s="121" t="s">
        <v>198</v>
      </c>
      <c r="C66" s="117">
        <v>10</v>
      </c>
      <c r="D66" s="118">
        <f t="shared" si="14"/>
        <v>42850</v>
      </c>
      <c r="E66" s="118">
        <f t="shared" si="13"/>
        <v>42860</v>
      </c>
      <c r="F66" s="119"/>
      <c r="G66" s="119"/>
      <c r="H66" s="119"/>
      <c r="I66" s="119"/>
      <c r="J66" s="119"/>
      <c r="K66" s="119"/>
      <c r="L66" s="119"/>
    </row>
    <row r="67" spans="1:12" s="120" customFormat="1" x14ac:dyDescent="0.3">
      <c r="A67" s="116"/>
      <c r="B67" s="121" t="s">
        <v>199</v>
      </c>
      <c r="C67" s="117">
        <v>5</v>
      </c>
      <c r="D67" s="118">
        <f t="shared" si="14"/>
        <v>42860</v>
      </c>
      <c r="E67" s="118">
        <f t="shared" si="13"/>
        <v>42865</v>
      </c>
      <c r="F67" s="119"/>
      <c r="G67" s="119"/>
      <c r="H67" s="119"/>
      <c r="I67" s="119"/>
      <c r="J67" s="119"/>
      <c r="K67" s="119"/>
      <c r="L67" s="119"/>
    </row>
    <row r="68" spans="1:12" s="120" customFormat="1" x14ac:dyDescent="0.3">
      <c r="A68" s="116"/>
      <c r="B68" s="121" t="s">
        <v>200</v>
      </c>
      <c r="C68" s="117">
        <v>1</v>
      </c>
      <c r="D68" s="118">
        <f t="shared" si="14"/>
        <v>42865</v>
      </c>
      <c r="E68" s="118">
        <f t="shared" si="13"/>
        <v>42866</v>
      </c>
      <c r="F68" s="119"/>
      <c r="G68" s="119"/>
      <c r="H68" s="119"/>
      <c r="I68" s="119"/>
      <c r="J68" s="119"/>
      <c r="K68" s="119"/>
      <c r="L68" s="119"/>
    </row>
    <row r="69" spans="1:12" s="120" customFormat="1" x14ac:dyDescent="0.3">
      <c r="A69" s="116"/>
      <c r="B69" s="121" t="s">
        <v>201</v>
      </c>
      <c r="C69" s="117">
        <v>15</v>
      </c>
      <c r="D69" s="118">
        <f t="shared" si="14"/>
        <v>42866</v>
      </c>
      <c r="E69" s="118">
        <f t="shared" si="13"/>
        <v>42881</v>
      </c>
      <c r="F69" s="119"/>
      <c r="G69" s="119"/>
      <c r="H69" s="119"/>
      <c r="I69" s="119"/>
      <c r="J69" s="119"/>
      <c r="K69" s="119"/>
      <c r="L69" s="119"/>
    </row>
    <row r="70" spans="1:12" s="120" customFormat="1" x14ac:dyDescent="0.3">
      <c r="A70" s="116"/>
      <c r="B70" s="121" t="s">
        <v>202</v>
      </c>
      <c r="C70" s="117">
        <f>17*30</f>
        <v>510</v>
      </c>
      <c r="D70" s="118">
        <f t="shared" si="14"/>
        <v>42881</v>
      </c>
      <c r="E70" s="118">
        <f t="shared" si="13"/>
        <v>43391</v>
      </c>
      <c r="F70" s="119"/>
      <c r="G70" s="119"/>
      <c r="H70" s="119"/>
      <c r="I70" s="119"/>
      <c r="J70" s="119"/>
      <c r="K70" s="119"/>
      <c r="L70" s="119"/>
    </row>
    <row r="71" spans="1:12" ht="29.4" customHeight="1" x14ac:dyDescent="0.3">
      <c r="B71" s="111" t="str">
        <f>'1. Detailed Budget.2 '!A15</f>
        <v>1.4 Metodología para la evaluación temprana de viabilidad económica de proyectos desarrollada</v>
      </c>
      <c r="C71" s="112"/>
      <c r="D71" s="114"/>
      <c r="E71" s="114"/>
      <c r="F71" s="115">
        <f t="shared" ref="F71:L71" si="15">+F72+F113</f>
        <v>9240</v>
      </c>
      <c r="G71" s="115">
        <f t="shared" si="15"/>
        <v>0</v>
      </c>
      <c r="H71" s="115">
        <f t="shared" si="15"/>
        <v>0</v>
      </c>
      <c r="I71" s="115">
        <f t="shared" si="15"/>
        <v>3696</v>
      </c>
      <c r="J71" s="115">
        <f t="shared" si="15"/>
        <v>5544</v>
      </c>
      <c r="K71" s="115">
        <f t="shared" si="15"/>
        <v>0</v>
      </c>
      <c r="L71" s="115">
        <f t="shared" si="15"/>
        <v>0</v>
      </c>
    </row>
    <row r="72" spans="1:12" s="120" customFormat="1" ht="27.6" customHeight="1" x14ac:dyDescent="0.3">
      <c r="A72" s="116"/>
      <c r="B72" s="98" t="str">
        <f>'1. Detailed Budget.2 '!C15</f>
        <v xml:space="preserve">Consultoría especializada para la evaluación temprana de viabilidad económica de proyectos </v>
      </c>
      <c r="C72" s="117"/>
      <c r="D72" s="118"/>
      <c r="E72" s="118"/>
      <c r="F72" s="119">
        <f>'1. Detailed Budget.2 '!$G$15</f>
        <v>9240</v>
      </c>
      <c r="G72" s="119"/>
      <c r="H72" s="119"/>
      <c r="I72" s="119">
        <f>+F72*40%</f>
        <v>3696</v>
      </c>
      <c r="J72" s="119">
        <f>+F72*60%</f>
        <v>5544</v>
      </c>
      <c r="K72" s="119"/>
      <c r="L72" s="119"/>
    </row>
    <row r="73" spans="1:12" s="120" customFormat="1" x14ac:dyDescent="0.3">
      <c r="A73" s="116"/>
      <c r="B73" s="121" t="s">
        <v>193</v>
      </c>
      <c r="C73" s="117">
        <v>90</v>
      </c>
      <c r="D73" s="118">
        <v>42808</v>
      </c>
      <c r="E73" s="118">
        <f t="shared" ref="E73:E82" si="16">+D73+C73</f>
        <v>42898</v>
      </c>
      <c r="F73" s="119"/>
      <c r="G73" s="119"/>
      <c r="H73" s="119"/>
      <c r="I73" s="119"/>
      <c r="J73" s="119"/>
      <c r="K73" s="119"/>
      <c r="L73" s="119"/>
    </row>
    <row r="74" spans="1:12" s="120" customFormat="1" x14ac:dyDescent="0.3">
      <c r="A74" s="116"/>
      <c r="B74" s="121" t="s">
        <v>194</v>
      </c>
      <c r="C74" s="117">
        <v>14</v>
      </c>
      <c r="D74" s="118">
        <f t="shared" ref="D74:D82" si="17">+E73</f>
        <v>42898</v>
      </c>
      <c r="E74" s="118">
        <f t="shared" si="16"/>
        <v>42912</v>
      </c>
      <c r="F74" s="119"/>
      <c r="G74" s="119"/>
      <c r="H74" s="119"/>
      <c r="I74" s="119"/>
      <c r="J74" s="119"/>
      <c r="K74" s="119"/>
      <c r="L74" s="119"/>
    </row>
    <row r="75" spans="1:12" s="120" customFormat="1" x14ac:dyDescent="0.3">
      <c r="A75" s="116"/>
      <c r="B75" s="121" t="s">
        <v>195</v>
      </c>
      <c r="C75" s="117">
        <v>7</v>
      </c>
      <c r="D75" s="118">
        <f t="shared" si="17"/>
        <v>42912</v>
      </c>
      <c r="E75" s="118">
        <f t="shared" si="16"/>
        <v>42919</v>
      </c>
      <c r="F75" s="119"/>
      <c r="G75" s="119"/>
      <c r="H75" s="119"/>
      <c r="I75" s="119"/>
      <c r="J75" s="119"/>
      <c r="K75" s="119"/>
      <c r="L75" s="119"/>
    </row>
    <row r="76" spans="1:12" s="120" customFormat="1" ht="28.8" x14ac:dyDescent="0.3">
      <c r="A76" s="116"/>
      <c r="B76" s="121" t="s">
        <v>196</v>
      </c>
      <c r="C76" s="117">
        <v>5</v>
      </c>
      <c r="D76" s="118">
        <f t="shared" si="17"/>
        <v>42919</v>
      </c>
      <c r="E76" s="118">
        <f t="shared" si="16"/>
        <v>42924</v>
      </c>
      <c r="F76" s="119"/>
      <c r="G76" s="119"/>
      <c r="H76" s="119"/>
      <c r="I76" s="119"/>
      <c r="J76" s="119"/>
      <c r="K76" s="119"/>
      <c r="L76" s="119"/>
    </row>
    <row r="77" spans="1:12" s="120" customFormat="1" x14ac:dyDescent="0.3">
      <c r="A77" s="116"/>
      <c r="B77" s="121" t="s">
        <v>197</v>
      </c>
      <c r="C77" s="117">
        <v>45</v>
      </c>
      <c r="D77" s="118">
        <f t="shared" si="17"/>
        <v>42924</v>
      </c>
      <c r="E77" s="118">
        <f t="shared" si="16"/>
        <v>42969</v>
      </c>
      <c r="F77" s="119"/>
      <c r="G77" s="119"/>
      <c r="H77" s="119"/>
      <c r="I77" s="119"/>
      <c r="J77" s="119"/>
      <c r="K77" s="119"/>
      <c r="L77" s="119"/>
    </row>
    <row r="78" spans="1:12" s="120" customFormat="1" x14ac:dyDescent="0.3">
      <c r="A78" s="116"/>
      <c r="B78" s="121" t="s">
        <v>198</v>
      </c>
      <c r="C78" s="117">
        <v>10</v>
      </c>
      <c r="D78" s="118">
        <f t="shared" si="17"/>
        <v>42969</v>
      </c>
      <c r="E78" s="118">
        <f t="shared" si="16"/>
        <v>42979</v>
      </c>
      <c r="F78" s="119"/>
      <c r="G78" s="119"/>
      <c r="H78" s="119"/>
      <c r="I78" s="119"/>
      <c r="J78" s="119"/>
      <c r="K78" s="119"/>
      <c r="L78" s="119"/>
    </row>
    <row r="79" spans="1:12" s="120" customFormat="1" x14ac:dyDescent="0.3">
      <c r="A79" s="116"/>
      <c r="B79" s="121" t="s">
        <v>199</v>
      </c>
      <c r="C79" s="117">
        <v>5</v>
      </c>
      <c r="D79" s="118">
        <f t="shared" si="17"/>
        <v>42979</v>
      </c>
      <c r="E79" s="118">
        <f t="shared" si="16"/>
        <v>42984</v>
      </c>
      <c r="F79" s="119"/>
      <c r="G79" s="119"/>
      <c r="H79" s="119"/>
      <c r="I79" s="119"/>
      <c r="J79" s="119"/>
      <c r="K79" s="119"/>
      <c r="L79" s="119"/>
    </row>
    <row r="80" spans="1:12" s="120" customFormat="1" x14ac:dyDescent="0.3">
      <c r="A80" s="116"/>
      <c r="B80" s="121" t="s">
        <v>200</v>
      </c>
      <c r="C80" s="117">
        <v>1</v>
      </c>
      <c r="D80" s="118">
        <f t="shared" si="17"/>
        <v>42984</v>
      </c>
      <c r="E80" s="118">
        <f t="shared" si="16"/>
        <v>42985</v>
      </c>
      <c r="F80" s="119"/>
      <c r="G80" s="119"/>
      <c r="H80" s="119"/>
      <c r="I80" s="119"/>
      <c r="J80" s="119"/>
      <c r="K80" s="119"/>
      <c r="L80" s="119"/>
    </row>
    <row r="81" spans="1:12" s="120" customFormat="1" x14ac:dyDescent="0.3">
      <c r="A81" s="116"/>
      <c r="B81" s="121" t="s">
        <v>201</v>
      </c>
      <c r="C81" s="117">
        <v>15</v>
      </c>
      <c r="D81" s="118">
        <f t="shared" si="17"/>
        <v>42985</v>
      </c>
      <c r="E81" s="118">
        <f t="shared" si="16"/>
        <v>43000</v>
      </c>
      <c r="F81" s="119"/>
      <c r="G81" s="119"/>
      <c r="H81" s="119"/>
      <c r="I81" s="119"/>
      <c r="J81" s="119"/>
      <c r="K81" s="119"/>
      <c r="L81" s="119"/>
    </row>
    <row r="82" spans="1:12" s="120" customFormat="1" x14ac:dyDescent="0.3">
      <c r="A82" s="116"/>
      <c r="B82" s="121" t="s">
        <v>202</v>
      </c>
      <c r="C82" s="117">
        <f>17*30</f>
        <v>510</v>
      </c>
      <c r="D82" s="118">
        <f t="shared" si="17"/>
        <v>43000</v>
      </c>
      <c r="E82" s="118">
        <f t="shared" si="16"/>
        <v>43510</v>
      </c>
      <c r="F82" s="119"/>
      <c r="G82" s="119"/>
      <c r="H82" s="119"/>
      <c r="I82" s="119"/>
      <c r="J82" s="119"/>
      <c r="K82" s="119"/>
      <c r="L82" s="119"/>
    </row>
    <row r="83" spans="1:12" ht="29.4" customHeight="1" x14ac:dyDescent="0.3">
      <c r="B83" s="111" t="str">
        <f>'1. Detailed Budget.2 '!A16</f>
        <v>1.5 Plan Piloto utilizando la tecnología Building Información Modellings (BIM) implementado</v>
      </c>
      <c r="C83" s="112"/>
      <c r="D83" s="114"/>
      <c r="E83" s="114"/>
      <c r="F83" s="115">
        <f t="shared" ref="F83:L83" si="18">+F84+F125</f>
        <v>122126.39999999999</v>
      </c>
      <c r="G83" s="115">
        <f t="shared" si="18"/>
        <v>0</v>
      </c>
      <c r="H83" s="115">
        <f t="shared" si="18"/>
        <v>0</v>
      </c>
      <c r="I83" s="115">
        <f t="shared" si="18"/>
        <v>48850.559999999998</v>
      </c>
      <c r="J83" s="115">
        <f t="shared" si="18"/>
        <v>73275.839999999997</v>
      </c>
      <c r="K83" s="115">
        <f t="shared" si="18"/>
        <v>0</v>
      </c>
      <c r="L83" s="115">
        <f t="shared" si="18"/>
        <v>0</v>
      </c>
    </row>
    <row r="84" spans="1:12" s="120" customFormat="1" ht="27.6" customHeight="1" x14ac:dyDescent="0.3">
      <c r="A84" s="116"/>
      <c r="B84" s="98" t="str">
        <f>'1. Detailed Budget.2 '!H16</f>
        <v xml:space="preserve">Consultoría especializada Metodologías para Building Information Modellings: análisis previo, preparación del plan piloto, capacitación (general a VIPFE y ministerio ejecutor y especifica -certificación a 2/3 personas), socialización necesaria, apoyo en la revisión de la implementación de la tecnología y evaluación final con recomendaciones. Incluye software y hardware  </v>
      </c>
      <c r="C84" s="117"/>
      <c r="D84" s="118"/>
      <c r="E84" s="118"/>
      <c r="F84" s="119">
        <f>'1. Detailed Budget.2 '!$L$16</f>
        <v>122126.39999999999</v>
      </c>
      <c r="G84" s="119"/>
      <c r="H84" s="119"/>
      <c r="I84" s="119">
        <f>+F84*40%</f>
        <v>48850.559999999998</v>
      </c>
      <c r="J84" s="119">
        <f>+F84*60%</f>
        <v>73275.839999999997</v>
      </c>
      <c r="K84" s="119"/>
      <c r="L84" s="119"/>
    </row>
    <row r="85" spans="1:12" s="120" customFormat="1" x14ac:dyDescent="0.3">
      <c r="A85" s="116"/>
      <c r="B85" s="121" t="s">
        <v>193</v>
      </c>
      <c r="C85" s="117">
        <v>90</v>
      </c>
      <c r="D85" s="118">
        <v>42808</v>
      </c>
      <c r="E85" s="118">
        <f t="shared" ref="E85:E94" si="19">+D85+C85</f>
        <v>42898</v>
      </c>
      <c r="F85" s="119"/>
      <c r="G85" s="119"/>
      <c r="H85" s="119"/>
      <c r="I85" s="119"/>
      <c r="J85" s="119"/>
      <c r="K85" s="119"/>
      <c r="L85" s="119"/>
    </row>
    <row r="86" spans="1:12" s="120" customFormat="1" x14ac:dyDescent="0.3">
      <c r="A86" s="116"/>
      <c r="B86" s="121" t="s">
        <v>194</v>
      </c>
      <c r="C86" s="117">
        <v>14</v>
      </c>
      <c r="D86" s="118">
        <f t="shared" ref="D86:D94" si="20">+E85</f>
        <v>42898</v>
      </c>
      <c r="E86" s="118">
        <f t="shared" si="19"/>
        <v>42912</v>
      </c>
      <c r="F86" s="119"/>
      <c r="G86" s="119"/>
      <c r="H86" s="119"/>
      <c r="I86" s="119"/>
      <c r="J86" s="119"/>
      <c r="K86" s="119"/>
      <c r="L86" s="119"/>
    </row>
    <row r="87" spans="1:12" s="120" customFormat="1" x14ac:dyDescent="0.3">
      <c r="A87" s="116"/>
      <c r="B87" s="121" t="s">
        <v>195</v>
      </c>
      <c r="C87" s="117">
        <v>7</v>
      </c>
      <c r="D87" s="118">
        <f t="shared" si="20"/>
        <v>42912</v>
      </c>
      <c r="E87" s="118">
        <f t="shared" si="19"/>
        <v>42919</v>
      </c>
      <c r="F87" s="119"/>
      <c r="G87" s="119"/>
      <c r="H87" s="119"/>
      <c r="I87" s="119"/>
      <c r="J87" s="119"/>
      <c r="K87" s="119"/>
      <c r="L87" s="119"/>
    </row>
    <row r="88" spans="1:12" s="120" customFormat="1" ht="28.8" x14ac:dyDescent="0.3">
      <c r="A88" s="116"/>
      <c r="B88" s="121" t="s">
        <v>196</v>
      </c>
      <c r="C88" s="117">
        <v>5</v>
      </c>
      <c r="D88" s="118">
        <f t="shared" si="20"/>
        <v>42919</v>
      </c>
      <c r="E88" s="118">
        <f t="shared" si="19"/>
        <v>42924</v>
      </c>
      <c r="F88" s="119"/>
      <c r="G88" s="119"/>
      <c r="H88" s="119"/>
      <c r="I88" s="119"/>
      <c r="J88" s="119"/>
      <c r="K88" s="119"/>
      <c r="L88" s="119"/>
    </row>
    <row r="89" spans="1:12" s="120" customFormat="1" x14ac:dyDescent="0.3">
      <c r="A89" s="116"/>
      <c r="B89" s="121" t="s">
        <v>197</v>
      </c>
      <c r="C89" s="117">
        <v>45</v>
      </c>
      <c r="D89" s="118">
        <f t="shared" si="20"/>
        <v>42924</v>
      </c>
      <c r="E89" s="118">
        <f t="shared" si="19"/>
        <v>42969</v>
      </c>
      <c r="F89" s="119"/>
      <c r="G89" s="119"/>
      <c r="H89" s="119"/>
      <c r="I89" s="119"/>
      <c r="J89" s="119"/>
      <c r="K89" s="119"/>
      <c r="L89" s="119"/>
    </row>
    <row r="90" spans="1:12" s="120" customFormat="1" x14ac:dyDescent="0.3">
      <c r="A90" s="116"/>
      <c r="B90" s="121" t="s">
        <v>198</v>
      </c>
      <c r="C90" s="117">
        <v>10</v>
      </c>
      <c r="D90" s="118">
        <f t="shared" si="20"/>
        <v>42969</v>
      </c>
      <c r="E90" s="118">
        <f t="shared" si="19"/>
        <v>42979</v>
      </c>
      <c r="F90" s="119"/>
      <c r="G90" s="119"/>
      <c r="H90" s="119"/>
      <c r="I90" s="119"/>
      <c r="J90" s="119"/>
      <c r="K90" s="119"/>
      <c r="L90" s="119"/>
    </row>
    <row r="91" spans="1:12" s="120" customFormat="1" x14ac:dyDescent="0.3">
      <c r="A91" s="116"/>
      <c r="B91" s="121" t="s">
        <v>199</v>
      </c>
      <c r="C91" s="117">
        <v>5</v>
      </c>
      <c r="D91" s="118">
        <f t="shared" si="20"/>
        <v>42979</v>
      </c>
      <c r="E91" s="118">
        <f t="shared" si="19"/>
        <v>42984</v>
      </c>
      <c r="F91" s="119"/>
      <c r="G91" s="119"/>
      <c r="H91" s="119"/>
      <c r="I91" s="119"/>
      <c r="J91" s="119"/>
      <c r="K91" s="119"/>
      <c r="L91" s="119"/>
    </row>
    <row r="92" spans="1:12" s="120" customFormat="1" x14ac:dyDescent="0.3">
      <c r="A92" s="116"/>
      <c r="B92" s="121" t="s">
        <v>200</v>
      </c>
      <c r="C92" s="117">
        <v>1</v>
      </c>
      <c r="D92" s="118">
        <f t="shared" si="20"/>
        <v>42984</v>
      </c>
      <c r="E92" s="118">
        <f t="shared" si="19"/>
        <v>42985</v>
      </c>
      <c r="F92" s="119"/>
      <c r="G92" s="119"/>
      <c r="H92" s="119"/>
      <c r="I92" s="119"/>
      <c r="J92" s="119"/>
      <c r="K92" s="119"/>
      <c r="L92" s="119"/>
    </row>
    <row r="93" spans="1:12" s="120" customFormat="1" x14ac:dyDescent="0.3">
      <c r="A93" s="116"/>
      <c r="B93" s="121" t="s">
        <v>201</v>
      </c>
      <c r="C93" s="117">
        <v>15</v>
      </c>
      <c r="D93" s="118">
        <f t="shared" si="20"/>
        <v>42985</v>
      </c>
      <c r="E93" s="118">
        <f t="shared" si="19"/>
        <v>43000</v>
      </c>
      <c r="F93" s="119"/>
      <c r="G93" s="119"/>
      <c r="H93" s="119"/>
      <c r="I93" s="119"/>
      <c r="J93" s="119"/>
      <c r="K93" s="119"/>
      <c r="L93" s="119"/>
    </row>
    <row r="94" spans="1:12" s="120" customFormat="1" x14ac:dyDescent="0.3">
      <c r="A94" s="116"/>
      <c r="B94" s="121" t="s">
        <v>202</v>
      </c>
      <c r="C94" s="117">
        <f>17*30</f>
        <v>510</v>
      </c>
      <c r="D94" s="118">
        <f t="shared" si="20"/>
        <v>43000</v>
      </c>
      <c r="E94" s="118">
        <f t="shared" si="19"/>
        <v>43510</v>
      </c>
      <c r="F94" s="119"/>
      <c r="G94" s="119"/>
      <c r="H94" s="119"/>
      <c r="I94" s="119"/>
      <c r="J94" s="119"/>
      <c r="K94" s="119"/>
      <c r="L94" s="119"/>
    </row>
    <row r="95" spans="1:12" ht="29.4" customHeight="1" x14ac:dyDescent="0.3">
      <c r="B95" s="111" t="str">
        <f>'1. Detailed Budget.2 '!A17</f>
        <v>1.6 Metodología de análisis de brechas de inversión que facilite la priorización de proyectos implementada</v>
      </c>
      <c r="C95" s="112"/>
      <c r="D95" s="114"/>
      <c r="E95" s="114"/>
      <c r="F95" s="115">
        <f t="shared" ref="F95:L95" si="21">+F96+F137</f>
        <v>18480</v>
      </c>
      <c r="G95" s="115">
        <f t="shared" si="21"/>
        <v>0</v>
      </c>
      <c r="H95" s="115">
        <f t="shared" si="21"/>
        <v>0</v>
      </c>
      <c r="I95" s="115">
        <f t="shared" si="21"/>
        <v>7392</v>
      </c>
      <c r="J95" s="115">
        <f t="shared" si="21"/>
        <v>11088</v>
      </c>
      <c r="K95" s="115">
        <f t="shared" si="21"/>
        <v>0</v>
      </c>
      <c r="L95" s="115">
        <f t="shared" si="21"/>
        <v>0</v>
      </c>
    </row>
    <row r="96" spans="1:12" s="120" customFormat="1" ht="27.6" customHeight="1" x14ac:dyDescent="0.3">
      <c r="A96" s="116"/>
      <c r="B96" s="98" t="str">
        <f>'1. Detailed Budget.2 '!C17</f>
        <v>Consultoría especializada para implementación de una metodología de análisis de brechas y su aplicación a la planificación, programación y presupuestación de la inversión y la preinversión (incluye Determinación de brechas y desarrollo de metodología de análisis, Metodología de vinculación de brechas con la planificación y programación y Metodología de presupuestación de la preinversión e inversión para el cierre de brechas definidas en BO-T1315) INDIVIDUAL</v>
      </c>
      <c r="C96" s="117"/>
      <c r="D96" s="118"/>
      <c r="E96" s="118"/>
      <c r="F96" s="119">
        <f>'1. Detailed Budget.2 '!$G$17</f>
        <v>18480</v>
      </c>
      <c r="G96" s="119"/>
      <c r="H96" s="119"/>
      <c r="I96" s="119">
        <f>+F96*40%</f>
        <v>7392</v>
      </c>
      <c r="J96" s="119">
        <f>+F96*60%</f>
        <v>11088</v>
      </c>
      <c r="K96" s="119"/>
      <c r="L96" s="119"/>
    </row>
    <row r="97" spans="1:12" s="120" customFormat="1" x14ac:dyDescent="0.3">
      <c r="A97" s="116"/>
      <c r="B97" s="121" t="s">
        <v>193</v>
      </c>
      <c r="C97" s="117">
        <v>90</v>
      </c>
      <c r="D97" s="118">
        <v>42808</v>
      </c>
      <c r="E97" s="118">
        <f t="shared" ref="E97:E106" si="22">+D97+C97</f>
        <v>42898</v>
      </c>
      <c r="F97" s="119"/>
      <c r="G97" s="119"/>
      <c r="H97" s="119"/>
      <c r="I97" s="119"/>
      <c r="J97" s="119"/>
      <c r="K97" s="119"/>
      <c r="L97" s="119"/>
    </row>
    <row r="98" spans="1:12" s="120" customFormat="1" x14ac:dyDescent="0.3">
      <c r="A98" s="116"/>
      <c r="B98" s="121" t="s">
        <v>194</v>
      </c>
      <c r="C98" s="117">
        <v>14</v>
      </c>
      <c r="D98" s="118">
        <f t="shared" ref="D98:D106" si="23">+E97</f>
        <v>42898</v>
      </c>
      <c r="E98" s="118">
        <f t="shared" si="22"/>
        <v>42912</v>
      </c>
      <c r="F98" s="119"/>
      <c r="G98" s="119"/>
      <c r="H98" s="119"/>
      <c r="I98" s="119"/>
      <c r="J98" s="119"/>
      <c r="K98" s="119"/>
      <c r="L98" s="119"/>
    </row>
    <row r="99" spans="1:12" s="120" customFormat="1" x14ac:dyDescent="0.3">
      <c r="A99" s="116"/>
      <c r="B99" s="121" t="s">
        <v>195</v>
      </c>
      <c r="C99" s="117">
        <v>7</v>
      </c>
      <c r="D99" s="118">
        <f t="shared" si="23"/>
        <v>42912</v>
      </c>
      <c r="E99" s="118">
        <f t="shared" si="22"/>
        <v>42919</v>
      </c>
      <c r="F99" s="119"/>
      <c r="G99" s="119"/>
      <c r="H99" s="119"/>
      <c r="I99" s="119"/>
      <c r="J99" s="119"/>
      <c r="K99" s="119"/>
      <c r="L99" s="119"/>
    </row>
    <row r="100" spans="1:12" s="120" customFormat="1" ht="28.8" x14ac:dyDescent="0.3">
      <c r="A100" s="116"/>
      <c r="B100" s="121" t="s">
        <v>196</v>
      </c>
      <c r="C100" s="117">
        <v>5</v>
      </c>
      <c r="D100" s="118">
        <f t="shared" si="23"/>
        <v>42919</v>
      </c>
      <c r="E100" s="118">
        <f t="shared" si="22"/>
        <v>42924</v>
      </c>
      <c r="F100" s="119"/>
      <c r="G100" s="119"/>
      <c r="H100" s="119"/>
      <c r="I100" s="119"/>
      <c r="J100" s="119"/>
      <c r="K100" s="119"/>
      <c r="L100" s="119"/>
    </row>
    <row r="101" spans="1:12" s="120" customFormat="1" x14ac:dyDescent="0.3">
      <c r="A101" s="116"/>
      <c r="B101" s="121" t="s">
        <v>197</v>
      </c>
      <c r="C101" s="117">
        <v>45</v>
      </c>
      <c r="D101" s="118">
        <f t="shared" si="23"/>
        <v>42924</v>
      </c>
      <c r="E101" s="118">
        <f t="shared" si="22"/>
        <v>42969</v>
      </c>
      <c r="F101" s="119"/>
      <c r="G101" s="119"/>
      <c r="H101" s="119"/>
      <c r="I101" s="119"/>
      <c r="J101" s="119"/>
      <c r="K101" s="119"/>
      <c r="L101" s="119"/>
    </row>
    <row r="102" spans="1:12" s="120" customFormat="1" x14ac:dyDescent="0.3">
      <c r="A102" s="116"/>
      <c r="B102" s="121" t="s">
        <v>198</v>
      </c>
      <c r="C102" s="117">
        <v>10</v>
      </c>
      <c r="D102" s="118">
        <f t="shared" si="23"/>
        <v>42969</v>
      </c>
      <c r="E102" s="118">
        <f t="shared" si="22"/>
        <v>42979</v>
      </c>
      <c r="F102" s="119"/>
      <c r="G102" s="119"/>
      <c r="H102" s="119"/>
      <c r="I102" s="119"/>
      <c r="J102" s="119"/>
      <c r="K102" s="119"/>
      <c r="L102" s="119"/>
    </row>
    <row r="103" spans="1:12" s="120" customFormat="1" x14ac:dyDescent="0.3">
      <c r="A103" s="116"/>
      <c r="B103" s="121" t="s">
        <v>199</v>
      </c>
      <c r="C103" s="117">
        <v>5</v>
      </c>
      <c r="D103" s="118">
        <f t="shared" si="23"/>
        <v>42979</v>
      </c>
      <c r="E103" s="118">
        <f t="shared" si="22"/>
        <v>42984</v>
      </c>
      <c r="F103" s="119"/>
      <c r="G103" s="119"/>
      <c r="H103" s="119"/>
      <c r="I103" s="119"/>
      <c r="J103" s="119"/>
      <c r="K103" s="119"/>
      <c r="L103" s="119"/>
    </row>
    <row r="104" spans="1:12" s="120" customFormat="1" x14ac:dyDescent="0.3">
      <c r="A104" s="116"/>
      <c r="B104" s="121" t="s">
        <v>200</v>
      </c>
      <c r="C104" s="117">
        <v>1</v>
      </c>
      <c r="D104" s="118">
        <f t="shared" si="23"/>
        <v>42984</v>
      </c>
      <c r="E104" s="118">
        <f t="shared" si="22"/>
        <v>42985</v>
      </c>
      <c r="F104" s="119"/>
      <c r="G104" s="119"/>
      <c r="H104" s="119"/>
      <c r="I104" s="119"/>
      <c r="J104" s="119"/>
      <c r="K104" s="119"/>
      <c r="L104" s="119"/>
    </row>
    <row r="105" spans="1:12" s="120" customFormat="1" x14ac:dyDescent="0.3">
      <c r="A105" s="116"/>
      <c r="B105" s="121" t="s">
        <v>201</v>
      </c>
      <c r="C105" s="117">
        <v>15</v>
      </c>
      <c r="D105" s="118">
        <f t="shared" si="23"/>
        <v>42985</v>
      </c>
      <c r="E105" s="118">
        <f t="shared" si="22"/>
        <v>43000</v>
      </c>
      <c r="F105" s="119"/>
      <c r="G105" s="119"/>
      <c r="H105" s="119"/>
      <c r="I105" s="119"/>
      <c r="J105" s="119"/>
      <c r="K105" s="119"/>
      <c r="L105" s="119"/>
    </row>
    <row r="106" spans="1:12" s="120" customFormat="1" x14ac:dyDescent="0.3">
      <c r="A106" s="116"/>
      <c r="B106" s="121" t="s">
        <v>202</v>
      </c>
      <c r="C106" s="117">
        <f>17*30</f>
        <v>510</v>
      </c>
      <c r="D106" s="118">
        <f t="shared" si="23"/>
        <v>43000</v>
      </c>
      <c r="E106" s="118">
        <f t="shared" si="22"/>
        <v>43510</v>
      </c>
      <c r="F106" s="119"/>
      <c r="G106" s="119"/>
      <c r="H106" s="119"/>
      <c r="I106" s="119"/>
      <c r="J106" s="119"/>
      <c r="K106" s="119"/>
      <c r="L106" s="119"/>
    </row>
    <row r="107" spans="1:12" ht="19.2" customHeight="1" x14ac:dyDescent="0.3">
      <c r="A107" s="105"/>
      <c r="B107" s="106" t="str">
        <f>'1. Detailed Budget.2 '!C18</f>
        <v xml:space="preserve">Componente 2. Apoyo a la financiación de la preinversión </v>
      </c>
      <c r="C107" s="107"/>
      <c r="D107" s="108"/>
      <c r="E107" s="108"/>
      <c r="F107" s="109">
        <f>F108+F285+F297</f>
        <v>12051960</v>
      </c>
      <c r="G107" s="109">
        <f t="shared" ref="G107:L107" si="24">+G109+G452</f>
        <v>0</v>
      </c>
      <c r="H107" s="109">
        <f t="shared" si="24"/>
        <v>0</v>
      </c>
      <c r="I107" s="109">
        <f t="shared" si="24"/>
        <v>105000</v>
      </c>
      <c r="J107" s="109">
        <f t="shared" si="24"/>
        <v>195000</v>
      </c>
      <c r="K107" s="109">
        <f t="shared" si="24"/>
        <v>0</v>
      </c>
      <c r="L107" s="109">
        <f t="shared" si="24"/>
        <v>0</v>
      </c>
    </row>
    <row r="108" spans="1:12" ht="23.4" customHeight="1" x14ac:dyDescent="0.3">
      <c r="B108" s="111" t="str">
        <f>'1. Detailed Budget.2 '!A19</f>
        <v>2.1 Estudios de preinversión financiados</v>
      </c>
      <c r="C108" s="112"/>
      <c r="D108" s="114"/>
      <c r="E108" s="114"/>
      <c r="F108" s="115">
        <f>F109+F120+F131+F142+F153+F164+F175+F186+F197+F208+F219+F230+F241+F252+F263+F274</f>
        <v>12000000</v>
      </c>
      <c r="G108" s="115">
        <f t="shared" ref="G108:L108" si="25">+G109+G150</f>
        <v>0</v>
      </c>
      <c r="H108" s="115">
        <f t="shared" si="25"/>
        <v>0</v>
      </c>
      <c r="I108" s="115">
        <f t="shared" si="25"/>
        <v>105000</v>
      </c>
      <c r="J108" s="115">
        <f t="shared" si="25"/>
        <v>195000</v>
      </c>
      <c r="K108" s="115">
        <f t="shared" si="25"/>
        <v>0</v>
      </c>
      <c r="L108" s="115">
        <f t="shared" si="25"/>
        <v>0</v>
      </c>
    </row>
    <row r="109" spans="1:12" s="120" customFormat="1" ht="46.95" customHeight="1" x14ac:dyDescent="0.3">
      <c r="A109" s="116">
        <v>1</v>
      </c>
      <c r="B109" s="98" t="str">
        <f>'1. Detailed Budget.2 '!H19</f>
        <v>Consultoría para elaboración Estudios de preinversión de la CONSTRUCCIÓN DE TERMINAL DE BUSES - Villaserrano (MOPSV-GAM)</v>
      </c>
      <c r="C109" s="117"/>
      <c r="D109" s="118"/>
      <c r="E109" s="118"/>
      <c r="F109" s="119">
        <f>'1. Detailed Budget.2 '!L19</f>
        <v>300000</v>
      </c>
      <c r="G109" s="119"/>
      <c r="I109" s="119">
        <f>+F109*35%</f>
        <v>105000</v>
      </c>
      <c r="J109" s="119">
        <f>+F109*65%</f>
        <v>195000</v>
      </c>
      <c r="K109" s="119"/>
      <c r="L109" s="119"/>
    </row>
    <row r="110" spans="1:12" s="120" customFormat="1" x14ac:dyDescent="0.3">
      <c r="A110" s="116"/>
      <c r="B110" s="121" t="s">
        <v>193</v>
      </c>
      <c r="C110" s="117">
        <v>90</v>
      </c>
      <c r="D110" s="118">
        <v>42689</v>
      </c>
      <c r="E110" s="118">
        <f>+D110+C110</f>
        <v>42779</v>
      </c>
      <c r="F110" s="119"/>
      <c r="G110" s="119"/>
      <c r="H110" s="119"/>
      <c r="I110" s="119"/>
      <c r="J110" s="119"/>
      <c r="K110" s="119"/>
      <c r="L110" s="119"/>
    </row>
    <row r="111" spans="1:12" s="120" customFormat="1" x14ac:dyDescent="0.3">
      <c r="A111" s="116"/>
      <c r="B111" s="121" t="s">
        <v>194</v>
      </c>
      <c r="C111" s="117">
        <v>14</v>
      </c>
      <c r="D111" s="118">
        <f t="shared" ref="D111:D119" si="26">+E110</f>
        <v>42779</v>
      </c>
      <c r="E111" s="118">
        <f t="shared" ref="E111:E119" si="27">+D111+C111</f>
        <v>42793</v>
      </c>
      <c r="F111" s="119"/>
      <c r="G111" s="119"/>
      <c r="H111" s="119"/>
      <c r="I111" s="119"/>
      <c r="J111" s="119"/>
      <c r="K111" s="119"/>
      <c r="L111" s="119"/>
    </row>
    <row r="112" spans="1:12" s="120" customFormat="1" x14ac:dyDescent="0.3">
      <c r="A112" s="116"/>
      <c r="B112" s="121" t="s">
        <v>195</v>
      </c>
      <c r="C112" s="117">
        <v>7</v>
      </c>
      <c r="D112" s="118">
        <f t="shared" si="26"/>
        <v>42793</v>
      </c>
      <c r="E112" s="118">
        <f t="shared" si="27"/>
        <v>42800</v>
      </c>
      <c r="F112" s="119"/>
      <c r="G112" s="119"/>
      <c r="H112" s="119"/>
      <c r="I112" s="119"/>
      <c r="J112" s="119"/>
      <c r="K112" s="119"/>
      <c r="L112" s="119"/>
    </row>
    <row r="113" spans="1:12" s="120" customFormat="1" ht="28.8" x14ac:dyDescent="0.3">
      <c r="A113" s="116"/>
      <c r="B113" s="121" t="s">
        <v>196</v>
      </c>
      <c r="C113" s="117">
        <v>5</v>
      </c>
      <c r="D113" s="118">
        <f t="shared" si="26"/>
        <v>42800</v>
      </c>
      <c r="E113" s="118">
        <f t="shared" si="27"/>
        <v>42805</v>
      </c>
      <c r="F113" s="119"/>
      <c r="G113" s="119"/>
      <c r="H113" s="119"/>
      <c r="I113" s="119"/>
      <c r="J113" s="119"/>
      <c r="K113" s="119"/>
      <c r="L113" s="119"/>
    </row>
    <row r="114" spans="1:12" s="120" customFormat="1" x14ac:dyDescent="0.3">
      <c r="A114" s="116"/>
      <c r="B114" s="121" t="s">
        <v>197</v>
      </c>
      <c r="C114" s="117">
        <v>45</v>
      </c>
      <c r="D114" s="118">
        <f t="shared" si="26"/>
        <v>42805</v>
      </c>
      <c r="E114" s="118">
        <f t="shared" si="27"/>
        <v>42850</v>
      </c>
      <c r="F114" s="119"/>
      <c r="G114" s="119"/>
      <c r="H114" s="119"/>
      <c r="I114" s="119"/>
      <c r="J114" s="119"/>
      <c r="K114" s="119"/>
      <c r="L114" s="119"/>
    </row>
    <row r="115" spans="1:12" s="120" customFormat="1" x14ac:dyDescent="0.3">
      <c r="A115" s="116"/>
      <c r="B115" s="121" t="s">
        <v>198</v>
      </c>
      <c r="C115" s="117">
        <v>10</v>
      </c>
      <c r="D115" s="118">
        <f t="shared" si="26"/>
        <v>42850</v>
      </c>
      <c r="E115" s="118">
        <f t="shared" si="27"/>
        <v>42860</v>
      </c>
      <c r="F115" s="119"/>
      <c r="G115" s="119"/>
      <c r="H115" s="119"/>
      <c r="I115" s="119"/>
      <c r="J115" s="119"/>
      <c r="K115" s="119"/>
      <c r="L115" s="119"/>
    </row>
    <row r="116" spans="1:12" s="120" customFormat="1" x14ac:dyDescent="0.3">
      <c r="A116" s="116"/>
      <c r="B116" s="121" t="s">
        <v>199</v>
      </c>
      <c r="C116" s="117">
        <v>5</v>
      </c>
      <c r="D116" s="118">
        <f t="shared" si="26"/>
        <v>42860</v>
      </c>
      <c r="E116" s="118">
        <f t="shared" si="27"/>
        <v>42865</v>
      </c>
      <c r="F116" s="119"/>
      <c r="G116" s="119"/>
      <c r="H116" s="119"/>
      <c r="I116" s="119"/>
      <c r="J116" s="119"/>
      <c r="K116" s="119"/>
      <c r="L116" s="119"/>
    </row>
    <row r="117" spans="1:12" s="120" customFormat="1" x14ac:dyDescent="0.3">
      <c r="A117" s="116"/>
      <c r="B117" s="121" t="s">
        <v>200</v>
      </c>
      <c r="C117" s="117">
        <v>1</v>
      </c>
      <c r="D117" s="118">
        <f t="shared" si="26"/>
        <v>42865</v>
      </c>
      <c r="E117" s="118">
        <f t="shared" si="27"/>
        <v>42866</v>
      </c>
      <c r="F117" s="119"/>
      <c r="G117" s="119"/>
      <c r="H117" s="119"/>
      <c r="I117" s="119"/>
      <c r="J117" s="119"/>
      <c r="K117" s="119"/>
      <c r="L117" s="119"/>
    </row>
    <row r="118" spans="1:12" s="120" customFormat="1" x14ac:dyDescent="0.3">
      <c r="A118" s="116"/>
      <c r="B118" s="121" t="s">
        <v>201</v>
      </c>
      <c r="C118" s="117">
        <v>15</v>
      </c>
      <c r="D118" s="118">
        <f t="shared" si="26"/>
        <v>42866</v>
      </c>
      <c r="E118" s="118">
        <f t="shared" si="27"/>
        <v>42881</v>
      </c>
      <c r="F118" s="119"/>
      <c r="G118" s="119"/>
      <c r="H118" s="119"/>
      <c r="I118" s="119"/>
      <c r="J118" s="119"/>
      <c r="K118" s="119"/>
      <c r="L118" s="119"/>
    </row>
    <row r="119" spans="1:12" s="120" customFormat="1" x14ac:dyDescent="0.3">
      <c r="A119" s="116"/>
      <c r="B119" s="121" t="s">
        <v>202</v>
      </c>
      <c r="C119" s="117">
        <f>17*30</f>
        <v>510</v>
      </c>
      <c r="D119" s="118">
        <f t="shared" si="26"/>
        <v>42881</v>
      </c>
      <c r="E119" s="118">
        <f t="shared" si="27"/>
        <v>43391</v>
      </c>
      <c r="F119" s="119"/>
      <c r="G119" s="119"/>
      <c r="H119" s="119"/>
      <c r="I119" s="119"/>
      <c r="J119" s="119"/>
      <c r="K119" s="119"/>
      <c r="L119" s="119"/>
    </row>
    <row r="120" spans="1:12" s="120" customFormat="1" ht="30" customHeight="1" x14ac:dyDescent="0.3">
      <c r="A120" s="116">
        <v>2</v>
      </c>
      <c r="B120" s="98" t="str">
        <f>'1. Detailed Budget.2 '!H20</f>
        <v>Consultoría para elaboración Estudios de preinversión de CONSTRUCCIÓN DEL PARQUE INDUSTRIAL TARIJA</v>
      </c>
      <c r="C120" s="117"/>
      <c r="D120" s="118"/>
      <c r="E120" s="118"/>
      <c r="F120" s="119">
        <f>'1. Detailed Budget.2 '!L20</f>
        <v>300000</v>
      </c>
      <c r="G120" s="119"/>
      <c r="H120" s="119"/>
      <c r="I120" s="119">
        <f>+F120*40%</f>
        <v>120000</v>
      </c>
      <c r="J120" s="119">
        <f>+F120*60%</f>
        <v>180000</v>
      </c>
      <c r="K120" s="119"/>
      <c r="L120" s="119"/>
    </row>
    <row r="121" spans="1:12" s="120" customFormat="1" x14ac:dyDescent="0.3">
      <c r="A121" s="116"/>
      <c r="B121" s="121" t="s">
        <v>193</v>
      </c>
      <c r="C121" s="117">
        <v>90</v>
      </c>
      <c r="D121" s="118">
        <v>42686</v>
      </c>
      <c r="E121" s="118">
        <f>+D121+C121</f>
        <v>42776</v>
      </c>
      <c r="F121" s="119"/>
      <c r="G121" s="119"/>
      <c r="H121" s="119"/>
      <c r="I121" s="119"/>
      <c r="J121" s="119"/>
      <c r="K121" s="119"/>
      <c r="L121" s="119"/>
    </row>
    <row r="122" spans="1:12" s="120" customFormat="1" x14ac:dyDescent="0.3">
      <c r="A122" s="116"/>
      <c r="B122" s="121" t="s">
        <v>194</v>
      </c>
      <c r="C122" s="117">
        <v>14</v>
      </c>
      <c r="D122" s="118">
        <f t="shared" ref="D122:D130" si="28">+E121</f>
        <v>42776</v>
      </c>
      <c r="E122" s="118">
        <f t="shared" ref="E122:E130" si="29">+D122+C122</f>
        <v>42790</v>
      </c>
      <c r="F122" s="119"/>
      <c r="G122" s="119"/>
      <c r="H122" s="119"/>
      <c r="I122" s="119"/>
      <c r="J122" s="119"/>
      <c r="K122" s="119"/>
      <c r="L122" s="119"/>
    </row>
    <row r="123" spans="1:12" s="120" customFormat="1" x14ac:dyDescent="0.3">
      <c r="A123" s="116"/>
      <c r="B123" s="121" t="s">
        <v>195</v>
      </c>
      <c r="C123" s="117">
        <v>7</v>
      </c>
      <c r="D123" s="118">
        <f t="shared" si="28"/>
        <v>42790</v>
      </c>
      <c r="E123" s="118">
        <f t="shared" si="29"/>
        <v>42797</v>
      </c>
      <c r="F123" s="119"/>
      <c r="G123" s="119"/>
      <c r="H123" s="119"/>
      <c r="I123" s="119"/>
      <c r="J123" s="119"/>
      <c r="K123" s="119"/>
      <c r="L123" s="119"/>
    </row>
    <row r="124" spans="1:12" s="120" customFormat="1" ht="28.8" x14ac:dyDescent="0.3">
      <c r="A124" s="116"/>
      <c r="B124" s="121" t="s">
        <v>196</v>
      </c>
      <c r="C124" s="117">
        <v>5</v>
      </c>
      <c r="D124" s="118">
        <f t="shared" si="28"/>
        <v>42797</v>
      </c>
      <c r="E124" s="118">
        <f t="shared" si="29"/>
        <v>42802</v>
      </c>
      <c r="F124" s="119"/>
      <c r="G124" s="119"/>
      <c r="H124" s="119"/>
      <c r="I124" s="119"/>
      <c r="J124" s="119"/>
      <c r="K124" s="119"/>
      <c r="L124" s="119"/>
    </row>
    <row r="125" spans="1:12" s="120" customFormat="1" x14ac:dyDescent="0.3">
      <c r="A125" s="116"/>
      <c r="B125" s="121" t="s">
        <v>197</v>
      </c>
      <c r="C125" s="117">
        <v>45</v>
      </c>
      <c r="D125" s="118">
        <f t="shared" si="28"/>
        <v>42802</v>
      </c>
      <c r="E125" s="118">
        <f t="shared" si="29"/>
        <v>42847</v>
      </c>
      <c r="F125" s="119"/>
      <c r="G125" s="119"/>
      <c r="H125" s="119"/>
      <c r="I125" s="119"/>
      <c r="J125" s="119"/>
      <c r="K125" s="119"/>
      <c r="L125" s="119"/>
    </row>
    <row r="126" spans="1:12" s="120" customFormat="1" x14ac:dyDescent="0.3">
      <c r="A126" s="116"/>
      <c r="B126" s="121" t="s">
        <v>198</v>
      </c>
      <c r="C126" s="117">
        <v>10</v>
      </c>
      <c r="D126" s="118">
        <f t="shared" si="28"/>
        <v>42847</v>
      </c>
      <c r="E126" s="118">
        <f t="shared" si="29"/>
        <v>42857</v>
      </c>
      <c r="F126" s="119"/>
      <c r="G126" s="119"/>
      <c r="H126" s="119"/>
      <c r="I126" s="119"/>
      <c r="J126" s="119"/>
      <c r="K126" s="119"/>
      <c r="L126" s="119"/>
    </row>
    <row r="127" spans="1:12" s="120" customFormat="1" x14ac:dyDescent="0.3">
      <c r="A127" s="116"/>
      <c r="B127" s="121" t="s">
        <v>199</v>
      </c>
      <c r="C127" s="117">
        <v>5</v>
      </c>
      <c r="D127" s="118">
        <f t="shared" si="28"/>
        <v>42857</v>
      </c>
      <c r="E127" s="118">
        <f t="shared" si="29"/>
        <v>42862</v>
      </c>
      <c r="F127" s="119"/>
      <c r="G127" s="119"/>
      <c r="H127" s="119"/>
      <c r="I127" s="119"/>
      <c r="J127" s="119"/>
      <c r="K127" s="119"/>
      <c r="L127" s="119"/>
    </row>
    <row r="128" spans="1:12" s="120" customFormat="1" x14ac:dyDescent="0.3">
      <c r="A128" s="116"/>
      <c r="B128" s="121" t="s">
        <v>200</v>
      </c>
      <c r="C128" s="117">
        <v>1</v>
      </c>
      <c r="D128" s="118">
        <f t="shared" si="28"/>
        <v>42862</v>
      </c>
      <c r="E128" s="118">
        <f t="shared" si="29"/>
        <v>42863</v>
      </c>
      <c r="F128" s="119"/>
      <c r="G128" s="119"/>
      <c r="H128" s="119"/>
      <c r="I128" s="119"/>
      <c r="J128" s="119"/>
      <c r="K128" s="119"/>
      <c r="L128" s="119"/>
    </row>
    <row r="129" spans="1:12" s="120" customFormat="1" x14ac:dyDescent="0.3">
      <c r="A129" s="116"/>
      <c r="B129" s="121" t="s">
        <v>201</v>
      </c>
      <c r="C129" s="117">
        <v>15</v>
      </c>
      <c r="D129" s="118">
        <f t="shared" si="28"/>
        <v>42863</v>
      </c>
      <c r="E129" s="118">
        <f t="shared" si="29"/>
        <v>42878</v>
      </c>
      <c r="F129" s="119"/>
      <c r="G129" s="119"/>
      <c r="H129" s="119"/>
      <c r="I129" s="119"/>
      <c r="J129" s="119"/>
      <c r="K129" s="119"/>
      <c r="L129" s="119"/>
    </row>
    <row r="130" spans="1:12" s="120" customFormat="1" x14ac:dyDescent="0.3">
      <c r="A130" s="116"/>
      <c r="B130" s="121" t="s">
        <v>202</v>
      </c>
      <c r="C130" s="117">
        <f>17*30</f>
        <v>510</v>
      </c>
      <c r="D130" s="118">
        <f t="shared" si="28"/>
        <v>42878</v>
      </c>
      <c r="E130" s="118">
        <f t="shared" si="29"/>
        <v>43388</v>
      </c>
      <c r="F130" s="119"/>
      <c r="G130" s="119"/>
      <c r="H130" s="119"/>
      <c r="I130" s="119"/>
      <c r="J130" s="119"/>
      <c r="K130" s="119"/>
      <c r="L130" s="119"/>
    </row>
    <row r="131" spans="1:12" s="120" customFormat="1" ht="41.4" customHeight="1" x14ac:dyDescent="0.3">
      <c r="A131" s="116">
        <v>3</v>
      </c>
      <c r="B131" s="98" t="str">
        <f>'1. Detailed Budget.2 '!H21</f>
        <v>Consultoría para elaboración Estudios de preinversión de CONSERVACIÓN Y REHABILITACIÓN DE PRESAS DE KARI KARI (Potosí)</v>
      </c>
      <c r="C131" s="117"/>
      <c r="D131" s="118"/>
      <c r="E131" s="118"/>
      <c r="F131" s="119">
        <f>'1. Detailed Budget.2 '!L21</f>
        <v>100000</v>
      </c>
      <c r="G131" s="119"/>
      <c r="H131" s="119"/>
      <c r="I131" s="119">
        <f>+F131*40%</f>
        <v>40000</v>
      </c>
      <c r="J131" s="119">
        <f>+F131*60%</f>
        <v>60000</v>
      </c>
      <c r="K131" s="119"/>
      <c r="L131" s="119"/>
    </row>
    <row r="132" spans="1:12" s="120" customFormat="1" x14ac:dyDescent="0.3">
      <c r="A132" s="116"/>
      <c r="B132" s="121" t="s">
        <v>193</v>
      </c>
      <c r="C132" s="117">
        <v>90</v>
      </c>
      <c r="D132" s="118">
        <v>42689</v>
      </c>
      <c r="E132" s="118">
        <f>+D132+C132</f>
        <v>42779</v>
      </c>
      <c r="F132" s="119"/>
      <c r="G132" s="119"/>
      <c r="H132" s="119"/>
      <c r="I132" s="119"/>
      <c r="J132" s="119"/>
      <c r="K132" s="119"/>
      <c r="L132" s="119"/>
    </row>
    <row r="133" spans="1:12" s="120" customFormat="1" x14ac:dyDescent="0.3">
      <c r="A133" s="116"/>
      <c r="B133" s="121" t="s">
        <v>194</v>
      </c>
      <c r="C133" s="117">
        <v>14</v>
      </c>
      <c r="D133" s="118">
        <f t="shared" ref="D133:D141" si="30">+E132</f>
        <v>42779</v>
      </c>
      <c r="E133" s="118">
        <f t="shared" ref="E133:E141" si="31">+D133+C133</f>
        <v>42793</v>
      </c>
      <c r="F133" s="119"/>
      <c r="G133" s="119"/>
      <c r="H133" s="119"/>
      <c r="I133" s="119"/>
      <c r="J133" s="119"/>
      <c r="K133" s="119"/>
      <c r="L133" s="119"/>
    </row>
    <row r="134" spans="1:12" s="120" customFormat="1" x14ac:dyDescent="0.3">
      <c r="A134" s="116"/>
      <c r="B134" s="121" t="s">
        <v>195</v>
      </c>
      <c r="C134" s="117">
        <v>7</v>
      </c>
      <c r="D134" s="118">
        <f t="shared" si="30"/>
        <v>42793</v>
      </c>
      <c r="E134" s="118">
        <f t="shared" si="31"/>
        <v>42800</v>
      </c>
      <c r="F134" s="119"/>
      <c r="G134" s="119"/>
      <c r="H134" s="119"/>
      <c r="I134" s="119"/>
      <c r="J134" s="119"/>
      <c r="K134" s="119"/>
      <c r="L134" s="119"/>
    </row>
    <row r="135" spans="1:12" s="120" customFormat="1" ht="28.8" x14ac:dyDescent="0.3">
      <c r="A135" s="116"/>
      <c r="B135" s="121" t="s">
        <v>196</v>
      </c>
      <c r="C135" s="117">
        <v>5</v>
      </c>
      <c r="D135" s="118">
        <f t="shared" si="30"/>
        <v>42800</v>
      </c>
      <c r="E135" s="118">
        <f t="shared" si="31"/>
        <v>42805</v>
      </c>
      <c r="F135" s="119"/>
      <c r="G135" s="119"/>
      <c r="H135" s="119"/>
      <c r="I135" s="119"/>
      <c r="J135" s="119"/>
      <c r="K135" s="119"/>
      <c r="L135" s="119"/>
    </row>
    <row r="136" spans="1:12" s="120" customFormat="1" x14ac:dyDescent="0.3">
      <c r="A136" s="116"/>
      <c r="B136" s="121" t="s">
        <v>197</v>
      </c>
      <c r="C136" s="117">
        <v>45</v>
      </c>
      <c r="D136" s="118">
        <f t="shared" si="30"/>
        <v>42805</v>
      </c>
      <c r="E136" s="118">
        <f t="shared" si="31"/>
        <v>42850</v>
      </c>
      <c r="F136" s="119"/>
      <c r="G136" s="119"/>
      <c r="H136" s="119"/>
      <c r="I136" s="119"/>
      <c r="J136" s="119"/>
      <c r="K136" s="119"/>
      <c r="L136" s="119"/>
    </row>
    <row r="137" spans="1:12" s="120" customFormat="1" x14ac:dyDescent="0.3">
      <c r="A137" s="116"/>
      <c r="B137" s="121" t="s">
        <v>198</v>
      </c>
      <c r="C137" s="117">
        <v>10</v>
      </c>
      <c r="D137" s="118">
        <f t="shared" si="30"/>
        <v>42850</v>
      </c>
      <c r="E137" s="118">
        <f t="shared" si="31"/>
        <v>42860</v>
      </c>
      <c r="F137" s="119"/>
      <c r="G137" s="119"/>
      <c r="H137" s="119"/>
      <c r="I137" s="119"/>
      <c r="J137" s="119"/>
      <c r="K137" s="119"/>
      <c r="L137" s="119"/>
    </row>
    <row r="138" spans="1:12" s="120" customFormat="1" x14ac:dyDescent="0.3">
      <c r="A138" s="116"/>
      <c r="B138" s="121" t="s">
        <v>199</v>
      </c>
      <c r="C138" s="117">
        <v>5</v>
      </c>
      <c r="D138" s="118">
        <f t="shared" si="30"/>
        <v>42860</v>
      </c>
      <c r="E138" s="118">
        <f t="shared" si="31"/>
        <v>42865</v>
      </c>
      <c r="F138" s="119"/>
      <c r="G138" s="119"/>
      <c r="H138" s="119"/>
      <c r="I138" s="119"/>
      <c r="J138" s="119"/>
      <c r="K138" s="119"/>
      <c r="L138" s="119"/>
    </row>
    <row r="139" spans="1:12" s="120" customFormat="1" x14ac:dyDescent="0.3">
      <c r="A139" s="116"/>
      <c r="B139" s="121" t="s">
        <v>200</v>
      </c>
      <c r="C139" s="117">
        <v>1</v>
      </c>
      <c r="D139" s="118">
        <f t="shared" si="30"/>
        <v>42865</v>
      </c>
      <c r="E139" s="118">
        <f t="shared" si="31"/>
        <v>42866</v>
      </c>
      <c r="F139" s="119"/>
      <c r="G139" s="119"/>
      <c r="H139" s="119"/>
      <c r="I139" s="119"/>
      <c r="J139" s="119"/>
      <c r="K139" s="119"/>
      <c r="L139" s="119"/>
    </row>
    <row r="140" spans="1:12" s="120" customFormat="1" x14ac:dyDescent="0.3">
      <c r="A140" s="116"/>
      <c r="B140" s="121" t="s">
        <v>201</v>
      </c>
      <c r="C140" s="117">
        <v>15</v>
      </c>
      <c r="D140" s="118">
        <f t="shared" si="30"/>
        <v>42866</v>
      </c>
      <c r="E140" s="118">
        <f t="shared" si="31"/>
        <v>42881</v>
      </c>
      <c r="F140" s="119"/>
      <c r="G140" s="119"/>
      <c r="H140" s="119"/>
      <c r="I140" s="119"/>
      <c r="J140" s="119"/>
      <c r="K140" s="119"/>
      <c r="L140" s="119"/>
    </row>
    <row r="141" spans="1:12" s="120" customFormat="1" x14ac:dyDescent="0.3">
      <c r="A141" s="116"/>
      <c r="B141" s="121" t="s">
        <v>202</v>
      </c>
      <c r="C141" s="117">
        <f>17*30</f>
        <v>510</v>
      </c>
      <c r="D141" s="118">
        <f t="shared" si="30"/>
        <v>42881</v>
      </c>
      <c r="E141" s="118">
        <f t="shared" si="31"/>
        <v>43391</v>
      </c>
      <c r="F141" s="119"/>
      <c r="G141" s="119"/>
      <c r="H141" s="119"/>
      <c r="I141" s="119"/>
      <c r="J141" s="119"/>
      <c r="K141" s="119"/>
      <c r="L141" s="119"/>
    </row>
    <row r="142" spans="1:12" s="120" customFormat="1" ht="31.2" customHeight="1" x14ac:dyDescent="0.3">
      <c r="A142" s="116">
        <v>4</v>
      </c>
      <c r="B142" s="98" t="str">
        <f>'1. Detailed Budget.2 '!H22</f>
        <v>Consultoría para elaboración Estudios de preinversión de CONST. Y EQUIPAMIENTO HOSPITAL DE PANDO</v>
      </c>
      <c r="C142" s="117"/>
      <c r="D142" s="118"/>
      <c r="E142" s="118"/>
      <c r="F142" s="119">
        <f>'1. Detailed Budget.2 '!L22</f>
        <v>1500000</v>
      </c>
      <c r="G142" s="119"/>
      <c r="H142" s="119"/>
      <c r="I142" s="119">
        <f>+F142*35%</f>
        <v>525000</v>
      </c>
      <c r="J142" s="119">
        <f>+F142*65%</f>
        <v>975000</v>
      </c>
      <c r="K142" s="119"/>
      <c r="L142" s="119"/>
    </row>
    <row r="143" spans="1:12" s="120" customFormat="1" x14ac:dyDescent="0.3">
      <c r="A143" s="116"/>
      <c r="B143" s="121" t="s">
        <v>193</v>
      </c>
      <c r="C143" s="117">
        <v>90</v>
      </c>
      <c r="D143" s="118">
        <v>42684</v>
      </c>
      <c r="E143" s="118">
        <f>+D143+C143</f>
        <v>42774</v>
      </c>
      <c r="F143" s="119"/>
      <c r="G143" s="119"/>
      <c r="H143" s="119"/>
      <c r="I143" s="119"/>
      <c r="J143" s="119"/>
      <c r="K143" s="119"/>
      <c r="L143" s="119"/>
    </row>
    <row r="144" spans="1:12" s="120" customFormat="1" x14ac:dyDescent="0.3">
      <c r="A144" s="116"/>
      <c r="B144" s="121" t="s">
        <v>194</v>
      </c>
      <c r="C144" s="117">
        <v>14</v>
      </c>
      <c r="D144" s="118">
        <f t="shared" ref="D144:D152" si="32">+E143</f>
        <v>42774</v>
      </c>
      <c r="E144" s="118">
        <f t="shared" ref="E144:E152" si="33">+D144+C144</f>
        <v>42788</v>
      </c>
      <c r="F144" s="119"/>
      <c r="G144" s="119"/>
      <c r="H144" s="119"/>
      <c r="I144" s="119"/>
      <c r="J144" s="119"/>
      <c r="K144" s="119"/>
      <c r="L144" s="119"/>
    </row>
    <row r="145" spans="1:12" s="120" customFormat="1" x14ac:dyDescent="0.3">
      <c r="A145" s="116"/>
      <c r="B145" s="121" t="s">
        <v>195</v>
      </c>
      <c r="C145" s="117">
        <v>7</v>
      </c>
      <c r="D145" s="118">
        <f t="shared" si="32"/>
        <v>42788</v>
      </c>
      <c r="E145" s="118">
        <f t="shared" si="33"/>
        <v>42795</v>
      </c>
      <c r="F145" s="119"/>
      <c r="G145" s="119"/>
      <c r="H145" s="119"/>
      <c r="I145" s="119"/>
      <c r="J145" s="119"/>
      <c r="K145" s="119"/>
      <c r="L145" s="119"/>
    </row>
    <row r="146" spans="1:12" s="120" customFormat="1" ht="28.8" x14ac:dyDescent="0.3">
      <c r="A146" s="116"/>
      <c r="B146" s="121" t="s">
        <v>196</v>
      </c>
      <c r="C146" s="117">
        <v>5</v>
      </c>
      <c r="D146" s="118">
        <f t="shared" si="32"/>
        <v>42795</v>
      </c>
      <c r="E146" s="118">
        <f t="shared" si="33"/>
        <v>42800</v>
      </c>
      <c r="F146" s="119"/>
      <c r="G146" s="119"/>
      <c r="H146" s="119"/>
      <c r="I146" s="119"/>
      <c r="J146" s="119"/>
      <c r="K146" s="119"/>
      <c r="L146" s="119"/>
    </row>
    <row r="147" spans="1:12" s="120" customFormat="1" x14ac:dyDescent="0.3">
      <c r="A147" s="116"/>
      <c r="B147" s="121" t="s">
        <v>197</v>
      </c>
      <c r="C147" s="117">
        <v>45</v>
      </c>
      <c r="D147" s="118">
        <f t="shared" si="32"/>
        <v>42800</v>
      </c>
      <c r="E147" s="118">
        <f t="shared" si="33"/>
        <v>42845</v>
      </c>
      <c r="F147" s="119"/>
      <c r="G147" s="119"/>
      <c r="H147" s="119"/>
      <c r="I147" s="119"/>
      <c r="J147" s="119"/>
      <c r="K147" s="119"/>
      <c r="L147" s="119"/>
    </row>
    <row r="148" spans="1:12" s="120" customFormat="1" x14ac:dyDescent="0.3">
      <c r="A148" s="116"/>
      <c r="B148" s="121" t="s">
        <v>198</v>
      </c>
      <c r="C148" s="117">
        <v>10</v>
      </c>
      <c r="D148" s="118">
        <f t="shared" si="32"/>
        <v>42845</v>
      </c>
      <c r="E148" s="118">
        <f t="shared" si="33"/>
        <v>42855</v>
      </c>
      <c r="F148" s="119"/>
      <c r="G148" s="119"/>
      <c r="H148" s="119"/>
      <c r="I148" s="119"/>
      <c r="J148" s="119"/>
      <c r="K148" s="119"/>
      <c r="L148" s="119"/>
    </row>
    <row r="149" spans="1:12" s="120" customFormat="1" x14ac:dyDescent="0.3">
      <c r="A149" s="116"/>
      <c r="B149" s="121" t="s">
        <v>199</v>
      </c>
      <c r="C149" s="117">
        <v>5</v>
      </c>
      <c r="D149" s="118">
        <f t="shared" si="32"/>
        <v>42855</v>
      </c>
      <c r="E149" s="118">
        <f t="shared" si="33"/>
        <v>42860</v>
      </c>
      <c r="F149" s="119"/>
      <c r="G149" s="119"/>
      <c r="H149" s="119"/>
      <c r="I149" s="119"/>
      <c r="J149" s="119"/>
      <c r="K149" s="119"/>
      <c r="L149" s="119"/>
    </row>
    <row r="150" spans="1:12" s="120" customFormat="1" x14ac:dyDescent="0.3">
      <c r="A150" s="116"/>
      <c r="B150" s="121" t="s">
        <v>200</v>
      </c>
      <c r="C150" s="117">
        <v>1</v>
      </c>
      <c r="D150" s="118">
        <f t="shared" si="32"/>
        <v>42860</v>
      </c>
      <c r="E150" s="118">
        <f t="shared" si="33"/>
        <v>42861</v>
      </c>
      <c r="F150" s="119"/>
      <c r="G150" s="119"/>
      <c r="H150" s="119"/>
      <c r="I150" s="119"/>
      <c r="J150" s="119"/>
      <c r="K150" s="119"/>
      <c r="L150" s="119"/>
    </row>
    <row r="151" spans="1:12" s="120" customFormat="1" x14ac:dyDescent="0.3">
      <c r="A151" s="116"/>
      <c r="B151" s="121" t="s">
        <v>201</v>
      </c>
      <c r="C151" s="117">
        <v>15</v>
      </c>
      <c r="D151" s="118">
        <f t="shared" si="32"/>
        <v>42861</v>
      </c>
      <c r="E151" s="118">
        <f t="shared" si="33"/>
        <v>42876</v>
      </c>
      <c r="F151" s="119"/>
      <c r="G151" s="119"/>
      <c r="H151" s="119"/>
      <c r="I151" s="119"/>
      <c r="J151" s="119"/>
      <c r="K151" s="119"/>
      <c r="L151" s="119"/>
    </row>
    <row r="152" spans="1:12" s="120" customFormat="1" x14ac:dyDescent="0.3">
      <c r="A152" s="116"/>
      <c r="B152" s="121" t="s">
        <v>202</v>
      </c>
      <c r="C152" s="117">
        <f>17*30</f>
        <v>510</v>
      </c>
      <c r="D152" s="118">
        <f t="shared" si="32"/>
        <v>42876</v>
      </c>
      <c r="E152" s="118">
        <f t="shared" si="33"/>
        <v>43386</v>
      </c>
      <c r="F152" s="119"/>
      <c r="G152" s="119"/>
      <c r="H152" s="119"/>
      <c r="I152" s="119"/>
      <c r="J152" s="119"/>
      <c r="K152" s="119"/>
      <c r="L152" s="119"/>
    </row>
    <row r="153" spans="1:12" s="120" customFormat="1" ht="40.950000000000003" customHeight="1" x14ac:dyDescent="0.3">
      <c r="A153" s="116">
        <v>5</v>
      </c>
      <c r="B153" s="98" t="str">
        <f>'1. Detailed Budget.2 '!H23</f>
        <v>Consultoría para elaboración Estudios de preinversión de CONST. E IMPL. CENTRO DE MEDICINA NUCLEAR - RADIOTERAPIA</v>
      </c>
      <c r="C153" s="117"/>
      <c r="D153" s="118"/>
      <c r="E153" s="118"/>
      <c r="F153" s="119">
        <f>'1. Detailed Budget.2 '!L23</f>
        <v>1000000</v>
      </c>
      <c r="G153" s="119"/>
      <c r="H153" s="119"/>
      <c r="I153" s="119">
        <f>+F153*45%</f>
        <v>450000</v>
      </c>
      <c r="J153" s="119">
        <f>+F153*55%</f>
        <v>550000</v>
      </c>
      <c r="K153" s="119"/>
      <c r="L153" s="119"/>
    </row>
    <row r="154" spans="1:12" s="120" customFormat="1" x14ac:dyDescent="0.3">
      <c r="A154" s="116"/>
      <c r="B154" s="121" t="s">
        <v>193</v>
      </c>
      <c r="C154" s="117">
        <v>90</v>
      </c>
      <c r="D154" s="118">
        <v>42686</v>
      </c>
      <c r="E154" s="118">
        <f>+D154+C154</f>
        <v>42776</v>
      </c>
      <c r="F154" s="119"/>
      <c r="G154" s="119"/>
      <c r="H154" s="119"/>
      <c r="I154" s="119"/>
      <c r="J154" s="119"/>
      <c r="K154" s="119"/>
      <c r="L154" s="119"/>
    </row>
    <row r="155" spans="1:12" s="120" customFormat="1" x14ac:dyDescent="0.3">
      <c r="A155" s="116"/>
      <c r="B155" s="121" t="s">
        <v>194</v>
      </c>
      <c r="C155" s="117">
        <v>14</v>
      </c>
      <c r="D155" s="118">
        <f t="shared" ref="D155:D163" si="34">+E154</f>
        <v>42776</v>
      </c>
      <c r="E155" s="118">
        <f t="shared" ref="E155:E163" si="35">+D155+C155</f>
        <v>42790</v>
      </c>
      <c r="F155" s="119"/>
      <c r="G155" s="119"/>
      <c r="H155" s="119"/>
      <c r="I155" s="119"/>
      <c r="J155" s="119"/>
      <c r="K155" s="119"/>
      <c r="L155" s="119"/>
    </row>
    <row r="156" spans="1:12" s="120" customFormat="1" x14ac:dyDescent="0.3">
      <c r="A156" s="116"/>
      <c r="B156" s="121" t="s">
        <v>195</v>
      </c>
      <c r="C156" s="117">
        <v>7</v>
      </c>
      <c r="D156" s="118">
        <f t="shared" si="34"/>
        <v>42790</v>
      </c>
      <c r="E156" s="118">
        <f t="shared" si="35"/>
        <v>42797</v>
      </c>
      <c r="F156" s="119"/>
      <c r="G156" s="119"/>
      <c r="H156" s="119"/>
      <c r="I156" s="119"/>
      <c r="J156" s="119"/>
      <c r="K156" s="119"/>
      <c r="L156" s="119"/>
    </row>
    <row r="157" spans="1:12" s="120" customFormat="1" ht="28.8" x14ac:dyDescent="0.3">
      <c r="A157" s="116"/>
      <c r="B157" s="121" t="s">
        <v>196</v>
      </c>
      <c r="C157" s="117">
        <v>5</v>
      </c>
      <c r="D157" s="118">
        <f t="shared" si="34"/>
        <v>42797</v>
      </c>
      <c r="E157" s="118">
        <f t="shared" si="35"/>
        <v>42802</v>
      </c>
      <c r="F157" s="119"/>
      <c r="G157" s="119"/>
      <c r="H157" s="119"/>
      <c r="I157" s="119"/>
      <c r="J157" s="119"/>
      <c r="K157" s="119"/>
      <c r="L157" s="119"/>
    </row>
    <row r="158" spans="1:12" s="120" customFormat="1" x14ac:dyDescent="0.3">
      <c r="A158" s="116"/>
      <c r="B158" s="121" t="s">
        <v>197</v>
      </c>
      <c r="C158" s="117">
        <v>45</v>
      </c>
      <c r="D158" s="118">
        <f t="shared" si="34"/>
        <v>42802</v>
      </c>
      <c r="E158" s="118">
        <f t="shared" si="35"/>
        <v>42847</v>
      </c>
      <c r="F158" s="119"/>
      <c r="G158" s="119"/>
      <c r="H158" s="119"/>
      <c r="I158" s="119"/>
      <c r="J158" s="119"/>
      <c r="K158" s="119"/>
      <c r="L158" s="119"/>
    </row>
    <row r="159" spans="1:12" s="120" customFormat="1" x14ac:dyDescent="0.3">
      <c r="A159" s="116"/>
      <c r="B159" s="121" t="s">
        <v>198</v>
      </c>
      <c r="C159" s="117">
        <v>10</v>
      </c>
      <c r="D159" s="118">
        <f t="shared" si="34"/>
        <v>42847</v>
      </c>
      <c r="E159" s="118">
        <f t="shared" si="35"/>
        <v>42857</v>
      </c>
      <c r="F159" s="119"/>
      <c r="G159" s="119"/>
      <c r="H159" s="119"/>
      <c r="I159" s="119"/>
      <c r="J159" s="119"/>
      <c r="K159" s="119"/>
      <c r="L159" s="119"/>
    </row>
    <row r="160" spans="1:12" s="120" customFormat="1" x14ac:dyDescent="0.3">
      <c r="A160" s="116"/>
      <c r="B160" s="121" t="s">
        <v>199</v>
      </c>
      <c r="C160" s="117">
        <v>5</v>
      </c>
      <c r="D160" s="118">
        <f t="shared" si="34"/>
        <v>42857</v>
      </c>
      <c r="E160" s="118">
        <f t="shared" si="35"/>
        <v>42862</v>
      </c>
      <c r="F160" s="119"/>
      <c r="G160" s="119"/>
      <c r="H160" s="119"/>
      <c r="I160" s="119"/>
      <c r="J160" s="119"/>
      <c r="K160" s="119"/>
      <c r="L160" s="119"/>
    </row>
    <row r="161" spans="1:12" s="120" customFormat="1" x14ac:dyDescent="0.3">
      <c r="A161" s="116"/>
      <c r="B161" s="121" t="s">
        <v>200</v>
      </c>
      <c r="C161" s="117">
        <v>1</v>
      </c>
      <c r="D161" s="118">
        <f t="shared" si="34"/>
        <v>42862</v>
      </c>
      <c r="E161" s="118">
        <f t="shared" si="35"/>
        <v>42863</v>
      </c>
      <c r="F161" s="119"/>
      <c r="G161" s="119"/>
      <c r="H161" s="119"/>
      <c r="I161" s="119"/>
      <c r="J161" s="119"/>
      <c r="K161" s="119"/>
      <c r="L161" s="119"/>
    </row>
    <row r="162" spans="1:12" s="120" customFormat="1" x14ac:dyDescent="0.3">
      <c r="A162" s="116"/>
      <c r="B162" s="121" t="s">
        <v>201</v>
      </c>
      <c r="C162" s="117">
        <v>15</v>
      </c>
      <c r="D162" s="118">
        <f t="shared" si="34"/>
        <v>42863</v>
      </c>
      <c r="E162" s="118">
        <f t="shared" si="35"/>
        <v>42878</v>
      </c>
      <c r="F162" s="119"/>
      <c r="G162" s="119"/>
      <c r="H162" s="119"/>
      <c r="I162" s="119"/>
      <c r="J162" s="119"/>
      <c r="K162" s="119"/>
      <c r="L162" s="119"/>
    </row>
    <row r="163" spans="1:12" s="120" customFormat="1" x14ac:dyDescent="0.3">
      <c r="A163" s="116"/>
      <c r="B163" s="121" t="s">
        <v>202</v>
      </c>
      <c r="C163" s="117">
        <f>17*30</f>
        <v>510</v>
      </c>
      <c r="D163" s="118">
        <f t="shared" si="34"/>
        <v>42878</v>
      </c>
      <c r="E163" s="118">
        <f t="shared" si="35"/>
        <v>43388</v>
      </c>
      <c r="F163" s="119"/>
      <c r="G163" s="119"/>
      <c r="H163" s="119"/>
      <c r="I163" s="119"/>
      <c r="J163" s="119"/>
      <c r="K163" s="119"/>
      <c r="L163" s="119"/>
    </row>
    <row r="164" spans="1:12" s="120" customFormat="1" ht="43.95" customHeight="1" x14ac:dyDescent="0.3">
      <c r="A164" s="116">
        <v>6</v>
      </c>
      <c r="B164" s="98" t="str">
        <f>'1. Detailed Budget.2 '!H24</f>
        <v>Consultoría para elaboración Estudios de preinversión de CONSTRUCCIÓN DE LA DOBLE VÍA COBIJA - PORVENIR (Ensanchar, rehabilitar, carpeta de cemento asfaltico)</v>
      </c>
      <c r="C164" s="117"/>
      <c r="D164" s="118"/>
      <c r="E164" s="118"/>
      <c r="F164" s="119">
        <f>'1. Detailed Budget.2 '!L24</f>
        <v>550000</v>
      </c>
      <c r="G164" s="119"/>
      <c r="H164" s="119"/>
      <c r="I164" s="119">
        <f>+F164*35%</f>
        <v>192500</v>
      </c>
      <c r="J164" s="119">
        <f>+F164*40%</f>
        <v>220000</v>
      </c>
      <c r="K164" s="119">
        <f>+F164*25%</f>
        <v>137500</v>
      </c>
      <c r="L164" s="119"/>
    </row>
    <row r="165" spans="1:12" s="120" customFormat="1" x14ac:dyDescent="0.3">
      <c r="A165" s="116"/>
      <c r="B165" s="121" t="s">
        <v>193</v>
      </c>
      <c r="C165" s="117">
        <v>90</v>
      </c>
      <c r="D165" s="118">
        <v>42808</v>
      </c>
      <c r="E165" s="118">
        <f t="shared" ref="E165:E174" si="36">+D165+C165</f>
        <v>42898</v>
      </c>
      <c r="F165" s="119"/>
      <c r="G165" s="119"/>
      <c r="H165" s="119"/>
      <c r="I165" s="119"/>
      <c r="J165" s="119"/>
      <c r="K165" s="119"/>
      <c r="L165" s="119"/>
    </row>
    <row r="166" spans="1:12" s="120" customFormat="1" x14ac:dyDescent="0.3">
      <c r="A166" s="116"/>
      <c r="B166" s="121" t="s">
        <v>194</v>
      </c>
      <c r="C166" s="117">
        <v>14</v>
      </c>
      <c r="D166" s="118">
        <f t="shared" ref="D166:D174" si="37">+E165</f>
        <v>42898</v>
      </c>
      <c r="E166" s="118">
        <f t="shared" si="36"/>
        <v>42912</v>
      </c>
      <c r="F166" s="119"/>
      <c r="G166" s="119"/>
      <c r="H166" s="119"/>
      <c r="I166" s="119"/>
      <c r="J166" s="119"/>
      <c r="K166" s="119"/>
      <c r="L166" s="119"/>
    </row>
    <row r="167" spans="1:12" s="120" customFormat="1" x14ac:dyDescent="0.3">
      <c r="A167" s="116"/>
      <c r="B167" s="121" t="s">
        <v>195</v>
      </c>
      <c r="C167" s="117">
        <v>7</v>
      </c>
      <c r="D167" s="118">
        <f t="shared" si="37"/>
        <v>42912</v>
      </c>
      <c r="E167" s="118">
        <f t="shared" si="36"/>
        <v>42919</v>
      </c>
      <c r="F167" s="119"/>
      <c r="G167" s="119"/>
      <c r="H167" s="119"/>
      <c r="I167" s="119"/>
      <c r="J167" s="119"/>
      <c r="K167" s="119"/>
      <c r="L167" s="119"/>
    </row>
    <row r="168" spans="1:12" s="120" customFormat="1" ht="28.8" x14ac:dyDescent="0.3">
      <c r="A168" s="116"/>
      <c r="B168" s="121" t="s">
        <v>196</v>
      </c>
      <c r="C168" s="117">
        <v>5</v>
      </c>
      <c r="D168" s="118">
        <f t="shared" si="37"/>
        <v>42919</v>
      </c>
      <c r="E168" s="118">
        <f t="shared" si="36"/>
        <v>42924</v>
      </c>
      <c r="F168" s="119"/>
      <c r="G168" s="119"/>
      <c r="H168" s="119"/>
      <c r="I168" s="119"/>
      <c r="J168" s="119"/>
      <c r="K168" s="119"/>
      <c r="L168" s="119"/>
    </row>
    <row r="169" spans="1:12" s="120" customFormat="1" x14ac:dyDescent="0.3">
      <c r="A169" s="116"/>
      <c r="B169" s="121" t="s">
        <v>197</v>
      </c>
      <c r="C169" s="117">
        <v>45</v>
      </c>
      <c r="D169" s="118">
        <f t="shared" si="37"/>
        <v>42924</v>
      </c>
      <c r="E169" s="118">
        <f t="shared" si="36"/>
        <v>42969</v>
      </c>
      <c r="F169" s="119"/>
      <c r="G169" s="119"/>
      <c r="H169" s="119"/>
      <c r="I169" s="119"/>
      <c r="J169" s="119"/>
      <c r="K169" s="119"/>
      <c r="L169" s="119"/>
    </row>
    <row r="170" spans="1:12" s="120" customFormat="1" x14ac:dyDescent="0.3">
      <c r="A170" s="116"/>
      <c r="B170" s="121" t="s">
        <v>198</v>
      </c>
      <c r="C170" s="117">
        <v>10</v>
      </c>
      <c r="D170" s="118">
        <f t="shared" si="37"/>
        <v>42969</v>
      </c>
      <c r="E170" s="118">
        <f t="shared" si="36"/>
        <v>42979</v>
      </c>
      <c r="F170" s="119"/>
      <c r="G170" s="119"/>
      <c r="H170" s="119"/>
      <c r="I170" s="119"/>
      <c r="J170" s="119"/>
      <c r="K170" s="119"/>
      <c r="L170" s="119"/>
    </row>
    <row r="171" spans="1:12" s="120" customFormat="1" x14ac:dyDescent="0.3">
      <c r="A171" s="116"/>
      <c r="B171" s="121" t="s">
        <v>199</v>
      </c>
      <c r="C171" s="117">
        <v>5</v>
      </c>
      <c r="D171" s="118">
        <f t="shared" si="37"/>
        <v>42979</v>
      </c>
      <c r="E171" s="118">
        <f t="shared" si="36"/>
        <v>42984</v>
      </c>
      <c r="F171" s="119"/>
      <c r="G171" s="119"/>
      <c r="H171" s="119"/>
      <c r="I171" s="119"/>
      <c r="J171" s="119"/>
      <c r="K171" s="119"/>
      <c r="L171" s="119"/>
    </row>
    <row r="172" spans="1:12" s="120" customFormat="1" x14ac:dyDescent="0.3">
      <c r="A172" s="116"/>
      <c r="B172" s="121" t="s">
        <v>200</v>
      </c>
      <c r="C172" s="117">
        <v>1</v>
      </c>
      <c r="D172" s="118">
        <f t="shared" si="37"/>
        <v>42984</v>
      </c>
      <c r="E172" s="118">
        <f t="shared" si="36"/>
        <v>42985</v>
      </c>
      <c r="F172" s="119"/>
      <c r="G172" s="119"/>
      <c r="H172" s="119"/>
      <c r="I172" s="119"/>
      <c r="J172" s="119"/>
      <c r="K172" s="119"/>
      <c r="L172" s="119"/>
    </row>
    <row r="173" spans="1:12" s="120" customFormat="1" x14ac:dyDescent="0.3">
      <c r="A173" s="116"/>
      <c r="B173" s="121" t="s">
        <v>201</v>
      </c>
      <c r="C173" s="117">
        <v>15</v>
      </c>
      <c r="D173" s="118">
        <f t="shared" si="37"/>
        <v>42985</v>
      </c>
      <c r="E173" s="118">
        <f t="shared" si="36"/>
        <v>43000</v>
      </c>
      <c r="F173" s="119"/>
      <c r="G173" s="119"/>
      <c r="H173" s="119"/>
      <c r="I173" s="119"/>
      <c r="J173" s="119"/>
      <c r="K173" s="119"/>
      <c r="L173" s="119"/>
    </row>
    <row r="174" spans="1:12" s="120" customFormat="1" x14ac:dyDescent="0.3">
      <c r="A174" s="116"/>
      <c r="B174" s="121" t="s">
        <v>202</v>
      </c>
      <c r="C174" s="117">
        <f>17*30</f>
        <v>510</v>
      </c>
      <c r="D174" s="118">
        <f t="shared" si="37"/>
        <v>43000</v>
      </c>
      <c r="E174" s="118">
        <f t="shared" si="36"/>
        <v>43510</v>
      </c>
      <c r="F174" s="119"/>
      <c r="G174" s="119"/>
      <c r="H174" s="119"/>
      <c r="I174" s="119"/>
      <c r="J174" s="119"/>
      <c r="K174" s="119"/>
      <c r="L174" s="119"/>
    </row>
    <row r="175" spans="1:12" s="120" customFormat="1" ht="38.4" customHeight="1" x14ac:dyDescent="0.3">
      <c r="A175" s="116">
        <v>7</v>
      </c>
      <c r="B175" s="98" t="str">
        <f>'1. Detailed Budget.2 '!H25</f>
        <v>Consultoría para elaboración Estudios de preinversión de REHABILITACIÓN DEL TRAMO KM 19 - BERMEJO (PUENTE INTERNACIONAL Tarija - Argentina)</v>
      </c>
      <c r="C175" s="117"/>
      <c r="D175" s="118"/>
      <c r="E175" s="118"/>
      <c r="F175" s="119">
        <f>'1. Detailed Budget.2 '!L25</f>
        <v>750000</v>
      </c>
      <c r="G175" s="119"/>
      <c r="H175" s="119"/>
      <c r="I175" s="119">
        <f>+F175*35%</f>
        <v>262500</v>
      </c>
      <c r="J175" s="119">
        <f>+F175*40%</f>
        <v>300000</v>
      </c>
      <c r="K175" s="119">
        <f>+F175*25%</f>
        <v>187500</v>
      </c>
      <c r="L175" s="119"/>
    </row>
    <row r="176" spans="1:12" s="120" customFormat="1" x14ac:dyDescent="0.3">
      <c r="A176" s="116"/>
      <c r="B176" s="121" t="s">
        <v>193</v>
      </c>
      <c r="C176" s="117">
        <v>90</v>
      </c>
      <c r="D176" s="118">
        <v>42839</v>
      </c>
      <c r="E176" s="118">
        <f>+D176+C176</f>
        <v>42929</v>
      </c>
      <c r="F176" s="119"/>
      <c r="G176" s="119"/>
      <c r="H176" s="119"/>
      <c r="I176" s="119"/>
      <c r="J176" s="119"/>
      <c r="K176" s="119"/>
      <c r="L176" s="119"/>
    </row>
    <row r="177" spans="1:12" s="120" customFormat="1" x14ac:dyDescent="0.3">
      <c r="A177" s="116"/>
      <c r="B177" s="121" t="s">
        <v>194</v>
      </c>
      <c r="C177" s="117">
        <v>14</v>
      </c>
      <c r="D177" s="118">
        <f t="shared" ref="D177:D185" si="38">+E176</f>
        <v>42929</v>
      </c>
      <c r="E177" s="118">
        <f t="shared" ref="E177:E185" si="39">+D177+C177</f>
        <v>42943</v>
      </c>
      <c r="F177" s="119"/>
      <c r="G177" s="119"/>
      <c r="H177" s="119"/>
      <c r="I177" s="119"/>
      <c r="J177" s="119"/>
      <c r="K177" s="119"/>
      <c r="L177" s="119"/>
    </row>
    <row r="178" spans="1:12" s="120" customFormat="1" x14ac:dyDescent="0.3">
      <c r="A178" s="116"/>
      <c r="B178" s="121" t="s">
        <v>195</v>
      </c>
      <c r="C178" s="117">
        <v>7</v>
      </c>
      <c r="D178" s="118">
        <f t="shared" si="38"/>
        <v>42943</v>
      </c>
      <c r="E178" s="118">
        <f t="shared" si="39"/>
        <v>42950</v>
      </c>
      <c r="F178" s="119"/>
      <c r="G178" s="119"/>
      <c r="H178" s="119"/>
      <c r="I178" s="119"/>
      <c r="J178" s="119"/>
      <c r="K178" s="119"/>
      <c r="L178" s="119"/>
    </row>
    <row r="179" spans="1:12" s="120" customFormat="1" ht="28.8" x14ac:dyDescent="0.3">
      <c r="A179" s="116"/>
      <c r="B179" s="121" t="s">
        <v>196</v>
      </c>
      <c r="C179" s="117">
        <v>5</v>
      </c>
      <c r="D179" s="118">
        <f t="shared" si="38"/>
        <v>42950</v>
      </c>
      <c r="E179" s="118">
        <f t="shared" si="39"/>
        <v>42955</v>
      </c>
      <c r="F179" s="119"/>
      <c r="G179" s="119"/>
      <c r="H179" s="119"/>
      <c r="I179" s="119"/>
      <c r="J179" s="119"/>
      <c r="K179" s="119"/>
      <c r="L179" s="119"/>
    </row>
    <row r="180" spans="1:12" s="120" customFormat="1" x14ac:dyDescent="0.3">
      <c r="A180" s="116"/>
      <c r="B180" s="121" t="s">
        <v>197</v>
      </c>
      <c r="C180" s="117">
        <v>45</v>
      </c>
      <c r="D180" s="118">
        <f t="shared" si="38"/>
        <v>42955</v>
      </c>
      <c r="E180" s="118">
        <f t="shared" si="39"/>
        <v>43000</v>
      </c>
      <c r="F180" s="119"/>
      <c r="G180" s="119"/>
      <c r="H180" s="119"/>
      <c r="I180" s="119"/>
      <c r="J180" s="119"/>
      <c r="K180" s="119"/>
      <c r="L180" s="119"/>
    </row>
    <row r="181" spans="1:12" s="120" customFormat="1" x14ac:dyDescent="0.3">
      <c r="A181" s="116"/>
      <c r="B181" s="121" t="s">
        <v>198</v>
      </c>
      <c r="C181" s="117">
        <v>10</v>
      </c>
      <c r="D181" s="118">
        <f t="shared" si="38"/>
        <v>43000</v>
      </c>
      <c r="E181" s="118">
        <f t="shared" si="39"/>
        <v>43010</v>
      </c>
      <c r="F181" s="119"/>
      <c r="G181" s="119"/>
      <c r="H181" s="119"/>
      <c r="I181" s="119"/>
      <c r="J181" s="119"/>
      <c r="K181" s="119"/>
      <c r="L181" s="119"/>
    </row>
    <row r="182" spans="1:12" s="120" customFormat="1" x14ac:dyDescent="0.3">
      <c r="A182" s="116"/>
      <c r="B182" s="121" t="s">
        <v>199</v>
      </c>
      <c r="C182" s="117">
        <v>5</v>
      </c>
      <c r="D182" s="118">
        <f t="shared" si="38"/>
        <v>43010</v>
      </c>
      <c r="E182" s="118">
        <f t="shared" si="39"/>
        <v>43015</v>
      </c>
      <c r="F182" s="119"/>
      <c r="G182" s="119"/>
      <c r="H182" s="119"/>
      <c r="I182" s="119"/>
      <c r="J182" s="119"/>
      <c r="K182" s="119"/>
      <c r="L182" s="119"/>
    </row>
    <row r="183" spans="1:12" s="120" customFormat="1" x14ac:dyDescent="0.3">
      <c r="A183" s="116"/>
      <c r="B183" s="121" t="s">
        <v>200</v>
      </c>
      <c r="C183" s="117">
        <v>1</v>
      </c>
      <c r="D183" s="118">
        <f t="shared" si="38"/>
        <v>43015</v>
      </c>
      <c r="E183" s="118">
        <f t="shared" si="39"/>
        <v>43016</v>
      </c>
      <c r="F183" s="119"/>
      <c r="G183" s="119"/>
      <c r="H183" s="119"/>
      <c r="I183" s="119"/>
      <c r="J183" s="119"/>
      <c r="K183" s="119"/>
      <c r="L183" s="119"/>
    </row>
    <row r="184" spans="1:12" s="120" customFormat="1" x14ac:dyDescent="0.3">
      <c r="A184" s="116"/>
      <c r="B184" s="121" t="s">
        <v>201</v>
      </c>
      <c r="C184" s="117">
        <v>15</v>
      </c>
      <c r="D184" s="118">
        <f t="shared" si="38"/>
        <v>43016</v>
      </c>
      <c r="E184" s="118">
        <f t="shared" si="39"/>
        <v>43031</v>
      </c>
      <c r="F184" s="119"/>
      <c r="G184" s="119"/>
      <c r="H184" s="119"/>
      <c r="I184" s="119"/>
      <c r="J184" s="119"/>
      <c r="K184" s="119"/>
      <c r="L184" s="119"/>
    </row>
    <row r="185" spans="1:12" s="120" customFormat="1" x14ac:dyDescent="0.3">
      <c r="A185" s="116"/>
      <c r="B185" s="121" t="s">
        <v>202</v>
      </c>
      <c r="C185" s="117">
        <f>17*30</f>
        <v>510</v>
      </c>
      <c r="D185" s="118">
        <f t="shared" si="38"/>
        <v>43031</v>
      </c>
      <c r="E185" s="118">
        <f t="shared" si="39"/>
        <v>43541</v>
      </c>
      <c r="F185" s="119"/>
      <c r="G185" s="119"/>
      <c r="H185" s="119"/>
      <c r="I185" s="119"/>
      <c r="J185" s="119"/>
      <c r="K185" s="119"/>
      <c r="L185" s="119"/>
    </row>
    <row r="186" spans="1:12" s="120" customFormat="1" ht="29.4" customHeight="1" x14ac:dyDescent="0.3">
      <c r="A186" s="116">
        <v>8</v>
      </c>
      <c r="B186" s="98" t="str">
        <f>'1. Detailed Budget.2 '!H26</f>
        <v>Consultoría para elaboración Estudios de preinversión de CAMPO FERIAL PARA LA CIUDAD DE EL ALTO</v>
      </c>
      <c r="C186" s="117"/>
      <c r="D186" s="118"/>
      <c r="E186" s="118"/>
      <c r="F186" s="119">
        <f>'1. Detailed Budget.2 '!L26</f>
        <v>450000</v>
      </c>
      <c r="G186" s="119"/>
      <c r="H186" s="119"/>
      <c r="I186" s="119"/>
      <c r="J186" s="119">
        <f>+F186*15%</f>
        <v>67500</v>
      </c>
      <c r="K186" s="119">
        <f>+F186*40%</f>
        <v>180000</v>
      </c>
      <c r="L186" s="119">
        <f>+F186*45%</f>
        <v>202500</v>
      </c>
    </row>
    <row r="187" spans="1:12" s="120" customFormat="1" x14ac:dyDescent="0.3">
      <c r="A187" s="116"/>
      <c r="B187" s="121" t="s">
        <v>193</v>
      </c>
      <c r="C187" s="117">
        <v>160</v>
      </c>
      <c r="D187" s="118">
        <v>43111</v>
      </c>
      <c r="E187" s="118">
        <f>+D187+C187</f>
        <v>43271</v>
      </c>
      <c r="F187" s="119"/>
      <c r="G187" s="119"/>
      <c r="H187" s="119"/>
      <c r="I187" s="119"/>
      <c r="J187" s="119"/>
      <c r="K187" s="119"/>
      <c r="L187" s="119"/>
    </row>
    <row r="188" spans="1:12" s="120" customFormat="1" x14ac:dyDescent="0.3">
      <c r="A188" s="116"/>
      <c r="B188" s="121" t="s">
        <v>194</v>
      </c>
      <c r="C188" s="117">
        <v>14</v>
      </c>
      <c r="D188" s="118">
        <f t="shared" ref="D188:D196" si="40">+E187</f>
        <v>43271</v>
      </c>
      <c r="E188" s="118">
        <f t="shared" ref="E188:E196" si="41">+D188+C188</f>
        <v>43285</v>
      </c>
      <c r="F188" s="119"/>
      <c r="G188" s="119"/>
      <c r="H188" s="119"/>
      <c r="I188" s="119"/>
      <c r="J188" s="119"/>
      <c r="K188" s="119"/>
      <c r="L188" s="119"/>
    </row>
    <row r="189" spans="1:12" s="120" customFormat="1" x14ac:dyDescent="0.3">
      <c r="A189" s="116"/>
      <c r="B189" s="121" t="s">
        <v>195</v>
      </c>
      <c r="C189" s="117">
        <v>7</v>
      </c>
      <c r="D189" s="118">
        <f t="shared" si="40"/>
        <v>43285</v>
      </c>
      <c r="E189" s="118">
        <f t="shared" si="41"/>
        <v>43292</v>
      </c>
      <c r="F189" s="119"/>
      <c r="G189" s="119"/>
      <c r="H189" s="119"/>
      <c r="I189" s="119"/>
      <c r="J189" s="119"/>
      <c r="K189" s="119"/>
      <c r="L189" s="119"/>
    </row>
    <row r="190" spans="1:12" s="120" customFormat="1" ht="28.8" x14ac:dyDescent="0.3">
      <c r="A190" s="116"/>
      <c r="B190" s="121" t="s">
        <v>196</v>
      </c>
      <c r="C190" s="117">
        <v>5</v>
      </c>
      <c r="D190" s="118">
        <f t="shared" si="40"/>
        <v>43292</v>
      </c>
      <c r="E190" s="118">
        <f t="shared" si="41"/>
        <v>43297</v>
      </c>
      <c r="F190" s="119"/>
      <c r="G190" s="119"/>
      <c r="H190" s="119"/>
      <c r="I190" s="119"/>
      <c r="J190" s="119"/>
      <c r="K190" s="119"/>
      <c r="L190" s="119"/>
    </row>
    <row r="191" spans="1:12" s="120" customFormat="1" x14ac:dyDescent="0.3">
      <c r="A191" s="116"/>
      <c r="B191" s="121" t="s">
        <v>197</v>
      </c>
      <c r="C191" s="117">
        <v>45</v>
      </c>
      <c r="D191" s="118">
        <f t="shared" si="40"/>
        <v>43297</v>
      </c>
      <c r="E191" s="118">
        <f t="shared" si="41"/>
        <v>43342</v>
      </c>
      <c r="F191" s="119"/>
      <c r="G191" s="119"/>
      <c r="H191" s="119"/>
      <c r="I191" s="119"/>
      <c r="J191" s="119"/>
      <c r="K191" s="119"/>
      <c r="L191" s="119"/>
    </row>
    <row r="192" spans="1:12" s="120" customFormat="1" x14ac:dyDescent="0.3">
      <c r="A192" s="116"/>
      <c r="B192" s="121" t="s">
        <v>198</v>
      </c>
      <c r="C192" s="117">
        <v>10</v>
      </c>
      <c r="D192" s="118">
        <f t="shared" si="40"/>
        <v>43342</v>
      </c>
      <c r="E192" s="118">
        <f t="shared" si="41"/>
        <v>43352</v>
      </c>
      <c r="F192" s="119"/>
      <c r="G192" s="119"/>
      <c r="H192" s="119"/>
      <c r="I192" s="119"/>
      <c r="J192" s="119"/>
      <c r="K192" s="119"/>
      <c r="L192" s="119"/>
    </row>
    <row r="193" spans="1:12" s="120" customFormat="1" x14ac:dyDescent="0.3">
      <c r="A193" s="116"/>
      <c r="B193" s="121" t="s">
        <v>199</v>
      </c>
      <c r="C193" s="117">
        <v>5</v>
      </c>
      <c r="D193" s="118">
        <f t="shared" si="40"/>
        <v>43352</v>
      </c>
      <c r="E193" s="118">
        <f t="shared" si="41"/>
        <v>43357</v>
      </c>
      <c r="F193" s="119"/>
      <c r="G193" s="119"/>
      <c r="H193" s="119"/>
      <c r="I193" s="119"/>
      <c r="J193" s="119"/>
      <c r="K193" s="119"/>
      <c r="L193" s="119"/>
    </row>
    <row r="194" spans="1:12" s="120" customFormat="1" x14ac:dyDescent="0.3">
      <c r="A194" s="116"/>
      <c r="B194" s="121" t="s">
        <v>200</v>
      </c>
      <c r="C194" s="117">
        <v>1</v>
      </c>
      <c r="D194" s="118">
        <f t="shared" si="40"/>
        <v>43357</v>
      </c>
      <c r="E194" s="118">
        <f t="shared" si="41"/>
        <v>43358</v>
      </c>
      <c r="F194" s="119"/>
      <c r="G194" s="119"/>
      <c r="H194" s="119"/>
      <c r="I194" s="119"/>
      <c r="J194" s="119"/>
      <c r="K194" s="119"/>
      <c r="L194" s="119"/>
    </row>
    <row r="195" spans="1:12" s="120" customFormat="1" x14ac:dyDescent="0.3">
      <c r="A195" s="116"/>
      <c r="B195" s="121" t="s">
        <v>201</v>
      </c>
      <c r="C195" s="117">
        <v>15</v>
      </c>
      <c r="D195" s="118">
        <f t="shared" si="40"/>
        <v>43358</v>
      </c>
      <c r="E195" s="118">
        <f t="shared" si="41"/>
        <v>43373</v>
      </c>
      <c r="F195" s="119"/>
      <c r="G195" s="119"/>
      <c r="H195" s="119"/>
      <c r="I195" s="119"/>
      <c r="J195" s="119"/>
      <c r="K195" s="119"/>
      <c r="L195" s="119"/>
    </row>
    <row r="196" spans="1:12" s="120" customFormat="1" x14ac:dyDescent="0.3">
      <c r="A196" s="116"/>
      <c r="B196" s="121" t="s">
        <v>202</v>
      </c>
      <c r="C196" s="117">
        <f>22*30</f>
        <v>660</v>
      </c>
      <c r="D196" s="118">
        <f t="shared" si="40"/>
        <v>43373</v>
      </c>
      <c r="E196" s="118">
        <f t="shared" si="41"/>
        <v>44033</v>
      </c>
      <c r="F196" s="119"/>
      <c r="G196" s="119"/>
      <c r="H196" s="119"/>
      <c r="I196" s="119"/>
      <c r="J196" s="119"/>
      <c r="K196" s="119"/>
      <c r="L196" s="119"/>
    </row>
    <row r="197" spans="1:12" s="120" customFormat="1" ht="43.2" customHeight="1" x14ac:dyDescent="0.3">
      <c r="A197" s="116">
        <v>9</v>
      </c>
      <c r="B197" s="122" t="str">
        <f>'1. Detailed Budget.2 '!H27</f>
        <v xml:space="preserve">Consultoría para elaboración Estudios de preinversión de CIUDADELA CIENTÍFICA  TECNOLÓGICA E INNOVACIÓN (Cochabamba). </v>
      </c>
      <c r="C197" s="117"/>
      <c r="D197" s="118"/>
      <c r="E197" s="118"/>
      <c r="F197" s="119">
        <f>'1. Detailed Budget.2 '!L27</f>
        <v>700000</v>
      </c>
      <c r="G197" s="119"/>
      <c r="H197" s="119"/>
      <c r="I197" s="119"/>
      <c r="J197" s="119">
        <f>+F197*15%</f>
        <v>105000</v>
      </c>
      <c r="K197" s="119">
        <f>+F197*40%</f>
        <v>280000</v>
      </c>
      <c r="L197" s="119">
        <f>+F197*45%</f>
        <v>315000</v>
      </c>
    </row>
    <row r="198" spans="1:12" s="120" customFormat="1" x14ac:dyDescent="0.3">
      <c r="A198" s="116"/>
      <c r="B198" s="121" t="s">
        <v>193</v>
      </c>
      <c r="C198" s="117">
        <v>160</v>
      </c>
      <c r="D198" s="118">
        <v>43146</v>
      </c>
      <c r="E198" s="118">
        <f t="shared" ref="E198:E207" si="42">+D198+C198</f>
        <v>43306</v>
      </c>
      <c r="F198" s="119"/>
      <c r="G198" s="119"/>
      <c r="H198" s="119"/>
      <c r="I198" s="119"/>
      <c r="J198" s="119"/>
      <c r="K198" s="119"/>
      <c r="L198" s="119"/>
    </row>
    <row r="199" spans="1:12" s="120" customFormat="1" x14ac:dyDescent="0.3">
      <c r="A199" s="116"/>
      <c r="B199" s="121" t="s">
        <v>194</v>
      </c>
      <c r="C199" s="117">
        <v>14</v>
      </c>
      <c r="D199" s="118">
        <f t="shared" ref="D199:D207" si="43">+E198</f>
        <v>43306</v>
      </c>
      <c r="E199" s="118">
        <f t="shared" si="42"/>
        <v>43320</v>
      </c>
      <c r="F199" s="119"/>
      <c r="G199" s="119"/>
      <c r="H199" s="119"/>
      <c r="I199" s="119"/>
      <c r="J199" s="119"/>
      <c r="K199" s="119"/>
      <c r="L199" s="119"/>
    </row>
    <row r="200" spans="1:12" s="120" customFormat="1" x14ac:dyDescent="0.3">
      <c r="A200" s="116"/>
      <c r="B200" s="121" t="s">
        <v>195</v>
      </c>
      <c r="C200" s="117">
        <v>7</v>
      </c>
      <c r="D200" s="118">
        <f t="shared" si="43"/>
        <v>43320</v>
      </c>
      <c r="E200" s="118">
        <f t="shared" si="42"/>
        <v>43327</v>
      </c>
      <c r="F200" s="119"/>
      <c r="G200" s="119"/>
      <c r="H200" s="119"/>
      <c r="I200" s="119"/>
      <c r="J200" s="119"/>
      <c r="K200" s="119"/>
      <c r="L200" s="119"/>
    </row>
    <row r="201" spans="1:12" s="120" customFormat="1" ht="28.8" x14ac:dyDescent="0.3">
      <c r="A201" s="116"/>
      <c r="B201" s="121" t="s">
        <v>196</v>
      </c>
      <c r="C201" s="117">
        <v>5</v>
      </c>
      <c r="D201" s="118">
        <f t="shared" si="43"/>
        <v>43327</v>
      </c>
      <c r="E201" s="118">
        <f t="shared" si="42"/>
        <v>43332</v>
      </c>
      <c r="F201" s="119"/>
      <c r="G201" s="119"/>
      <c r="H201" s="119"/>
      <c r="I201" s="119"/>
      <c r="J201" s="119"/>
      <c r="K201" s="119"/>
      <c r="L201" s="119"/>
    </row>
    <row r="202" spans="1:12" s="120" customFormat="1" x14ac:dyDescent="0.3">
      <c r="A202" s="116"/>
      <c r="B202" s="121" t="s">
        <v>197</v>
      </c>
      <c r="C202" s="117">
        <v>45</v>
      </c>
      <c r="D202" s="118">
        <f t="shared" si="43"/>
        <v>43332</v>
      </c>
      <c r="E202" s="118">
        <f t="shared" si="42"/>
        <v>43377</v>
      </c>
      <c r="F202" s="119"/>
      <c r="G202" s="119"/>
      <c r="H202" s="119"/>
      <c r="I202" s="119"/>
      <c r="J202" s="119"/>
      <c r="K202" s="119"/>
      <c r="L202" s="119"/>
    </row>
    <row r="203" spans="1:12" s="120" customFormat="1" x14ac:dyDescent="0.3">
      <c r="A203" s="116"/>
      <c r="B203" s="121" t="s">
        <v>198</v>
      </c>
      <c r="C203" s="117">
        <v>10</v>
      </c>
      <c r="D203" s="118">
        <f t="shared" si="43"/>
        <v>43377</v>
      </c>
      <c r="E203" s="118">
        <f t="shared" si="42"/>
        <v>43387</v>
      </c>
      <c r="F203" s="119"/>
      <c r="G203" s="119"/>
      <c r="H203" s="119"/>
      <c r="I203" s="119"/>
      <c r="J203" s="119"/>
      <c r="K203" s="119"/>
      <c r="L203" s="119"/>
    </row>
    <row r="204" spans="1:12" s="120" customFormat="1" x14ac:dyDescent="0.3">
      <c r="A204" s="116"/>
      <c r="B204" s="121" t="s">
        <v>199</v>
      </c>
      <c r="C204" s="117">
        <v>5</v>
      </c>
      <c r="D204" s="118">
        <f t="shared" si="43"/>
        <v>43387</v>
      </c>
      <c r="E204" s="118">
        <f t="shared" si="42"/>
        <v>43392</v>
      </c>
      <c r="F204" s="119"/>
      <c r="G204" s="119"/>
      <c r="H204" s="119"/>
      <c r="I204" s="119"/>
      <c r="J204" s="119"/>
      <c r="K204" s="119"/>
      <c r="L204" s="119"/>
    </row>
    <row r="205" spans="1:12" s="120" customFormat="1" x14ac:dyDescent="0.3">
      <c r="A205" s="116"/>
      <c r="B205" s="121" t="s">
        <v>200</v>
      </c>
      <c r="C205" s="117">
        <v>1</v>
      </c>
      <c r="D205" s="118">
        <f t="shared" si="43"/>
        <v>43392</v>
      </c>
      <c r="E205" s="118">
        <f t="shared" si="42"/>
        <v>43393</v>
      </c>
      <c r="F205" s="119"/>
      <c r="G205" s="119"/>
      <c r="H205" s="119"/>
      <c r="I205" s="119"/>
      <c r="J205" s="119"/>
      <c r="K205" s="119"/>
      <c r="L205" s="119"/>
    </row>
    <row r="206" spans="1:12" s="120" customFormat="1" x14ac:dyDescent="0.3">
      <c r="A206" s="116"/>
      <c r="B206" s="121" t="s">
        <v>201</v>
      </c>
      <c r="C206" s="117">
        <v>15</v>
      </c>
      <c r="D206" s="118">
        <f t="shared" si="43"/>
        <v>43393</v>
      </c>
      <c r="E206" s="118">
        <f t="shared" si="42"/>
        <v>43408</v>
      </c>
      <c r="F206" s="119"/>
      <c r="G206" s="119"/>
      <c r="H206" s="119"/>
      <c r="I206" s="119"/>
      <c r="J206" s="119"/>
      <c r="K206" s="119"/>
      <c r="L206" s="119"/>
    </row>
    <row r="207" spans="1:12" s="120" customFormat="1" x14ac:dyDescent="0.3">
      <c r="A207" s="116"/>
      <c r="B207" s="121" t="s">
        <v>202</v>
      </c>
      <c r="C207" s="117">
        <f>22*30</f>
        <v>660</v>
      </c>
      <c r="D207" s="118">
        <f t="shared" si="43"/>
        <v>43408</v>
      </c>
      <c r="E207" s="118">
        <f t="shared" si="42"/>
        <v>44068</v>
      </c>
      <c r="F207" s="119"/>
      <c r="G207" s="119"/>
      <c r="H207" s="119"/>
      <c r="I207" s="119"/>
      <c r="J207" s="119"/>
      <c r="K207" s="119"/>
      <c r="L207" s="119"/>
    </row>
    <row r="208" spans="1:12" s="120" customFormat="1" ht="37.200000000000003" customHeight="1" x14ac:dyDescent="0.3">
      <c r="A208" s="116">
        <v>10</v>
      </c>
      <c r="B208" s="98" t="str">
        <f>'1. Detailed Budget.2 '!H28</f>
        <v>Consultoría para elaboración Estudios de preinversión de GESTIÓN INTEGRAL DE RESIDUOS SÓLIDOS CHAYANTA (Potosí)</v>
      </c>
      <c r="C208" s="117"/>
      <c r="D208" s="118"/>
      <c r="E208" s="118"/>
      <c r="F208" s="119">
        <f>'1. Detailed Budget.2 '!L28</f>
        <v>250000</v>
      </c>
      <c r="G208" s="119"/>
      <c r="H208" s="119"/>
      <c r="I208" s="119"/>
      <c r="J208" s="119">
        <f>+F208*15%</f>
        <v>37500</v>
      </c>
      <c r="K208" s="119">
        <f>+F208*40%</f>
        <v>100000</v>
      </c>
      <c r="L208" s="119">
        <f>+F208*45%</f>
        <v>112500</v>
      </c>
    </row>
    <row r="209" spans="1:12" s="120" customFormat="1" x14ac:dyDescent="0.3">
      <c r="A209" s="116"/>
      <c r="B209" s="121" t="s">
        <v>193</v>
      </c>
      <c r="C209" s="117">
        <v>120</v>
      </c>
      <c r="D209" s="118">
        <v>43173</v>
      </c>
      <c r="E209" s="118">
        <f t="shared" ref="E209:E218" si="44">+D209+C209</f>
        <v>43293</v>
      </c>
      <c r="F209" s="119"/>
      <c r="G209" s="119"/>
      <c r="H209" s="119"/>
      <c r="I209" s="119"/>
      <c r="J209" s="119"/>
      <c r="K209" s="119"/>
      <c r="L209" s="119"/>
    </row>
    <row r="210" spans="1:12" s="120" customFormat="1" x14ac:dyDescent="0.3">
      <c r="A210" s="116"/>
      <c r="B210" s="121" t="s">
        <v>194</v>
      </c>
      <c r="C210" s="117">
        <v>14</v>
      </c>
      <c r="D210" s="118">
        <f t="shared" ref="D210:D218" si="45">+E209</f>
        <v>43293</v>
      </c>
      <c r="E210" s="118">
        <f t="shared" si="44"/>
        <v>43307</v>
      </c>
      <c r="F210" s="119"/>
      <c r="G210" s="119"/>
      <c r="H210" s="119"/>
      <c r="I210" s="119"/>
      <c r="J210" s="119"/>
      <c r="K210" s="119"/>
      <c r="L210" s="119"/>
    </row>
    <row r="211" spans="1:12" s="120" customFormat="1" x14ac:dyDescent="0.3">
      <c r="A211" s="116"/>
      <c r="B211" s="121" t="s">
        <v>195</v>
      </c>
      <c r="C211" s="117">
        <v>7</v>
      </c>
      <c r="D211" s="118">
        <f t="shared" si="45"/>
        <v>43307</v>
      </c>
      <c r="E211" s="118">
        <f t="shared" si="44"/>
        <v>43314</v>
      </c>
      <c r="F211" s="119"/>
      <c r="G211" s="119"/>
      <c r="H211" s="119"/>
      <c r="I211" s="119"/>
      <c r="J211" s="119"/>
      <c r="K211" s="119"/>
      <c r="L211" s="119"/>
    </row>
    <row r="212" spans="1:12" s="120" customFormat="1" ht="28.8" x14ac:dyDescent="0.3">
      <c r="A212" s="116"/>
      <c r="B212" s="121" t="s">
        <v>196</v>
      </c>
      <c r="C212" s="117">
        <v>5</v>
      </c>
      <c r="D212" s="118">
        <f t="shared" si="45"/>
        <v>43314</v>
      </c>
      <c r="E212" s="118">
        <f t="shared" si="44"/>
        <v>43319</v>
      </c>
      <c r="F212" s="119"/>
      <c r="G212" s="119"/>
      <c r="H212" s="119"/>
      <c r="I212" s="119"/>
      <c r="J212" s="119"/>
      <c r="K212" s="119"/>
      <c r="L212" s="119"/>
    </row>
    <row r="213" spans="1:12" s="120" customFormat="1" x14ac:dyDescent="0.3">
      <c r="A213" s="116"/>
      <c r="B213" s="121" t="s">
        <v>197</v>
      </c>
      <c r="C213" s="117">
        <v>45</v>
      </c>
      <c r="D213" s="118">
        <f t="shared" si="45"/>
        <v>43319</v>
      </c>
      <c r="E213" s="118">
        <f t="shared" si="44"/>
        <v>43364</v>
      </c>
      <c r="F213" s="119"/>
      <c r="G213" s="119"/>
      <c r="H213" s="119"/>
      <c r="I213" s="119"/>
      <c r="J213" s="119"/>
      <c r="K213" s="119"/>
      <c r="L213" s="119"/>
    </row>
    <row r="214" spans="1:12" s="120" customFormat="1" x14ac:dyDescent="0.3">
      <c r="A214" s="116"/>
      <c r="B214" s="121" t="s">
        <v>198</v>
      </c>
      <c r="C214" s="117">
        <v>10</v>
      </c>
      <c r="D214" s="118">
        <f t="shared" si="45"/>
        <v>43364</v>
      </c>
      <c r="E214" s="118">
        <f t="shared" si="44"/>
        <v>43374</v>
      </c>
      <c r="F214" s="119"/>
      <c r="G214" s="119"/>
      <c r="H214" s="119"/>
      <c r="I214" s="119"/>
      <c r="J214" s="119"/>
      <c r="K214" s="119"/>
      <c r="L214" s="119"/>
    </row>
    <row r="215" spans="1:12" s="120" customFormat="1" x14ac:dyDescent="0.3">
      <c r="A215" s="116"/>
      <c r="B215" s="121" t="s">
        <v>199</v>
      </c>
      <c r="C215" s="117">
        <v>5</v>
      </c>
      <c r="D215" s="118">
        <f t="shared" si="45"/>
        <v>43374</v>
      </c>
      <c r="E215" s="118">
        <f t="shared" si="44"/>
        <v>43379</v>
      </c>
      <c r="F215" s="119"/>
      <c r="G215" s="119"/>
      <c r="H215" s="119"/>
      <c r="I215" s="119"/>
      <c r="J215" s="119"/>
      <c r="K215" s="119"/>
      <c r="L215" s="119"/>
    </row>
    <row r="216" spans="1:12" s="120" customFormat="1" x14ac:dyDescent="0.3">
      <c r="A216" s="116"/>
      <c r="B216" s="121" t="s">
        <v>200</v>
      </c>
      <c r="C216" s="117">
        <v>1</v>
      </c>
      <c r="D216" s="118">
        <f t="shared" si="45"/>
        <v>43379</v>
      </c>
      <c r="E216" s="118">
        <f t="shared" si="44"/>
        <v>43380</v>
      </c>
      <c r="F216" s="119"/>
      <c r="G216" s="119"/>
      <c r="H216" s="119"/>
      <c r="I216" s="119"/>
      <c r="J216" s="119"/>
      <c r="K216" s="119"/>
      <c r="L216" s="119"/>
    </row>
    <row r="217" spans="1:12" s="120" customFormat="1" x14ac:dyDescent="0.3">
      <c r="A217" s="116"/>
      <c r="B217" s="121" t="s">
        <v>201</v>
      </c>
      <c r="C217" s="117">
        <v>15</v>
      </c>
      <c r="D217" s="118">
        <f t="shared" si="45"/>
        <v>43380</v>
      </c>
      <c r="E217" s="118">
        <f t="shared" si="44"/>
        <v>43395</v>
      </c>
      <c r="F217" s="119"/>
      <c r="G217" s="119"/>
      <c r="H217" s="119"/>
      <c r="I217" s="119"/>
      <c r="J217" s="119"/>
      <c r="K217" s="119"/>
      <c r="L217" s="119"/>
    </row>
    <row r="218" spans="1:12" s="120" customFormat="1" x14ac:dyDescent="0.3">
      <c r="A218" s="116"/>
      <c r="B218" s="121" t="s">
        <v>202</v>
      </c>
      <c r="C218" s="117">
        <f>22*30</f>
        <v>660</v>
      </c>
      <c r="D218" s="118">
        <f t="shared" si="45"/>
        <v>43395</v>
      </c>
      <c r="E218" s="118">
        <f t="shared" si="44"/>
        <v>44055</v>
      </c>
      <c r="F218" s="119"/>
      <c r="G218" s="119"/>
      <c r="H218" s="119"/>
      <c r="I218" s="119"/>
      <c r="J218" s="119"/>
      <c r="K218" s="119"/>
      <c r="L218" s="119"/>
    </row>
    <row r="219" spans="1:12" s="120" customFormat="1" ht="41.4" customHeight="1" x14ac:dyDescent="0.3">
      <c r="A219" s="116">
        <v>11</v>
      </c>
      <c r="B219" s="98" t="str">
        <f>'1. Detailed Budget.2 '!H29</f>
        <v>Consultoría para elaboración Estudios de preinversión de GESTIÓN INTEGRAL DE RESIDUOS SÓLIDOS SAN BUENAVENTURA (norte de La Paz)</v>
      </c>
      <c r="C219" s="117"/>
      <c r="D219" s="118"/>
      <c r="E219" s="118"/>
      <c r="F219" s="119">
        <f>'1. Detailed Budget.2 '!L29</f>
        <v>150000</v>
      </c>
      <c r="G219" s="119"/>
      <c r="H219" s="119"/>
      <c r="I219" s="119"/>
      <c r="J219" s="119">
        <f>+F219*15%</f>
        <v>22500</v>
      </c>
      <c r="K219" s="119">
        <f>+F219*40%</f>
        <v>60000</v>
      </c>
      <c r="L219" s="119">
        <f>+F219*45%</f>
        <v>67500</v>
      </c>
    </row>
    <row r="220" spans="1:12" s="120" customFormat="1" ht="16.5" customHeight="1" x14ac:dyDescent="0.3">
      <c r="A220" s="116"/>
      <c r="B220" s="121" t="s">
        <v>193</v>
      </c>
      <c r="C220" s="117">
        <v>120</v>
      </c>
      <c r="D220" s="118">
        <v>43173</v>
      </c>
      <c r="E220" s="118">
        <f t="shared" ref="E220:E229" si="46">+D220+C220</f>
        <v>43293</v>
      </c>
      <c r="F220" s="119"/>
      <c r="G220" s="119"/>
      <c r="H220" s="119"/>
      <c r="I220" s="119"/>
      <c r="J220" s="119"/>
      <c r="K220" s="119"/>
      <c r="L220" s="119"/>
    </row>
    <row r="221" spans="1:12" s="120" customFormat="1" x14ac:dyDescent="0.3">
      <c r="A221" s="116"/>
      <c r="B221" s="121" t="s">
        <v>194</v>
      </c>
      <c r="C221" s="117">
        <v>14</v>
      </c>
      <c r="D221" s="118">
        <f t="shared" ref="D221:D229" si="47">+E220</f>
        <v>43293</v>
      </c>
      <c r="E221" s="118">
        <f t="shared" si="46"/>
        <v>43307</v>
      </c>
      <c r="F221" s="119"/>
      <c r="G221" s="119"/>
      <c r="H221" s="119"/>
      <c r="I221" s="119"/>
      <c r="J221" s="119"/>
      <c r="K221" s="119"/>
      <c r="L221" s="119"/>
    </row>
    <row r="222" spans="1:12" s="120" customFormat="1" x14ac:dyDescent="0.3">
      <c r="A222" s="116"/>
      <c r="B222" s="121" t="s">
        <v>195</v>
      </c>
      <c r="C222" s="117">
        <v>7</v>
      </c>
      <c r="D222" s="118">
        <f t="shared" si="47"/>
        <v>43307</v>
      </c>
      <c r="E222" s="118">
        <f t="shared" si="46"/>
        <v>43314</v>
      </c>
      <c r="F222" s="119"/>
      <c r="G222" s="119"/>
      <c r="H222" s="119"/>
      <c r="I222" s="119"/>
      <c r="J222" s="119"/>
      <c r="K222" s="119"/>
      <c r="L222" s="119"/>
    </row>
    <row r="223" spans="1:12" s="120" customFormat="1" ht="28.8" x14ac:dyDescent="0.3">
      <c r="A223" s="116"/>
      <c r="B223" s="121" t="s">
        <v>196</v>
      </c>
      <c r="C223" s="117">
        <v>5</v>
      </c>
      <c r="D223" s="118">
        <f t="shared" si="47"/>
        <v>43314</v>
      </c>
      <c r="E223" s="118">
        <f t="shared" si="46"/>
        <v>43319</v>
      </c>
      <c r="F223" s="119"/>
      <c r="G223" s="119"/>
      <c r="H223" s="119"/>
      <c r="I223" s="119"/>
      <c r="J223" s="119"/>
      <c r="K223" s="119"/>
      <c r="L223" s="119"/>
    </row>
    <row r="224" spans="1:12" s="120" customFormat="1" x14ac:dyDescent="0.3">
      <c r="A224" s="116"/>
      <c r="B224" s="121" t="s">
        <v>197</v>
      </c>
      <c r="C224" s="117">
        <v>45</v>
      </c>
      <c r="D224" s="118">
        <f t="shared" si="47"/>
        <v>43319</v>
      </c>
      <c r="E224" s="118">
        <f t="shared" si="46"/>
        <v>43364</v>
      </c>
      <c r="F224" s="119"/>
      <c r="G224" s="119"/>
      <c r="H224" s="119"/>
      <c r="I224" s="119"/>
      <c r="J224" s="119"/>
      <c r="K224" s="119"/>
      <c r="L224" s="119"/>
    </row>
    <row r="225" spans="1:12" s="120" customFormat="1" x14ac:dyDescent="0.3">
      <c r="A225" s="116"/>
      <c r="B225" s="121" t="s">
        <v>198</v>
      </c>
      <c r="C225" s="117">
        <v>10</v>
      </c>
      <c r="D225" s="118">
        <f t="shared" si="47"/>
        <v>43364</v>
      </c>
      <c r="E225" s="118">
        <f t="shared" si="46"/>
        <v>43374</v>
      </c>
      <c r="F225" s="119"/>
      <c r="G225" s="119"/>
      <c r="H225" s="119"/>
      <c r="I225" s="119"/>
      <c r="J225" s="119"/>
      <c r="K225" s="119"/>
      <c r="L225" s="119"/>
    </row>
    <row r="226" spans="1:12" s="120" customFormat="1" x14ac:dyDescent="0.3">
      <c r="A226" s="116"/>
      <c r="B226" s="121" t="s">
        <v>199</v>
      </c>
      <c r="C226" s="117">
        <v>5</v>
      </c>
      <c r="D226" s="118">
        <f t="shared" si="47"/>
        <v>43374</v>
      </c>
      <c r="E226" s="118">
        <f t="shared" si="46"/>
        <v>43379</v>
      </c>
      <c r="F226" s="119"/>
      <c r="G226" s="119"/>
      <c r="H226" s="119"/>
      <c r="I226" s="119"/>
      <c r="J226" s="119"/>
      <c r="K226" s="119"/>
      <c r="L226" s="119"/>
    </row>
    <row r="227" spans="1:12" s="120" customFormat="1" x14ac:dyDescent="0.3">
      <c r="A227" s="116"/>
      <c r="B227" s="121" t="s">
        <v>200</v>
      </c>
      <c r="C227" s="117">
        <v>1</v>
      </c>
      <c r="D227" s="118">
        <f t="shared" si="47"/>
        <v>43379</v>
      </c>
      <c r="E227" s="118">
        <f t="shared" si="46"/>
        <v>43380</v>
      </c>
      <c r="F227" s="119"/>
      <c r="G227" s="119"/>
      <c r="H227" s="119"/>
      <c r="I227" s="119"/>
      <c r="J227" s="119"/>
      <c r="K227" s="119"/>
      <c r="L227" s="119"/>
    </row>
    <row r="228" spans="1:12" s="120" customFormat="1" x14ac:dyDescent="0.3">
      <c r="A228" s="116"/>
      <c r="B228" s="121" t="s">
        <v>201</v>
      </c>
      <c r="C228" s="117">
        <v>15</v>
      </c>
      <c r="D228" s="118">
        <f t="shared" si="47"/>
        <v>43380</v>
      </c>
      <c r="E228" s="118">
        <f t="shared" si="46"/>
        <v>43395</v>
      </c>
      <c r="F228" s="119"/>
      <c r="G228" s="119"/>
      <c r="H228" s="119"/>
      <c r="I228" s="119"/>
      <c r="J228" s="119"/>
      <c r="K228" s="119"/>
      <c r="L228" s="119"/>
    </row>
    <row r="229" spans="1:12" s="120" customFormat="1" x14ac:dyDescent="0.3">
      <c r="A229" s="116"/>
      <c r="B229" s="121" t="s">
        <v>202</v>
      </c>
      <c r="C229" s="117">
        <f>22*30</f>
        <v>660</v>
      </c>
      <c r="D229" s="118">
        <f t="shared" si="47"/>
        <v>43395</v>
      </c>
      <c r="E229" s="118">
        <f t="shared" si="46"/>
        <v>44055</v>
      </c>
      <c r="F229" s="119"/>
      <c r="G229" s="119"/>
      <c r="H229" s="119"/>
      <c r="I229" s="119"/>
      <c r="J229" s="119"/>
      <c r="K229" s="119"/>
      <c r="L229" s="119"/>
    </row>
    <row r="230" spans="1:12" s="120" customFormat="1" ht="42.6" customHeight="1" x14ac:dyDescent="0.3">
      <c r="A230" s="116">
        <v>12</v>
      </c>
      <c r="B230" s="98" t="str">
        <f>'1. Detailed Budget.2 '!H30</f>
        <v>Consultoría para elaboración ESTUDIO BÁSICO DE CUENCAS HIDRICAS (INCLUYENDO LA IDENTIFICACION DE AREAS POTENCIALES PARA PROYECTOS MULTIPROSITO (ABASTECIMIENTO DE AGUA, RIEGO Y GENERACION DE ENERGIA)</v>
      </c>
      <c r="C230" s="117"/>
      <c r="D230" s="118"/>
      <c r="E230" s="118"/>
      <c r="F230" s="119">
        <f>'1. Detailed Budget.2 '!L30</f>
        <v>1500000</v>
      </c>
      <c r="G230" s="119"/>
      <c r="H230" s="119"/>
      <c r="I230" s="119"/>
      <c r="J230" s="119">
        <f>+F230*15%</f>
        <v>225000</v>
      </c>
      <c r="K230" s="119">
        <f>+F230*40%</f>
        <v>600000</v>
      </c>
      <c r="L230" s="119">
        <f>+F230*45%</f>
        <v>675000</v>
      </c>
    </row>
    <row r="231" spans="1:12" s="120" customFormat="1" ht="16.5" customHeight="1" x14ac:dyDescent="0.3">
      <c r="A231" s="116"/>
      <c r="B231" s="121" t="s">
        <v>193</v>
      </c>
      <c r="C231" s="117">
        <v>120</v>
      </c>
      <c r="D231" s="118">
        <v>43173</v>
      </c>
      <c r="E231" s="118">
        <f t="shared" ref="E231:E240" si="48">+D231+C231</f>
        <v>43293</v>
      </c>
      <c r="F231" s="119"/>
      <c r="G231" s="119"/>
      <c r="H231" s="119"/>
      <c r="I231" s="119"/>
      <c r="J231" s="119"/>
      <c r="K231" s="119"/>
      <c r="L231" s="119"/>
    </row>
    <row r="232" spans="1:12" s="120" customFormat="1" x14ac:dyDescent="0.3">
      <c r="A232" s="116"/>
      <c r="B232" s="121" t="s">
        <v>194</v>
      </c>
      <c r="C232" s="117">
        <v>14</v>
      </c>
      <c r="D232" s="118">
        <f t="shared" ref="D232:D240" si="49">+E231</f>
        <v>43293</v>
      </c>
      <c r="E232" s="118">
        <f t="shared" si="48"/>
        <v>43307</v>
      </c>
      <c r="F232" s="119"/>
      <c r="G232" s="119"/>
      <c r="H232" s="119"/>
      <c r="I232" s="119"/>
      <c r="J232" s="119"/>
      <c r="K232" s="119"/>
      <c r="L232" s="119"/>
    </row>
    <row r="233" spans="1:12" s="120" customFormat="1" x14ac:dyDescent="0.3">
      <c r="A233" s="116"/>
      <c r="B233" s="121" t="s">
        <v>195</v>
      </c>
      <c r="C233" s="117">
        <v>7</v>
      </c>
      <c r="D233" s="118">
        <f t="shared" si="49"/>
        <v>43307</v>
      </c>
      <c r="E233" s="118">
        <f t="shared" si="48"/>
        <v>43314</v>
      </c>
      <c r="F233" s="119"/>
      <c r="G233" s="119"/>
      <c r="H233" s="119"/>
      <c r="I233" s="119"/>
      <c r="J233" s="119"/>
      <c r="K233" s="119"/>
      <c r="L233" s="119"/>
    </row>
    <row r="234" spans="1:12" s="120" customFormat="1" ht="28.8" x14ac:dyDescent="0.3">
      <c r="A234" s="116"/>
      <c r="B234" s="121" t="s">
        <v>196</v>
      </c>
      <c r="C234" s="117">
        <v>5</v>
      </c>
      <c r="D234" s="118">
        <f t="shared" si="49"/>
        <v>43314</v>
      </c>
      <c r="E234" s="118">
        <f t="shared" si="48"/>
        <v>43319</v>
      </c>
      <c r="F234" s="119"/>
      <c r="G234" s="119"/>
      <c r="H234" s="119"/>
      <c r="I234" s="119"/>
      <c r="J234" s="119"/>
      <c r="K234" s="119"/>
      <c r="L234" s="119"/>
    </row>
    <row r="235" spans="1:12" s="120" customFormat="1" x14ac:dyDescent="0.3">
      <c r="A235" s="116"/>
      <c r="B235" s="121" t="s">
        <v>197</v>
      </c>
      <c r="C235" s="117">
        <v>45</v>
      </c>
      <c r="D235" s="118">
        <f t="shared" si="49"/>
        <v>43319</v>
      </c>
      <c r="E235" s="118">
        <f t="shared" si="48"/>
        <v>43364</v>
      </c>
      <c r="F235" s="119"/>
      <c r="G235" s="119"/>
      <c r="H235" s="119"/>
      <c r="I235" s="119"/>
      <c r="J235" s="119"/>
      <c r="K235" s="119"/>
      <c r="L235" s="119"/>
    </row>
    <row r="236" spans="1:12" s="120" customFormat="1" x14ac:dyDescent="0.3">
      <c r="A236" s="116"/>
      <c r="B236" s="121" t="s">
        <v>198</v>
      </c>
      <c r="C236" s="117">
        <v>10</v>
      </c>
      <c r="D236" s="118">
        <f t="shared" si="49"/>
        <v>43364</v>
      </c>
      <c r="E236" s="118">
        <f t="shared" si="48"/>
        <v>43374</v>
      </c>
      <c r="F236" s="119"/>
      <c r="G236" s="119"/>
      <c r="H236" s="119"/>
      <c r="I236" s="119"/>
      <c r="J236" s="119"/>
      <c r="K236" s="119"/>
      <c r="L236" s="119"/>
    </row>
    <row r="237" spans="1:12" s="120" customFormat="1" x14ac:dyDescent="0.3">
      <c r="A237" s="116"/>
      <c r="B237" s="121" t="s">
        <v>199</v>
      </c>
      <c r="C237" s="117">
        <v>5</v>
      </c>
      <c r="D237" s="118">
        <f t="shared" si="49"/>
        <v>43374</v>
      </c>
      <c r="E237" s="118">
        <f t="shared" si="48"/>
        <v>43379</v>
      </c>
      <c r="F237" s="119"/>
      <c r="G237" s="119"/>
      <c r="H237" s="119"/>
      <c r="I237" s="119"/>
      <c r="J237" s="119"/>
      <c r="K237" s="119"/>
      <c r="L237" s="119"/>
    </row>
    <row r="238" spans="1:12" s="120" customFormat="1" x14ac:dyDescent="0.3">
      <c r="A238" s="116"/>
      <c r="B238" s="121" t="s">
        <v>200</v>
      </c>
      <c r="C238" s="117">
        <v>1</v>
      </c>
      <c r="D238" s="118">
        <f t="shared" si="49"/>
        <v>43379</v>
      </c>
      <c r="E238" s="118">
        <f t="shared" si="48"/>
        <v>43380</v>
      </c>
      <c r="F238" s="119"/>
      <c r="G238" s="119"/>
      <c r="H238" s="119"/>
      <c r="I238" s="119"/>
      <c r="J238" s="119"/>
      <c r="K238" s="119"/>
      <c r="L238" s="119"/>
    </row>
    <row r="239" spans="1:12" s="120" customFormat="1" x14ac:dyDescent="0.3">
      <c r="A239" s="116"/>
      <c r="B239" s="121" t="s">
        <v>201</v>
      </c>
      <c r="C239" s="117">
        <v>15</v>
      </c>
      <c r="D239" s="118">
        <f t="shared" si="49"/>
        <v>43380</v>
      </c>
      <c r="E239" s="118">
        <f t="shared" si="48"/>
        <v>43395</v>
      </c>
      <c r="F239" s="119"/>
      <c r="G239" s="119"/>
      <c r="H239" s="119"/>
      <c r="I239" s="119"/>
      <c r="J239" s="119"/>
      <c r="K239" s="119"/>
      <c r="L239" s="119"/>
    </row>
    <row r="240" spans="1:12" s="120" customFormat="1" x14ac:dyDescent="0.3">
      <c r="A240" s="116"/>
      <c r="B240" s="121" t="s">
        <v>202</v>
      </c>
      <c r="C240" s="117">
        <f>22*30</f>
        <v>660</v>
      </c>
      <c r="D240" s="118">
        <f t="shared" si="49"/>
        <v>43395</v>
      </c>
      <c r="E240" s="118">
        <f t="shared" si="48"/>
        <v>44055</v>
      </c>
      <c r="F240" s="119"/>
      <c r="G240" s="119"/>
      <c r="H240" s="119"/>
      <c r="I240" s="119"/>
      <c r="J240" s="119"/>
      <c r="K240" s="119"/>
      <c r="L240" s="119"/>
    </row>
    <row r="241" spans="1:12" s="120" customFormat="1" ht="27.6" customHeight="1" x14ac:dyDescent="0.3">
      <c r="A241" s="116">
        <v>13</v>
      </c>
      <c r="B241" s="98" t="str">
        <f>'1. Detailed Budget.2 '!H31</f>
        <v>Consultoría para elaboración Estudios de preinversión de CONST. CONSTRUCCION DE HOSPITAL DE 3ER NIVEL BENI</v>
      </c>
      <c r="C241" s="117"/>
      <c r="D241" s="118"/>
      <c r="E241" s="118"/>
      <c r="F241" s="119">
        <f>'1. Detailed Budget.2 '!L31</f>
        <v>1750000</v>
      </c>
      <c r="G241" s="119"/>
      <c r="H241" s="119"/>
      <c r="I241" s="119"/>
      <c r="J241" s="119">
        <f>+F241*15%</f>
        <v>262500</v>
      </c>
      <c r="K241" s="119">
        <f>+F241*40%</f>
        <v>700000</v>
      </c>
      <c r="L241" s="119">
        <f>+F241*45%</f>
        <v>787500</v>
      </c>
    </row>
    <row r="242" spans="1:12" s="120" customFormat="1" ht="16.5" customHeight="1" x14ac:dyDescent="0.3">
      <c r="A242" s="116"/>
      <c r="B242" s="121" t="s">
        <v>193</v>
      </c>
      <c r="C242" s="117">
        <v>120</v>
      </c>
      <c r="D242" s="118">
        <v>43173</v>
      </c>
      <c r="E242" s="118">
        <f t="shared" ref="E242:E251" si="50">+D242+C242</f>
        <v>43293</v>
      </c>
      <c r="F242" s="119"/>
      <c r="G242" s="119"/>
      <c r="H242" s="119"/>
      <c r="I242" s="119"/>
      <c r="J242" s="119"/>
      <c r="K242" s="119"/>
      <c r="L242" s="119"/>
    </row>
    <row r="243" spans="1:12" s="120" customFormat="1" x14ac:dyDescent="0.3">
      <c r="A243" s="116"/>
      <c r="B243" s="121" t="s">
        <v>194</v>
      </c>
      <c r="C243" s="117">
        <v>14</v>
      </c>
      <c r="D243" s="118">
        <f t="shared" ref="D243:D251" si="51">+E242</f>
        <v>43293</v>
      </c>
      <c r="E243" s="118">
        <f t="shared" si="50"/>
        <v>43307</v>
      </c>
      <c r="F243" s="119"/>
      <c r="G243" s="119"/>
      <c r="H243" s="119"/>
      <c r="I243" s="119"/>
      <c r="J243" s="119"/>
      <c r="K243" s="119"/>
      <c r="L243" s="119"/>
    </row>
    <row r="244" spans="1:12" s="120" customFormat="1" x14ac:dyDescent="0.3">
      <c r="A244" s="116"/>
      <c r="B244" s="121" t="s">
        <v>195</v>
      </c>
      <c r="C244" s="117">
        <v>7</v>
      </c>
      <c r="D244" s="118">
        <f t="shared" si="51"/>
        <v>43307</v>
      </c>
      <c r="E244" s="118">
        <f t="shared" si="50"/>
        <v>43314</v>
      </c>
      <c r="F244" s="119"/>
      <c r="G244" s="119"/>
      <c r="H244" s="119"/>
      <c r="I244" s="119"/>
      <c r="J244" s="119"/>
      <c r="K244" s="119"/>
      <c r="L244" s="119"/>
    </row>
    <row r="245" spans="1:12" s="120" customFormat="1" ht="28.8" x14ac:dyDescent="0.3">
      <c r="A245" s="116"/>
      <c r="B245" s="121" t="s">
        <v>196</v>
      </c>
      <c r="C245" s="117">
        <v>5</v>
      </c>
      <c r="D245" s="118">
        <f t="shared" si="51"/>
        <v>43314</v>
      </c>
      <c r="E245" s="118">
        <f t="shared" si="50"/>
        <v>43319</v>
      </c>
      <c r="F245" s="119"/>
      <c r="G245" s="119"/>
      <c r="H245" s="119"/>
      <c r="I245" s="119"/>
      <c r="J245" s="119"/>
      <c r="K245" s="119"/>
      <c r="L245" s="119"/>
    </row>
    <row r="246" spans="1:12" s="120" customFormat="1" x14ac:dyDescent="0.3">
      <c r="A246" s="116"/>
      <c r="B246" s="121" t="s">
        <v>197</v>
      </c>
      <c r="C246" s="117">
        <v>45</v>
      </c>
      <c r="D246" s="118">
        <f t="shared" si="51"/>
        <v>43319</v>
      </c>
      <c r="E246" s="118">
        <f t="shared" si="50"/>
        <v>43364</v>
      </c>
      <c r="F246" s="119"/>
      <c r="G246" s="119"/>
      <c r="H246" s="119"/>
      <c r="I246" s="119"/>
      <c r="J246" s="119"/>
      <c r="K246" s="119"/>
      <c r="L246" s="119"/>
    </row>
    <row r="247" spans="1:12" s="120" customFormat="1" x14ac:dyDescent="0.3">
      <c r="A247" s="116"/>
      <c r="B247" s="121" t="s">
        <v>198</v>
      </c>
      <c r="C247" s="117">
        <v>10</v>
      </c>
      <c r="D247" s="118">
        <f t="shared" si="51"/>
        <v>43364</v>
      </c>
      <c r="E247" s="118">
        <f t="shared" si="50"/>
        <v>43374</v>
      </c>
      <c r="F247" s="119"/>
      <c r="G247" s="119"/>
      <c r="H247" s="119"/>
      <c r="I247" s="119"/>
      <c r="J247" s="119"/>
      <c r="K247" s="119"/>
      <c r="L247" s="119"/>
    </row>
    <row r="248" spans="1:12" s="120" customFormat="1" x14ac:dyDescent="0.3">
      <c r="A248" s="116"/>
      <c r="B248" s="121" t="s">
        <v>199</v>
      </c>
      <c r="C248" s="117">
        <v>5</v>
      </c>
      <c r="D248" s="118">
        <f t="shared" si="51"/>
        <v>43374</v>
      </c>
      <c r="E248" s="118">
        <f t="shared" si="50"/>
        <v>43379</v>
      </c>
      <c r="F248" s="119"/>
      <c r="G248" s="119"/>
      <c r="H248" s="119"/>
      <c r="I248" s="119"/>
      <c r="J248" s="119"/>
      <c r="K248" s="119"/>
      <c r="L248" s="119"/>
    </row>
    <row r="249" spans="1:12" s="120" customFormat="1" x14ac:dyDescent="0.3">
      <c r="A249" s="116"/>
      <c r="B249" s="121" t="s">
        <v>200</v>
      </c>
      <c r="C249" s="117">
        <v>1</v>
      </c>
      <c r="D249" s="118">
        <f t="shared" si="51"/>
        <v>43379</v>
      </c>
      <c r="E249" s="118">
        <f t="shared" si="50"/>
        <v>43380</v>
      </c>
      <c r="F249" s="119"/>
      <c r="G249" s="119"/>
      <c r="H249" s="119"/>
      <c r="I249" s="119"/>
      <c r="J249" s="119"/>
      <c r="K249" s="119"/>
      <c r="L249" s="119"/>
    </row>
    <row r="250" spans="1:12" s="120" customFormat="1" x14ac:dyDescent="0.3">
      <c r="A250" s="116"/>
      <c r="B250" s="121" t="s">
        <v>201</v>
      </c>
      <c r="C250" s="117">
        <v>15</v>
      </c>
      <c r="D250" s="118">
        <f t="shared" si="51"/>
        <v>43380</v>
      </c>
      <c r="E250" s="118">
        <f t="shared" si="50"/>
        <v>43395</v>
      </c>
      <c r="F250" s="119"/>
      <c r="G250" s="119"/>
      <c r="H250" s="119"/>
      <c r="I250" s="119"/>
      <c r="J250" s="119"/>
      <c r="K250" s="119"/>
      <c r="L250" s="119"/>
    </row>
    <row r="251" spans="1:12" s="120" customFormat="1" x14ac:dyDescent="0.3">
      <c r="A251" s="116"/>
      <c r="B251" s="121" t="s">
        <v>202</v>
      </c>
      <c r="C251" s="117">
        <f>22*30</f>
        <v>660</v>
      </c>
      <c r="D251" s="118">
        <f t="shared" si="51"/>
        <v>43395</v>
      </c>
      <c r="E251" s="118">
        <f t="shared" si="50"/>
        <v>44055</v>
      </c>
      <c r="F251" s="119"/>
      <c r="G251" s="119"/>
      <c r="H251" s="119"/>
      <c r="I251" s="119"/>
      <c r="J251" s="119"/>
      <c r="K251" s="119"/>
      <c r="L251" s="119"/>
    </row>
    <row r="252" spans="1:12" s="120" customFormat="1" ht="39" customHeight="1" x14ac:dyDescent="0.3">
      <c r="A252" s="116">
        <v>14</v>
      </c>
      <c r="B252" s="98" t="str">
        <f>'1. Detailed Budget.2 '!H32</f>
        <v>Consultoría para elaboración Estudios de preinversión de CONST. CONSTRUCCION DE HOSPITAL DE 3ER NIVEL de POTOSI</v>
      </c>
      <c r="C252" s="117"/>
      <c r="D252" s="118"/>
      <c r="E252" s="118"/>
      <c r="F252" s="119">
        <f>'1. Detailed Budget.2 '!L32</f>
        <v>1750000</v>
      </c>
      <c r="G252" s="119"/>
      <c r="H252" s="119"/>
      <c r="I252" s="119"/>
      <c r="J252" s="119">
        <f>+F252*15%</f>
        <v>262500</v>
      </c>
      <c r="K252" s="119">
        <f>+F252*40%</f>
        <v>700000</v>
      </c>
      <c r="L252" s="119">
        <f>+F252*45%</f>
        <v>787500</v>
      </c>
    </row>
    <row r="253" spans="1:12" s="120" customFormat="1" ht="16.5" customHeight="1" x14ac:dyDescent="0.3">
      <c r="A253" s="116"/>
      <c r="B253" s="121" t="s">
        <v>193</v>
      </c>
      <c r="C253" s="117">
        <v>120</v>
      </c>
      <c r="D253" s="118">
        <v>43173</v>
      </c>
      <c r="E253" s="118">
        <f t="shared" ref="E253:E262" si="52">+D253+C253</f>
        <v>43293</v>
      </c>
      <c r="F253" s="119"/>
      <c r="G253" s="119"/>
      <c r="H253" s="119"/>
      <c r="I253" s="119"/>
      <c r="J253" s="119"/>
      <c r="K253" s="119"/>
      <c r="L253" s="119"/>
    </row>
    <row r="254" spans="1:12" s="120" customFormat="1" x14ac:dyDescent="0.3">
      <c r="A254" s="116"/>
      <c r="B254" s="121" t="s">
        <v>194</v>
      </c>
      <c r="C254" s="117">
        <v>14</v>
      </c>
      <c r="D254" s="118">
        <f t="shared" ref="D254:D262" si="53">+E253</f>
        <v>43293</v>
      </c>
      <c r="E254" s="118">
        <f t="shared" si="52"/>
        <v>43307</v>
      </c>
      <c r="F254" s="119"/>
      <c r="G254" s="119"/>
      <c r="H254" s="119"/>
      <c r="I254" s="119"/>
      <c r="J254" s="119"/>
      <c r="K254" s="119"/>
      <c r="L254" s="119"/>
    </row>
    <row r="255" spans="1:12" s="120" customFormat="1" x14ac:dyDescent="0.3">
      <c r="A255" s="116"/>
      <c r="B255" s="121" t="s">
        <v>195</v>
      </c>
      <c r="C255" s="117">
        <v>7</v>
      </c>
      <c r="D255" s="118">
        <f t="shared" si="53"/>
        <v>43307</v>
      </c>
      <c r="E255" s="118">
        <f t="shared" si="52"/>
        <v>43314</v>
      </c>
      <c r="F255" s="119"/>
      <c r="G255" s="119"/>
      <c r="H255" s="119"/>
      <c r="I255" s="119"/>
      <c r="J255" s="119"/>
      <c r="K255" s="119"/>
      <c r="L255" s="119"/>
    </row>
    <row r="256" spans="1:12" s="120" customFormat="1" ht="28.8" x14ac:dyDescent="0.3">
      <c r="A256" s="116"/>
      <c r="B256" s="121" t="s">
        <v>196</v>
      </c>
      <c r="C256" s="117">
        <v>5</v>
      </c>
      <c r="D256" s="118">
        <f t="shared" si="53"/>
        <v>43314</v>
      </c>
      <c r="E256" s="118">
        <f t="shared" si="52"/>
        <v>43319</v>
      </c>
      <c r="F256" s="119"/>
      <c r="G256" s="119"/>
      <c r="H256" s="119"/>
      <c r="I256" s="119"/>
      <c r="J256" s="119"/>
      <c r="K256" s="119"/>
      <c r="L256" s="119"/>
    </row>
    <row r="257" spans="1:12" s="120" customFormat="1" x14ac:dyDescent="0.3">
      <c r="A257" s="116"/>
      <c r="B257" s="121" t="s">
        <v>197</v>
      </c>
      <c r="C257" s="117">
        <v>45</v>
      </c>
      <c r="D257" s="118">
        <f t="shared" si="53"/>
        <v>43319</v>
      </c>
      <c r="E257" s="118">
        <f t="shared" si="52"/>
        <v>43364</v>
      </c>
      <c r="F257" s="119"/>
      <c r="G257" s="119"/>
      <c r="H257" s="119"/>
      <c r="I257" s="119"/>
      <c r="J257" s="119"/>
      <c r="K257" s="119"/>
      <c r="L257" s="119"/>
    </row>
    <row r="258" spans="1:12" s="120" customFormat="1" x14ac:dyDescent="0.3">
      <c r="A258" s="116"/>
      <c r="B258" s="121" t="s">
        <v>198</v>
      </c>
      <c r="C258" s="117">
        <v>10</v>
      </c>
      <c r="D258" s="118">
        <f t="shared" si="53"/>
        <v>43364</v>
      </c>
      <c r="E258" s="118">
        <f t="shared" si="52"/>
        <v>43374</v>
      </c>
      <c r="F258" s="119"/>
      <c r="G258" s="119"/>
      <c r="H258" s="119"/>
      <c r="I258" s="119"/>
      <c r="J258" s="119"/>
      <c r="K258" s="119"/>
      <c r="L258" s="119"/>
    </row>
    <row r="259" spans="1:12" s="120" customFormat="1" x14ac:dyDescent="0.3">
      <c r="A259" s="116"/>
      <c r="B259" s="121" t="s">
        <v>199</v>
      </c>
      <c r="C259" s="117">
        <v>5</v>
      </c>
      <c r="D259" s="118">
        <f t="shared" si="53"/>
        <v>43374</v>
      </c>
      <c r="E259" s="118">
        <f t="shared" si="52"/>
        <v>43379</v>
      </c>
      <c r="F259" s="119"/>
      <c r="G259" s="119"/>
      <c r="H259" s="119"/>
      <c r="I259" s="119"/>
      <c r="J259" s="119"/>
      <c r="K259" s="119"/>
      <c r="L259" s="119"/>
    </row>
    <row r="260" spans="1:12" s="120" customFormat="1" x14ac:dyDescent="0.3">
      <c r="A260" s="116"/>
      <c r="B260" s="121" t="s">
        <v>200</v>
      </c>
      <c r="C260" s="117">
        <v>1</v>
      </c>
      <c r="D260" s="118">
        <f t="shared" si="53"/>
        <v>43379</v>
      </c>
      <c r="E260" s="118">
        <f t="shared" si="52"/>
        <v>43380</v>
      </c>
      <c r="F260" s="119"/>
      <c r="G260" s="119"/>
      <c r="H260" s="119"/>
      <c r="I260" s="119"/>
      <c r="J260" s="119"/>
      <c r="K260" s="119"/>
      <c r="L260" s="119"/>
    </row>
    <row r="261" spans="1:12" s="120" customFormat="1" x14ac:dyDescent="0.3">
      <c r="A261" s="116"/>
      <c r="B261" s="121" t="s">
        <v>201</v>
      </c>
      <c r="C261" s="117">
        <v>15</v>
      </c>
      <c r="D261" s="118">
        <f t="shared" si="53"/>
        <v>43380</v>
      </c>
      <c r="E261" s="118">
        <f t="shared" si="52"/>
        <v>43395</v>
      </c>
      <c r="F261" s="119"/>
      <c r="G261" s="119"/>
      <c r="H261" s="119"/>
      <c r="I261" s="119"/>
      <c r="J261" s="119"/>
      <c r="K261" s="119"/>
      <c r="L261" s="119"/>
    </row>
    <row r="262" spans="1:12" s="120" customFormat="1" x14ac:dyDescent="0.3">
      <c r="A262" s="116"/>
      <c r="B262" s="121" t="s">
        <v>202</v>
      </c>
      <c r="C262" s="117">
        <f>22*30</f>
        <v>660</v>
      </c>
      <c r="D262" s="118">
        <f t="shared" si="53"/>
        <v>43395</v>
      </c>
      <c r="E262" s="118">
        <f t="shared" si="52"/>
        <v>44055</v>
      </c>
      <c r="F262" s="119"/>
      <c r="G262" s="119"/>
      <c r="H262" s="119"/>
      <c r="I262" s="119"/>
      <c r="J262" s="119"/>
      <c r="K262" s="119"/>
      <c r="L262" s="119"/>
    </row>
    <row r="263" spans="1:12" s="120" customFormat="1" ht="41.4" customHeight="1" x14ac:dyDescent="0.3">
      <c r="A263" s="116">
        <v>15</v>
      </c>
      <c r="B263" s="98" t="str">
        <f>'1. Detailed Budget.2 '!H33</f>
        <v xml:space="preserve">Consultoría para elaboración Estudios de preinversión de PROGRAMA DE REPOTENCIAMIENTO DE MICRO CENTRALES HIDROELÉCTRICAS </v>
      </c>
      <c r="C263" s="117"/>
      <c r="D263" s="118"/>
      <c r="E263" s="118"/>
      <c r="F263" s="119">
        <f>'1. Detailed Budget.2 '!L33</f>
        <v>350000</v>
      </c>
      <c r="G263" s="119"/>
      <c r="H263" s="119"/>
      <c r="I263" s="119"/>
      <c r="J263" s="119">
        <f>+F263*15%</f>
        <v>52500</v>
      </c>
      <c r="K263" s="119">
        <f>+F263*40%</f>
        <v>140000</v>
      </c>
      <c r="L263" s="119">
        <f>+F263*45%</f>
        <v>157500</v>
      </c>
    </row>
    <row r="264" spans="1:12" s="120" customFormat="1" ht="16.5" customHeight="1" x14ac:dyDescent="0.3">
      <c r="A264" s="116"/>
      <c r="B264" s="121" t="s">
        <v>193</v>
      </c>
      <c r="C264" s="117">
        <v>120</v>
      </c>
      <c r="D264" s="118">
        <v>43173</v>
      </c>
      <c r="E264" s="118">
        <f t="shared" ref="E264:E273" si="54">+D264+C264</f>
        <v>43293</v>
      </c>
      <c r="F264" s="119"/>
      <c r="G264" s="119"/>
      <c r="H264" s="119"/>
      <c r="I264" s="119"/>
      <c r="J264" s="119"/>
      <c r="K264" s="119"/>
      <c r="L264" s="119"/>
    </row>
    <row r="265" spans="1:12" s="120" customFormat="1" x14ac:dyDescent="0.3">
      <c r="A265" s="116"/>
      <c r="B265" s="121" t="s">
        <v>194</v>
      </c>
      <c r="C265" s="117">
        <v>14</v>
      </c>
      <c r="D265" s="118">
        <f t="shared" ref="D265:D273" si="55">+E264</f>
        <v>43293</v>
      </c>
      <c r="E265" s="118">
        <f t="shared" si="54"/>
        <v>43307</v>
      </c>
      <c r="F265" s="119"/>
      <c r="G265" s="119"/>
      <c r="H265" s="119"/>
      <c r="I265" s="119"/>
      <c r="J265" s="119"/>
      <c r="K265" s="119"/>
      <c r="L265" s="119"/>
    </row>
    <row r="266" spans="1:12" s="120" customFormat="1" x14ac:dyDescent="0.3">
      <c r="A266" s="116"/>
      <c r="B266" s="121" t="s">
        <v>195</v>
      </c>
      <c r="C266" s="117">
        <v>7</v>
      </c>
      <c r="D266" s="118">
        <f t="shared" si="55"/>
        <v>43307</v>
      </c>
      <c r="E266" s="118">
        <f t="shared" si="54"/>
        <v>43314</v>
      </c>
      <c r="F266" s="119"/>
      <c r="G266" s="119"/>
      <c r="H266" s="119"/>
      <c r="I266" s="119"/>
      <c r="J266" s="119"/>
      <c r="K266" s="119"/>
      <c r="L266" s="119"/>
    </row>
    <row r="267" spans="1:12" s="120" customFormat="1" ht="28.8" x14ac:dyDescent="0.3">
      <c r="A267" s="116"/>
      <c r="B267" s="121" t="s">
        <v>196</v>
      </c>
      <c r="C267" s="117">
        <v>5</v>
      </c>
      <c r="D267" s="118">
        <f t="shared" si="55"/>
        <v>43314</v>
      </c>
      <c r="E267" s="118">
        <f t="shared" si="54"/>
        <v>43319</v>
      </c>
      <c r="F267" s="119"/>
      <c r="G267" s="119"/>
      <c r="H267" s="119"/>
      <c r="I267" s="119"/>
      <c r="J267" s="119"/>
      <c r="K267" s="119"/>
      <c r="L267" s="119"/>
    </row>
    <row r="268" spans="1:12" s="120" customFormat="1" x14ac:dyDescent="0.3">
      <c r="A268" s="116"/>
      <c r="B268" s="121" t="s">
        <v>197</v>
      </c>
      <c r="C268" s="117">
        <v>45</v>
      </c>
      <c r="D268" s="118">
        <f t="shared" si="55"/>
        <v>43319</v>
      </c>
      <c r="E268" s="118">
        <f t="shared" si="54"/>
        <v>43364</v>
      </c>
      <c r="F268" s="119"/>
      <c r="G268" s="119"/>
      <c r="H268" s="119"/>
      <c r="I268" s="119"/>
      <c r="J268" s="119"/>
      <c r="K268" s="119"/>
      <c r="L268" s="119"/>
    </row>
    <row r="269" spans="1:12" s="120" customFormat="1" x14ac:dyDescent="0.3">
      <c r="A269" s="116"/>
      <c r="B269" s="121" t="s">
        <v>198</v>
      </c>
      <c r="C269" s="117">
        <v>10</v>
      </c>
      <c r="D269" s="118">
        <f t="shared" si="55"/>
        <v>43364</v>
      </c>
      <c r="E269" s="118">
        <f t="shared" si="54"/>
        <v>43374</v>
      </c>
      <c r="F269" s="119"/>
      <c r="G269" s="119"/>
      <c r="H269" s="119"/>
      <c r="I269" s="119"/>
      <c r="J269" s="119"/>
      <c r="K269" s="119"/>
      <c r="L269" s="119"/>
    </row>
    <row r="270" spans="1:12" s="120" customFormat="1" x14ac:dyDescent="0.3">
      <c r="A270" s="116"/>
      <c r="B270" s="121" t="s">
        <v>199</v>
      </c>
      <c r="C270" s="117">
        <v>5</v>
      </c>
      <c r="D270" s="118">
        <f t="shared" si="55"/>
        <v>43374</v>
      </c>
      <c r="E270" s="118">
        <f t="shared" si="54"/>
        <v>43379</v>
      </c>
      <c r="F270" s="119"/>
      <c r="G270" s="119"/>
      <c r="H270" s="119"/>
      <c r="I270" s="119"/>
      <c r="J270" s="119"/>
      <c r="K270" s="119"/>
      <c r="L270" s="119"/>
    </row>
    <row r="271" spans="1:12" s="120" customFormat="1" x14ac:dyDescent="0.3">
      <c r="A271" s="116"/>
      <c r="B271" s="121" t="s">
        <v>200</v>
      </c>
      <c r="C271" s="117">
        <v>1</v>
      </c>
      <c r="D271" s="118">
        <f t="shared" si="55"/>
        <v>43379</v>
      </c>
      <c r="E271" s="118">
        <f t="shared" si="54"/>
        <v>43380</v>
      </c>
      <c r="F271" s="119"/>
      <c r="G271" s="119"/>
      <c r="H271" s="119"/>
      <c r="I271" s="119"/>
      <c r="J271" s="119"/>
      <c r="K271" s="119"/>
      <c r="L271" s="119"/>
    </row>
    <row r="272" spans="1:12" s="120" customFormat="1" x14ac:dyDescent="0.3">
      <c r="A272" s="116"/>
      <c r="B272" s="121" t="s">
        <v>201</v>
      </c>
      <c r="C272" s="117">
        <v>15</v>
      </c>
      <c r="D272" s="118">
        <f t="shared" si="55"/>
        <v>43380</v>
      </c>
      <c r="E272" s="118">
        <f t="shared" si="54"/>
        <v>43395</v>
      </c>
      <c r="F272" s="119"/>
      <c r="G272" s="119"/>
      <c r="H272" s="119"/>
      <c r="I272" s="119"/>
      <c r="J272" s="119"/>
      <c r="K272" s="119"/>
      <c r="L272" s="119"/>
    </row>
    <row r="273" spans="1:12" s="120" customFormat="1" x14ac:dyDescent="0.3">
      <c r="A273" s="116"/>
      <c r="B273" s="121" t="s">
        <v>202</v>
      </c>
      <c r="C273" s="117">
        <f>22*30</f>
        <v>660</v>
      </c>
      <c r="D273" s="118">
        <f t="shared" si="55"/>
        <v>43395</v>
      </c>
      <c r="E273" s="118">
        <f t="shared" si="54"/>
        <v>44055</v>
      </c>
      <c r="F273" s="119"/>
      <c r="G273" s="119"/>
      <c r="H273" s="119"/>
      <c r="I273" s="119"/>
      <c r="J273" s="119"/>
      <c r="K273" s="119"/>
      <c r="L273" s="119"/>
    </row>
    <row r="274" spans="1:12" s="120" customFormat="1" ht="40.200000000000003" customHeight="1" x14ac:dyDescent="0.3">
      <c r="A274" s="116">
        <v>16</v>
      </c>
      <c r="B274" s="98" t="str">
        <f>'1. Detailed Budget.2 '!H34</f>
        <v>Consultoría para elaboración Estudios de preinversión de PROYECTO DE DRENAJE EN LOS MUNICIPIOS DE LA PAZ Y EL ALTO</v>
      </c>
      <c r="C274" s="117"/>
      <c r="D274" s="118"/>
      <c r="E274" s="118"/>
      <c r="F274" s="119">
        <f>'1. Detailed Budget.2 '!L34</f>
        <v>600000</v>
      </c>
      <c r="G274" s="119"/>
      <c r="H274" s="119"/>
      <c r="I274" s="119"/>
      <c r="J274" s="119">
        <f>+F274*15%</f>
        <v>90000</v>
      </c>
      <c r="K274" s="119">
        <f>+F274*40%</f>
        <v>240000</v>
      </c>
      <c r="L274" s="119">
        <f>+F274*45%</f>
        <v>270000</v>
      </c>
    </row>
    <row r="275" spans="1:12" s="120" customFormat="1" ht="16.5" customHeight="1" x14ac:dyDescent="0.3">
      <c r="A275" s="116"/>
      <c r="B275" s="121" t="s">
        <v>193</v>
      </c>
      <c r="C275" s="117">
        <v>120</v>
      </c>
      <c r="D275" s="118">
        <v>43173</v>
      </c>
      <c r="E275" s="118">
        <f t="shared" ref="E275:E284" si="56">+D275+C275</f>
        <v>43293</v>
      </c>
      <c r="F275" s="119"/>
      <c r="G275" s="119"/>
      <c r="H275" s="119"/>
      <c r="I275" s="119"/>
      <c r="J275" s="119"/>
      <c r="K275" s="119"/>
      <c r="L275" s="119"/>
    </row>
    <row r="276" spans="1:12" s="120" customFormat="1" x14ac:dyDescent="0.3">
      <c r="A276" s="116"/>
      <c r="B276" s="121" t="s">
        <v>194</v>
      </c>
      <c r="C276" s="117">
        <v>14</v>
      </c>
      <c r="D276" s="118">
        <f t="shared" ref="D276:D284" si="57">+E275</f>
        <v>43293</v>
      </c>
      <c r="E276" s="118">
        <f t="shared" si="56"/>
        <v>43307</v>
      </c>
      <c r="F276" s="119"/>
      <c r="G276" s="119"/>
      <c r="H276" s="119"/>
      <c r="I276" s="119"/>
      <c r="J276" s="119"/>
      <c r="K276" s="119"/>
      <c r="L276" s="119"/>
    </row>
    <row r="277" spans="1:12" s="120" customFormat="1" x14ac:dyDescent="0.3">
      <c r="A277" s="116"/>
      <c r="B277" s="121" t="s">
        <v>195</v>
      </c>
      <c r="C277" s="117">
        <v>7</v>
      </c>
      <c r="D277" s="118">
        <f t="shared" si="57"/>
        <v>43307</v>
      </c>
      <c r="E277" s="118">
        <f t="shared" si="56"/>
        <v>43314</v>
      </c>
      <c r="F277" s="119"/>
      <c r="G277" s="119"/>
      <c r="H277" s="119"/>
      <c r="I277" s="119"/>
      <c r="J277" s="119"/>
      <c r="K277" s="119"/>
      <c r="L277" s="119"/>
    </row>
    <row r="278" spans="1:12" s="120" customFormat="1" ht="28.8" x14ac:dyDescent="0.3">
      <c r="A278" s="116"/>
      <c r="B278" s="121" t="s">
        <v>196</v>
      </c>
      <c r="C278" s="117">
        <v>5</v>
      </c>
      <c r="D278" s="118">
        <f t="shared" si="57"/>
        <v>43314</v>
      </c>
      <c r="E278" s="118">
        <f t="shared" si="56"/>
        <v>43319</v>
      </c>
      <c r="F278" s="119"/>
      <c r="G278" s="119"/>
      <c r="H278" s="119"/>
      <c r="I278" s="119"/>
      <c r="J278" s="119"/>
      <c r="K278" s="119"/>
      <c r="L278" s="119"/>
    </row>
    <row r="279" spans="1:12" s="120" customFormat="1" x14ac:dyDescent="0.3">
      <c r="A279" s="116"/>
      <c r="B279" s="121" t="s">
        <v>197</v>
      </c>
      <c r="C279" s="117">
        <v>45</v>
      </c>
      <c r="D279" s="118">
        <f t="shared" si="57"/>
        <v>43319</v>
      </c>
      <c r="E279" s="118">
        <f t="shared" si="56"/>
        <v>43364</v>
      </c>
      <c r="F279" s="119"/>
      <c r="G279" s="119"/>
      <c r="H279" s="119"/>
      <c r="I279" s="119"/>
      <c r="J279" s="119"/>
      <c r="K279" s="119"/>
      <c r="L279" s="119"/>
    </row>
    <row r="280" spans="1:12" s="120" customFormat="1" x14ac:dyDescent="0.3">
      <c r="A280" s="116"/>
      <c r="B280" s="121" t="s">
        <v>198</v>
      </c>
      <c r="C280" s="117">
        <v>10</v>
      </c>
      <c r="D280" s="118">
        <f t="shared" si="57"/>
        <v>43364</v>
      </c>
      <c r="E280" s="118">
        <f t="shared" si="56"/>
        <v>43374</v>
      </c>
      <c r="F280" s="119"/>
      <c r="G280" s="119"/>
      <c r="H280" s="119"/>
      <c r="I280" s="119"/>
      <c r="J280" s="119"/>
      <c r="K280" s="119"/>
      <c r="L280" s="119"/>
    </row>
    <row r="281" spans="1:12" s="120" customFormat="1" x14ac:dyDescent="0.3">
      <c r="A281" s="116"/>
      <c r="B281" s="121" t="s">
        <v>199</v>
      </c>
      <c r="C281" s="117">
        <v>5</v>
      </c>
      <c r="D281" s="118">
        <f t="shared" si="57"/>
        <v>43374</v>
      </c>
      <c r="E281" s="118">
        <f t="shared" si="56"/>
        <v>43379</v>
      </c>
      <c r="F281" s="119"/>
      <c r="G281" s="119"/>
      <c r="H281" s="119"/>
      <c r="I281" s="119"/>
      <c r="J281" s="119"/>
      <c r="K281" s="119"/>
      <c r="L281" s="119"/>
    </row>
    <row r="282" spans="1:12" s="120" customFormat="1" x14ac:dyDescent="0.3">
      <c r="A282" s="116"/>
      <c r="B282" s="121" t="s">
        <v>200</v>
      </c>
      <c r="C282" s="117">
        <v>1</v>
      </c>
      <c r="D282" s="118">
        <f t="shared" si="57"/>
        <v>43379</v>
      </c>
      <c r="E282" s="118">
        <f t="shared" si="56"/>
        <v>43380</v>
      </c>
      <c r="F282" s="119"/>
      <c r="G282" s="119"/>
      <c r="H282" s="119"/>
      <c r="I282" s="119"/>
      <c r="J282" s="119"/>
      <c r="K282" s="119"/>
      <c r="L282" s="119"/>
    </row>
    <row r="283" spans="1:12" s="120" customFormat="1" x14ac:dyDescent="0.3">
      <c r="A283" s="116"/>
      <c r="B283" s="121" t="s">
        <v>201</v>
      </c>
      <c r="C283" s="117">
        <v>15</v>
      </c>
      <c r="D283" s="118">
        <f t="shared" si="57"/>
        <v>43380</v>
      </c>
      <c r="E283" s="118">
        <f t="shared" si="56"/>
        <v>43395</v>
      </c>
      <c r="F283" s="119"/>
      <c r="G283" s="119"/>
      <c r="H283" s="119"/>
      <c r="I283" s="119"/>
      <c r="J283" s="119"/>
      <c r="K283" s="119"/>
      <c r="L283" s="119"/>
    </row>
    <row r="284" spans="1:12" s="120" customFormat="1" x14ac:dyDescent="0.3">
      <c r="A284" s="116"/>
      <c r="B284" s="121" t="s">
        <v>202</v>
      </c>
      <c r="C284" s="117">
        <f>22*30</f>
        <v>660</v>
      </c>
      <c r="D284" s="118">
        <f t="shared" si="57"/>
        <v>43395</v>
      </c>
      <c r="E284" s="118">
        <f t="shared" si="56"/>
        <v>44055</v>
      </c>
      <c r="F284" s="119"/>
      <c r="G284" s="119"/>
      <c r="H284" s="119"/>
      <c r="I284" s="119"/>
      <c r="J284" s="119"/>
      <c r="K284" s="119"/>
      <c r="L284" s="119"/>
    </row>
    <row r="285" spans="1:12" ht="23.4" customHeight="1" x14ac:dyDescent="0.3">
      <c r="A285" s="110"/>
      <c r="B285" s="111" t="str">
        <f>'1. Detailed Budget.2 '!A36</f>
        <v>2.2 Base de datos de costos unitarios de la preinversión desarrollada</v>
      </c>
      <c r="C285" s="112"/>
      <c r="D285" s="113"/>
      <c r="E285" s="114"/>
      <c r="F285" s="115">
        <f>F286</f>
        <v>36960</v>
      </c>
      <c r="G285" s="115" t="e">
        <f>+G286+#REF!+#REF!+#REF!+#REF!+#REF!+#REF!+#REF!+#REF!+#REF!+#REF!+#REF!+#REF!+#REF!</f>
        <v>#REF!</v>
      </c>
      <c r="H285" s="115" t="e">
        <f>+H286+#REF!+#REF!+#REF!+#REF!+#REF!+#REF!+#REF!+#REF!+#REF!+#REF!+#REF!+#REF!+#REF!</f>
        <v>#REF!</v>
      </c>
      <c r="I285" s="115" t="e">
        <f>+I286+#REF!+#REF!+#REF!+#REF!+#REF!+#REF!+#REF!+#REF!+#REF!+#REF!+#REF!+#REF!+#REF!</f>
        <v>#REF!</v>
      </c>
      <c r="J285" s="115" t="e">
        <f>+J286+#REF!+#REF!+#REF!+#REF!+#REF!+#REF!+#REF!+#REF!+#REF!+#REF!+#REF!+#REF!+#REF!</f>
        <v>#REF!</v>
      </c>
      <c r="K285" s="115" t="e">
        <f>+K286+#REF!+#REF!+#REF!+#REF!+#REF!+#REF!+#REF!+#REF!+#REF!+#REF!+#REF!+#REF!+#REF!</f>
        <v>#REF!</v>
      </c>
      <c r="L285" s="115" t="e">
        <f>+L286+#REF!+#REF!+#REF!+#REF!+#REF!+#REF!+#REF!+#REF!+#REF!+#REF!+#REF!+#REF!+#REF!</f>
        <v>#REF!</v>
      </c>
    </row>
    <row r="286" spans="1:12" s="120" customFormat="1" ht="72" x14ac:dyDescent="0.3">
      <c r="A286" s="116"/>
      <c r="B286" s="170" t="str">
        <f>'1. Detailed Budget.2 '!C36</f>
        <v xml:space="preserve">Consultoría especializada para el desarrollo de la Conceptualización del sistema y determinación de rubros a usar; Recopilación de costos de mercado a nivel nacional/internacional y desarrollo de la solución informática. </v>
      </c>
      <c r="C286" s="117"/>
      <c r="D286" s="118"/>
      <c r="E286" s="118"/>
      <c r="F286" s="170">
        <f>'1. Detailed Budget.2 '!G36</f>
        <v>36960</v>
      </c>
      <c r="G286" s="119"/>
      <c r="H286" s="119"/>
      <c r="I286" s="119">
        <f>+F286*40%</f>
        <v>14784</v>
      </c>
      <c r="J286" s="119">
        <f>+F286*60%</f>
        <v>22176</v>
      </c>
      <c r="K286" s="119"/>
      <c r="L286" s="119"/>
    </row>
    <row r="287" spans="1:12" s="120" customFormat="1" x14ac:dyDescent="0.3">
      <c r="A287" s="116"/>
      <c r="B287" s="121" t="s">
        <v>193</v>
      </c>
      <c r="C287" s="117">
        <v>20</v>
      </c>
      <c r="D287" s="118">
        <f t="shared" ref="D287:D294" si="58">+E287-C287</f>
        <v>43849</v>
      </c>
      <c r="E287" s="118">
        <f t="shared" ref="E287:E293" si="59">+D288</f>
        <v>43869</v>
      </c>
      <c r="F287" s="119"/>
      <c r="G287" s="119"/>
      <c r="H287" s="119"/>
      <c r="I287" s="119"/>
      <c r="J287" s="119"/>
      <c r="K287" s="119"/>
      <c r="L287" s="119"/>
    </row>
    <row r="288" spans="1:12" s="120" customFormat="1" x14ac:dyDescent="0.3">
      <c r="A288" s="116"/>
      <c r="B288" s="121" t="s">
        <v>194</v>
      </c>
      <c r="C288" s="117">
        <v>14</v>
      </c>
      <c r="D288" s="118">
        <f t="shared" si="58"/>
        <v>43869</v>
      </c>
      <c r="E288" s="118">
        <f t="shared" si="59"/>
        <v>43883</v>
      </c>
      <c r="F288" s="119"/>
      <c r="G288" s="119"/>
      <c r="H288" s="119"/>
      <c r="I288" s="119"/>
      <c r="J288" s="119"/>
      <c r="K288" s="119"/>
      <c r="L288" s="119"/>
    </row>
    <row r="289" spans="1:12" s="120" customFormat="1" x14ac:dyDescent="0.3">
      <c r="A289" s="116"/>
      <c r="B289" s="121" t="s">
        <v>195</v>
      </c>
      <c r="C289" s="117">
        <v>15</v>
      </c>
      <c r="D289" s="118">
        <f t="shared" si="58"/>
        <v>43883</v>
      </c>
      <c r="E289" s="118">
        <f t="shared" si="59"/>
        <v>43898</v>
      </c>
      <c r="F289" s="119"/>
      <c r="G289" s="119"/>
      <c r="H289" s="119"/>
      <c r="I289" s="119"/>
      <c r="J289" s="119"/>
      <c r="K289" s="119"/>
      <c r="L289" s="119"/>
    </row>
    <row r="290" spans="1:12" s="120" customFormat="1" ht="28.8" x14ac:dyDescent="0.3">
      <c r="A290" s="116"/>
      <c r="B290" s="121" t="s">
        <v>196</v>
      </c>
      <c r="C290" s="117">
        <v>5</v>
      </c>
      <c r="D290" s="118">
        <f t="shared" si="58"/>
        <v>43898</v>
      </c>
      <c r="E290" s="118">
        <f t="shared" si="59"/>
        <v>43903</v>
      </c>
      <c r="F290" s="119"/>
      <c r="G290" s="119"/>
      <c r="H290" s="119"/>
      <c r="I290" s="119"/>
      <c r="J290" s="119"/>
      <c r="K290" s="119"/>
      <c r="L290" s="119"/>
    </row>
    <row r="291" spans="1:12" s="120" customFormat="1" x14ac:dyDescent="0.3">
      <c r="A291" s="116"/>
      <c r="B291" s="121" t="s">
        <v>197</v>
      </c>
      <c r="C291" s="117">
        <v>30</v>
      </c>
      <c r="D291" s="118">
        <f t="shared" si="58"/>
        <v>43903</v>
      </c>
      <c r="E291" s="118">
        <f t="shared" si="59"/>
        <v>43933</v>
      </c>
      <c r="F291" s="119"/>
      <c r="G291" s="119"/>
      <c r="H291" s="119"/>
      <c r="I291" s="119"/>
      <c r="J291" s="119"/>
      <c r="K291" s="119"/>
      <c r="L291" s="119"/>
    </row>
    <row r="292" spans="1:12" s="120" customFormat="1" x14ac:dyDescent="0.3">
      <c r="A292" s="116"/>
      <c r="B292" s="121" t="s">
        <v>198</v>
      </c>
      <c r="C292" s="117">
        <v>10</v>
      </c>
      <c r="D292" s="118">
        <f t="shared" si="58"/>
        <v>43933</v>
      </c>
      <c r="E292" s="118">
        <f t="shared" si="59"/>
        <v>43943</v>
      </c>
      <c r="F292" s="119"/>
      <c r="G292" s="119"/>
      <c r="H292" s="119"/>
      <c r="I292" s="119"/>
      <c r="J292" s="119"/>
      <c r="K292" s="119"/>
      <c r="L292" s="119"/>
    </row>
    <row r="293" spans="1:12" s="120" customFormat="1" x14ac:dyDescent="0.3">
      <c r="A293" s="116"/>
      <c r="B293" s="121" t="s">
        <v>199</v>
      </c>
      <c r="C293" s="117">
        <v>5</v>
      </c>
      <c r="D293" s="118">
        <f t="shared" si="58"/>
        <v>43943</v>
      </c>
      <c r="E293" s="118">
        <f t="shared" si="59"/>
        <v>43948</v>
      </c>
      <c r="F293" s="119"/>
      <c r="G293" s="119"/>
      <c r="H293" s="119"/>
      <c r="I293" s="119"/>
      <c r="J293" s="119"/>
      <c r="K293" s="119"/>
      <c r="L293" s="119"/>
    </row>
    <row r="294" spans="1:12" s="120" customFormat="1" x14ac:dyDescent="0.3">
      <c r="A294" s="116"/>
      <c r="B294" s="121" t="s">
        <v>200</v>
      </c>
      <c r="C294" s="117">
        <v>1</v>
      </c>
      <c r="D294" s="118">
        <f t="shared" si="58"/>
        <v>43948</v>
      </c>
      <c r="E294" s="118">
        <f>+D295</f>
        <v>43949</v>
      </c>
      <c r="F294" s="119"/>
      <c r="G294" s="119"/>
      <c r="H294" s="119"/>
      <c r="I294" s="119"/>
      <c r="J294" s="119"/>
      <c r="K294" s="119"/>
      <c r="L294" s="119"/>
    </row>
    <row r="295" spans="1:12" s="120" customFormat="1" x14ac:dyDescent="0.3">
      <c r="A295" s="116"/>
      <c r="B295" s="121" t="s">
        <v>201</v>
      </c>
      <c r="C295" s="117">
        <v>10</v>
      </c>
      <c r="D295" s="118">
        <f>+E295-C295</f>
        <v>43949</v>
      </c>
      <c r="E295" s="118">
        <f>+D296</f>
        <v>43959</v>
      </c>
      <c r="F295" s="119"/>
      <c r="G295" s="119"/>
      <c r="H295" s="119"/>
      <c r="I295" s="119"/>
      <c r="J295" s="119"/>
      <c r="K295" s="119"/>
      <c r="L295" s="119"/>
    </row>
    <row r="296" spans="1:12" s="120" customFormat="1" x14ac:dyDescent="0.3">
      <c r="A296" s="116"/>
      <c r="B296" s="121" t="s">
        <v>202</v>
      </c>
      <c r="C296" s="117">
        <v>510</v>
      </c>
      <c r="D296" s="118">
        <f>+D58</f>
        <v>43959</v>
      </c>
      <c r="E296" s="118">
        <f>+C296+D296</f>
        <v>44469</v>
      </c>
      <c r="F296" s="119"/>
      <c r="G296" s="119"/>
      <c r="H296" s="119"/>
      <c r="I296" s="119"/>
      <c r="J296" s="119"/>
      <c r="K296" s="119"/>
      <c r="L296" s="119"/>
    </row>
    <row r="297" spans="1:12" ht="23.4" customHeight="1" x14ac:dyDescent="0.3">
      <c r="A297" s="110"/>
      <c r="B297" s="111" t="str">
        <f>'1. Detailed Budget.2 '!A37</f>
        <v>2.3 Fondo de Preinversión que garantice la sostenibilidad de recursos disponibles fortalecido</v>
      </c>
      <c r="C297" s="112"/>
      <c r="D297" s="113"/>
      <c r="E297" s="114"/>
      <c r="F297" s="115">
        <f>F298</f>
        <v>15000</v>
      </c>
      <c r="G297" s="115" t="e">
        <f>+G298+#REF!+#REF!+#REF!+#REF!+#REF!+#REF!+#REF!+#REF!+#REF!+#REF!+#REF!+#REF!+#REF!</f>
        <v>#REF!</v>
      </c>
      <c r="H297" s="115" t="e">
        <f>+H298+#REF!+#REF!+#REF!+#REF!+#REF!+#REF!+#REF!+#REF!+#REF!+#REF!+#REF!+#REF!+#REF!</f>
        <v>#REF!</v>
      </c>
      <c r="I297" s="115" t="e">
        <f>+I298+#REF!+#REF!+#REF!+#REF!+#REF!+#REF!+#REF!+#REF!+#REF!+#REF!+#REF!+#REF!+#REF!</f>
        <v>#REF!</v>
      </c>
      <c r="J297" s="115" t="e">
        <f>+J298+#REF!+#REF!+#REF!+#REF!+#REF!+#REF!+#REF!+#REF!+#REF!+#REF!+#REF!+#REF!+#REF!</f>
        <v>#REF!</v>
      </c>
      <c r="K297" s="115" t="e">
        <f>+K298+#REF!+#REF!+#REF!+#REF!+#REF!+#REF!+#REF!+#REF!+#REF!+#REF!+#REF!+#REF!+#REF!</f>
        <v>#REF!</v>
      </c>
      <c r="L297" s="115" t="e">
        <f>+L298+#REF!+#REF!+#REF!+#REF!+#REF!+#REF!+#REF!+#REF!+#REF!+#REF!+#REF!+#REF!+#REF!</f>
        <v>#REF!</v>
      </c>
    </row>
    <row r="298" spans="1:12" s="120" customFormat="1" ht="28.2" customHeight="1" x14ac:dyDescent="0.3">
      <c r="A298" s="116"/>
      <c r="B298" s="170" t="str">
        <f>'1. Detailed Budget.2 '!Q37</f>
        <v xml:space="preserve">Talleres de socialización sobre el Fondo de Preinversión </v>
      </c>
      <c r="C298" s="117"/>
      <c r="D298" s="118"/>
      <c r="E298" s="118"/>
      <c r="F298" s="170">
        <f>'1. Detailed Budget.2 '!T37</f>
        <v>15000</v>
      </c>
      <c r="G298" s="119"/>
      <c r="H298" s="119"/>
      <c r="I298" s="119">
        <f>+F298*40%</f>
        <v>6000</v>
      </c>
      <c r="J298" s="119">
        <f>+F298*60%</f>
        <v>9000</v>
      </c>
      <c r="K298" s="119"/>
      <c r="L298" s="119"/>
    </row>
    <row r="299" spans="1:12" ht="28.95" customHeight="1" x14ac:dyDescent="0.3">
      <c r="A299" s="105"/>
      <c r="B299" s="106" t="str">
        <f>'1. Detailed Budget.2 '!C38</f>
        <v xml:space="preserve">Componente 3. Mejora de las capacidades de gestión de la preinversión </v>
      </c>
      <c r="C299" s="107"/>
      <c r="D299" s="108"/>
      <c r="E299" s="108"/>
      <c r="F299" s="109">
        <f>F300+F323+F346+F381+F393</f>
        <v>690160</v>
      </c>
      <c r="G299" s="109">
        <f t="shared" ref="G299:L299" si="60">+G301+G644</f>
        <v>0</v>
      </c>
      <c r="H299" s="109">
        <f t="shared" si="60"/>
        <v>0</v>
      </c>
      <c r="I299" s="109">
        <f t="shared" si="60"/>
        <v>50400</v>
      </c>
      <c r="J299" s="109">
        <f t="shared" si="60"/>
        <v>93600</v>
      </c>
      <c r="K299" s="109">
        <f t="shared" si="60"/>
        <v>0</v>
      </c>
      <c r="L299" s="109">
        <f t="shared" si="60"/>
        <v>0</v>
      </c>
    </row>
    <row r="300" spans="1:12" ht="29.4" customHeight="1" x14ac:dyDescent="0.3">
      <c r="B300" s="111" t="str">
        <f>'1. Detailed Budget.2 '!A39</f>
        <v>3.1 Estructura organizacional de la Dirección General de Programación y Preinversión (DGPP) fortalecida</v>
      </c>
      <c r="C300" s="112"/>
      <c r="D300" s="114"/>
      <c r="E300" s="114"/>
      <c r="F300" s="115">
        <f>+F301+F312</f>
        <v>154000</v>
      </c>
      <c r="G300" s="115">
        <f t="shared" ref="G300:L300" si="61">+G301+G339</f>
        <v>0</v>
      </c>
      <c r="H300" s="115">
        <f t="shared" si="61"/>
        <v>0</v>
      </c>
      <c r="I300" s="115">
        <f t="shared" si="61"/>
        <v>50400</v>
      </c>
      <c r="J300" s="115">
        <f t="shared" si="61"/>
        <v>93600</v>
      </c>
      <c r="K300" s="115">
        <f t="shared" si="61"/>
        <v>0</v>
      </c>
      <c r="L300" s="115">
        <f t="shared" si="61"/>
        <v>0</v>
      </c>
    </row>
    <row r="301" spans="1:12" s="120" customFormat="1" ht="46.95" customHeight="1" x14ac:dyDescent="0.3">
      <c r="A301" s="116">
        <v>1</v>
      </c>
      <c r="B301" s="98" t="str">
        <f>'1. Detailed Budget.2 '!C39</f>
        <v xml:space="preserve">Consultores de línea especialistas técnicos, de apoyo a la Unidad de Programación de la Inversión para certificación de estudios de preinversión </v>
      </c>
      <c r="C301" s="117"/>
      <c r="D301" s="118"/>
      <c r="E301" s="118"/>
      <c r="F301" s="98">
        <f>'1. Detailed Budget.2 '!G39</f>
        <v>144000</v>
      </c>
      <c r="G301" s="119"/>
      <c r="I301" s="119">
        <f>+F301*35%</f>
        <v>50400</v>
      </c>
      <c r="J301" s="119">
        <f>+F301*65%</f>
        <v>93600</v>
      </c>
      <c r="K301" s="119"/>
      <c r="L301" s="119"/>
    </row>
    <row r="302" spans="1:12" ht="28.8" x14ac:dyDescent="0.3">
      <c r="B302" s="124" t="s">
        <v>203</v>
      </c>
      <c r="C302" s="97">
        <v>20</v>
      </c>
      <c r="D302" s="99">
        <f>+E415</f>
        <v>43767</v>
      </c>
      <c r="E302" s="99">
        <f>+D302+C302</f>
        <v>43787</v>
      </c>
      <c r="F302" s="119"/>
      <c r="G302" s="123"/>
      <c r="H302" s="123"/>
      <c r="I302" s="123"/>
      <c r="J302" s="123"/>
      <c r="K302" s="123"/>
      <c r="L302" s="123"/>
    </row>
    <row r="303" spans="1:12" x14ac:dyDescent="0.3">
      <c r="B303" s="124" t="s">
        <v>204</v>
      </c>
      <c r="C303" s="97">
        <v>5</v>
      </c>
      <c r="D303" s="99">
        <f>+E302</f>
        <v>43787</v>
      </c>
      <c r="E303" s="99">
        <f>+C303+D303</f>
        <v>43792</v>
      </c>
      <c r="F303" s="119"/>
      <c r="G303" s="123"/>
      <c r="H303" s="123"/>
      <c r="I303" s="123"/>
      <c r="J303" s="123"/>
      <c r="K303" s="123"/>
      <c r="L303" s="123"/>
    </row>
    <row r="304" spans="1:12" x14ac:dyDescent="0.3">
      <c r="B304" s="124" t="s">
        <v>205</v>
      </c>
      <c r="C304" s="97">
        <v>10</v>
      </c>
      <c r="D304" s="99">
        <f>+E303</f>
        <v>43792</v>
      </c>
      <c r="E304" s="99">
        <f>+C304+D304</f>
        <v>43802</v>
      </c>
      <c r="F304" s="119"/>
      <c r="G304" s="123"/>
      <c r="H304" s="123"/>
      <c r="I304" s="123"/>
      <c r="J304" s="123"/>
      <c r="K304" s="123"/>
      <c r="L304" s="123"/>
    </row>
    <row r="305" spans="2:12" x14ac:dyDescent="0.3">
      <c r="B305" s="124" t="s">
        <v>206</v>
      </c>
      <c r="C305" s="97">
        <v>1</v>
      </c>
      <c r="D305" s="99">
        <f t="shared" ref="D305:D311" si="62">+E304</f>
        <v>43802</v>
      </c>
      <c r="E305" s="99">
        <f t="shared" ref="E305:E311" si="63">+C305+D305</f>
        <v>43803</v>
      </c>
      <c r="F305" s="119"/>
      <c r="G305" s="123"/>
      <c r="H305" s="123"/>
      <c r="I305" s="123"/>
      <c r="J305" s="123"/>
      <c r="K305" s="123"/>
      <c r="L305" s="123"/>
    </row>
    <row r="306" spans="2:12" x14ac:dyDescent="0.3">
      <c r="B306" s="124" t="s">
        <v>207</v>
      </c>
      <c r="C306" s="97">
        <v>15</v>
      </c>
      <c r="D306" s="99">
        <f t="shared" si="62"/>
        <v>43803</v>
      </c>
      <c r="E306" s="99">
        <f t="shared" si="63"/>
        <v>43818</v>
      </c>
      <c r="F306" s="119"/>
      <c r="G306" s="123"/>
      <c r="H306" s="123"/>
      <c r="I306" s="123"/>
      <c r="J306" s="123"/>
      <c r="K306" s="123"/>
      <c r="L306" s="123"/>
    </row>
    <row r="307" spans="2:12" x14ac:dyDescent="0.3">
      <c r="B307" s="124" t="s">
        <v>204</v>
      </c>
      <c r="C307" s="97">
        <v>5</v>
      </c>
      <c r="D307" s="99">
        <f t="shared" si="62"/>
        <v>43818</v>
      </c>
      <c r="E307" s="99">
        <f t="shared" si="63"/>
        <v>43823</v>
      </c>
      <c r="F307" s="119"/>
      <c r="G307" s="123"/>
      <c r="H307" s="123"/>
      <c r="I307" s="123"/>
      <c r="J307" s="123"/>
      <c r="K307" s="123"/>
      <c r="L307" s="123"/>
    </row>
    <row r="308" spans="2:12" x14ac:dyDescent="0.3">
      <c r="B308" s="124" t="s">
        <v>208</v>
      </c>
      <c r="C308" s="97">
        <v>1</v>
      </c>
      <c r="D308" s="99">
        <f t="shared" si="62"/>
        <v>43823</v>
      </c>
      <c r="E308" s="99">
        <f t="shared" si="63"/>
        <v>43824</v>
      </c>
      <c r="F308" s="119"/>
      <c r="G308" s="123"/>
      <c r="H308" s="123"/>
      <c r="I308" s="123"/>
      <c r="J308" s="123"/>
      <c r="K308" s="123"/>
      <c r="L308" s="123"/>
    </row>
    <row r="309" spans="2:12" ht="28.8" x14ac:dyDescent="0.3">
      <c r="B309" s="124" t="s">
        <v>209</v>
      </c>
      <c r="C309" s="97">
        <v>15</v>
      </c>
      <c r="D309" s="99">
        <f t="shared" si="62"/>
        <v>43824</v>
      </c>
      <c r="E309" s="99">
        <f t="shared" si="63"/>
        <v>43839</v>
      </c>
      <c r="F309" s="119"/>
      <c r="G309" s="123"/>
      <c r="H309" s="123"/>
      <c r="I309" s="123"/>
      <c r="J309" s="123"/>
      <c r="K309" s="123"/>
      <c r="L309" s="123"/>
    </row>
    <row r="310" spans="2:12" x14ac:dyDescent="0.3">
      <c r="B310" s="124" t="s">
        <v>210</v>
      </c>
      <c r="C310" s="97">
        <v>10</v>
      </c>
      <c r="D310" s="99">
        <f t="shared" si="62"/>
        <v>43839</v>
      </c>
      <c r="E310" s="99">
        <f t="shared" si="63"/>
        <v>43849</v>
      </c>
      <c r="F310" s="119"/>
      <c r="G310" s="123"/>
      <c r="H310" s="123"/>
      <c r="I310" s="123"/>
      <c r="J310" s="123"/>
      <c r="K310" s="123"/>
      <c r="L310" s="123"/>
    </row>
    <row r="311" spans="2:12" x14ac:dyDescent="0.3">
      <c r="B311" s="125" t="s">
        <v>211</v>
      </c>
      <c r="C311" s="97">
        <v>1552</v>
      </c>
      <c r="D311" s="99">
        <f t="shared" si="62"/>
        <v>43849</v>
      </c>
      <c r="E311" s="99">
        <f t="shared" si="63"/>
        <v>45401</v>
      </c>
      <c r="F311" s="119"/>
      <c r="G311" s="123"/>
      <c r="H311" s="123"/>
      <c r="I311" s="123"/>
      <c r="J311" s="123"/>
      <c r="K311" s="123"/>
      <c r="L311" s="123"/>
    </row>
    <row r="312" spans="2:12" ht="45" customHeight="1" x14ac:dyDescent="0.3">
      <c r="B312" s="98" t="str">
        <f>'1. Detailed Budget.2 '!Q39</f>
        <v>Taller de socialización sobre el fortalecimiento de la estructura de la DGPP</v>
      </c>
      <c r="C312" s="97"/>
      <c r="D312" s="99"/>
      <c r="E312" s="99"/>
      <c r="F312" s="170">
        <f>'1. Detailed Budget.2 '!T39</f>
        <v>10000</v>
      </c>
      <c r="G312" s="123"/>
      <c r="H312" s="119">
        <f>+F312*20%</f>
        <v>2000</v>
      </c>
      <c r="I312" s="119">
        <f>+F312*15%</f>
        <v>1500</v>
      </c>
      <c r="J312" s="119">
        <f>+F312*15%</f>
        <v>1500</v>
      </c>
      <c r="K312" s="119">
        <f>+F312*20%</f>
        <v>2000</v>
      </c>
      <c r="L312" s="119">
        <f>+F312*30%</f>
        <v>3000</v>
      </c>
    </row>
    <row r="313" spans="2:12" ht="28.8" x14ac:dyDescent="0.3">
      <c r="B313" s="124" t="s">
        <v>203</v>
      </c>
      <c r="C313" s="97">
        <v>20</v>
      </c>
      <c r="D313" s="99">
        <f>+E310</f>
        <v>43849</v>
      </c>
      <c r="E313" s="99">
        <f>+D313+C313</f>
        <v>43869</v>
      </c>
      <c r="F313" s="119"/>
      <c r="G313" s="123"/>
      <c r="H313" s="123"/>
      <c r="I313" s="123"/>
      <c r="J313" s="123"/>
      <c r="K313" s="123"/>
      <c r="L313" s="123"/>
    </row>
    <row r="314" spans="2:12" x14ac:dyDescent="0.3">
      <c r="B314" s="124" t="s">
        <v>204</v>
      </c>
      <c r="C314" s="97">
        <v>5</v>
      </c>
      <c r="D314" s="99">
        <f>+E313</f>
        <v>43869</v>
      </c>
      <c r="E314" s="99">
        <f>+C314+D314</f>
        <v>43874</v>
      </c>
      <c r="F314" s="119"/>
      <c r="G314" s="123"/>
      <c r="H314" s="123"/>
      <c r="I314" s="123"/>
      <c r="J314" s="123"/>
      <c r="K314" s="123"/>
      <c r="L314" s="123"/>
    </row>
    <row r="315" spans="2:12" x14ac:dyDescent="0.3">
      <c r="B315" s="124" t="s">
        <v>205</v>
      </c>
      <c r="C315" s="97">
        <v>10</v>
      </c>
      <c r="D315" s="99">
        <f>+E314</f>
        <v>43874</v>
      </c>
      <c r="E315" s="99">
        <f>+C315+D315</f>
        <v>43884</v>
      </c>
      <c r="F315" s="119"/>
      <c r="G315" s="123"/>
      <c r="H315" s="123"/>
      <c r="I315" s="123"/>
      <c r="J315" s="123"/>
      <c r="K315" s="123"/>
      <c r="L315" s="123"/>
    </row>
    <row r="316" spans="2:12" x14ac:dyDescent="0.3">
      <c r="B316" s="124" t="s">
        <v>206</v>
      </c>
      <c r="C316" s="97">
        <v>1</v>
      </c>
      <c r="D316" s="99">
        <f t="shared" ref="D316:D322" si="64">+E315</f>
        <v>43884</v>
      </c>
      <c r="E316" s="99">
        <f t="shared" ref="E316:E321" si="65">+C316+D316</f>
        <v>43885</v>
      </c>
      <c r="F316" s="119"/>
      <c r="G316" s="123"/>
      <c r="H316" s="123"/>
      <c r="I316" s="123"/>
      <c r="J316" s="123"/>
      <c r="K316" s="123"/>
      <c r="L316" s="123"/>
    </row>
    <row r="317" spans="2:12" x14ac:dyDescent="0.3">
      <c r="B317" s="124" t="s">
        <v>207</v>
      </c>
      <c r="C317" s="97">
        <v>15</v>
      </c>
      <c r="D317" s="99">
        <f t="shared" si="64"/>
        <v>43885</v>
      </c>
      <c r="E317" s="99">
        <f t="shared" si="65"/>
        <v>43900</v>
      </c>
      <c r="F317" s="119"/>
      <c r="G317" s="123"/>
      <c r="H317" s="123"/>
      <c r="I317" s="123"/>
      <c r="J317" s="123"/>
      <c r="K317" s="123"/>
      <c r="L317" s="123"/>
    </row>
    <row r="318" spans="2:12" x14ac:dyDescent="0.3">
      <c r="B318" s="124" t="s">
        <v>204</v>
      </c>
      <c r="C318" s="97">
        <v>5</v>
      </c>
      <c r="D318" s="99">
        <f t="shared" si="64"/>
        <v>43900</v>
      </c>
      <c r="E318" s="99">
        <f t="shared" si="65"/>
        <v>43905</v>
      </c>
      <c r="F318" s="119"/>
      <c r="G318" s="123"/>
      <c r="H318" s="123"/>
      <c r="I318" s="123"/>
      <c r="J318" s="123"/>
      <c r="K318" s="123"/>
      <c r="L318" s="123"/>
    </row>
    <row r="319" spans="2:12" x14ac:dyDescent="0.3">
      <c r="B319" s="124" t="s">
        <v>208</v>
      </c>
      <c r="C319" s="97">
        <v>1</v>
      </c>
      <c r="D319" s="99">
        <f t="shared" si="64"/>
        <v>43905</v>
      </c>
      <c r="E319" s="99">
        <f t="shared" si="65"/>
        <v>43906</v>
      </c>
      <c r="F319" s="119"/>
      <c r="G319" s="123"/>
      <c r="H319" s="123"/>
      <c r="I319" s="123"/>
      <c r="J319" s="123"/>
      <c r="K319" s="123"/>
      <c r="L319" s="123"/>
    </row>
    <row r="320" spans="2:12" ht="28.8" x14ac:dyDescent="0.3">
      <c r="B320" s="124" t="s">
        <v>209</v>
      </c>
      <c r="C320" s="97">
        <v>15</v>
      </c>
      <c r="D320" s="99">
        <f t="shared" si="64"/>
        <v>43906</v>
      </c>
      <c r="E320" s="99">
        <f t="shared" si="65"/>
        <v>43921</v>
      </c>
      <c r="F320" s="119"/>
      <c r="G320" s="123"/>
      <c r="H320" s="123"/>
      <c r="I320" s="123"/>
      <c r="J320" s="123"/>
      <c r="K320" s="123"/>
      <c r="L320" s="123"/>
    </row>
    <row r="321" spans="1:12" x14ac:dyDescent="0.3">
      <c r="B321" s="124" t="s">
        <v>210</v>
      </c>
      <c r="C321" s="97">
        <v>10</v>
      </c>
      <c r="D321" s="99">
        <f t="shared" si="64"/>
        <v>43921</v>
      </c>
      <c r="E321" s="99">
        <f t="shared" si="65"/>
        <v>43931</v>
      </c>
      <c r="F321" s="119"/>
      <c r="G321" s="123"/>
      <c r="H321" s="123"/>
      <c r="I321" s="123"/>
      <c r="J321" s="123"/>
      <c r="K321" s="123"/>
      <c r="L321" s="123"/>
    </row>
    <row r="322" spans="1:12" ht="15.6" x14ac:dyDescent="0.3">
      <c r="B322" s="125" t="s">
        <v>211</v>
      </c>
      <c r="C322" s="126">
        <v>1470</v>
      </c>
      <c r="D322" s="99">
        <f t="shared" si="64"/>
        <v>43931</v>
      </c>
      <c r="E322" s="99">
        <v>44295</v>
      </c>
      <c r="F322" s="119"/>
      <c r="G322" s="123"/>
      <c r="H322" s="123"/>
      <c r="I322" s="123"/>
      <c r="J322" s="123"/>
      <c r="K322" s="123"/>
      <c r="L322" s="123"/>
    </row>
    <row r="323" spans="1:12" ht="64.2" customHeight="1" x14ac:dyDescent="0.3">
      <c r="B323" s="111" t="str">
        <f>'1. Detailed Budget.2 '!A41</f>
        <v>3.2 Metodologías y aspectos técnicos de: (a) Informe técnico de condiciones previas (ITCP) con evaluación socioeconómica preliminar; y (b) estudio de diseño técnico de preinversión (EDTP) con términos de referencia y presupuestos detallados por sectores fortalecidos</v>
      </c>
      <c r="C323" s="112"/>
      <c r="D323" s="114"/>
      <c r="E323" s="114"/>
      <c r="F323" s="115">
        <f>+F324+F335</f>
        <v>46200</v>
      </c>
      <c r="G323" s="115">
        <f t="shared" ref="G323:L323" si="66">+G324+G432</f>
        <v>0</v>
      </c>
      <c r="H323" s="115">
        <f t="shared" si="66"/>
        <v>0</v>
      </c>
      <c r="I323" s="115">
        <f t="shared" si="66"/>
        <v>6468</v>
      </c>
      <c r="J323" s="115">
        <f t="shared" si="66"/>
        <v>12012</v>
      </c>
      <c r="K323" s="115">
        <f t="shared" si="66"/>
        <v>0</v>
      </c>
      <c r="L323" s="115">
        <f t="shared" si="66"/>
        <v>0</v>
      </c>
    </row>
    <row r="324" spans="1:12" s="120" customFormat="1" ht="46.95" customHeight="1" x14ac:dyDescent="0.3">
      <c r="A324" s="116">
        <v>1</v>
      </c>
      <c r="B324" s="98" t="str">
        <f>'1. Detailed Budget.2 '!C41</f>
        <v>Consultoría especializada en Fortalecimiento de los contenidos del informe técnico de condiciones previas (ITCP) con una evaluación socioeconómica preliminar .</v>
      </c>
      <c r="C324" s="117"/>
      <c r="D324" s="118"/>
      <c r="E324" s="118"/>
      <c r="F324" s="170">
        <f>'1. Detailed Budget.2 '!G41</f>
        <v>18480</v>
      </c>
      <c r="G324" s="119"/>
      <c r="I324" s="119">
        <f>+F324*35%</f>
        <v>6468</v>
      </c>
      <c r="J324" s="119">
        <f>+F324*65%</f>
        <v>12012</v>
      </c>
      <c r="K324" s="119"/>
      <c r="L324" s="119"/>
    </row>
    <row r="325" spans="1:12" x14ac:dyDescent="0.3">
      <c r="B325" s="121" t="s">
        <v>193</v>
      </c>
      <c r="C325" s="117">
        <v>120</v>
      </c>
      <c r="D325" s="118">
        <v>42510</v>
      </c>
      <c r="E325" s="118">
        <f t="shared" ref="E325:E334" si="67">+D325+C325</f>
        <v>42630</v>
      </c>
      <c r="F325" s="119"/>
      <c r="G325" s="123"/>
      <c r="H325" s="123"/>
      <c r="I325" s="119"/>
      <c r="J325" s="123"/>
      <c r="K325" s="123"/>
      <c r="L325" s="123"/>
    </row>
    <row r="326" spans="1:12" x14ac:dyDescent="0.3">
      <c r="B326" s="121" t="s">
        <v>194</v>
      </c>
      <c r="C326" s="117">
        <v>14</v>
      </c>
      <c r="D326" s="118">
        <f t="shared" ref="D326:D334" si="68">+E325</f>
        <v>42630</v>
      </c>
      <c r="E326" s="118">
        <f t="shared" si="67"/>
        <v>42644</v>
      </c>
      <c r="F326" s="119"/>
      <c r="G326" s="123"/>
      <c r="H326" s="123"/>
      <c r="I326" s="119"/>
      <c r="J326" s="123"/>
      <c r="K326" s="123"/>
      <c r="L326" s="123"/>
    </row>
    <row r="327" spans="1:12" x14ac:dyDescent="0.3">
      <c r="B327" s="121" t="s">
        <v>195</v>
      </c>
      <c r="C327" s="117">
        <v>7</v>
      </c>
      <c r="D327" s="118">
        <f t="shared" si="68"/>
        <v>42644</v>
      </c>
      <c r="E327" s="118">
        <f t="shared" si="67"/>
        <v>42651</v>
      </c>
      <c r="F327" s="119"/>
      <c r="G327" s="123"/>
      <c r="H327" s="123"/>
      <c r="I327" s="119"/>
      <c r="J327" s="123"/>
      <c r="K327" s="123"/>
      <c r="L327" s="123"/>
    </row>
    <row r="328" spans="1:12" ht="28.8" x14ac:dyDescent="0.3">
      <c r="B328" s="121" t="s">
        <v>196</v>
      </c>
      <c r="C328" s="117">
        <v>5</v>
      </c>
      <c r="D328" s="118">
        <f t="shared" si="68"/>
        <v>42651</v>
      </c>
      <c r="E328" s="118">
        <f t="shared" si="67"/>
        <v>42656</v>
      </c>
      <c r="F328" s="119"/>
      <c r="G328" s="123"/>
      <c r="H328" s="123"/>
      <c r="I328" s="119"/>
      <c r="J328" s="123"/>
      <c r="K328" s="123"/>
      <c r="L328" s="123"/>
    </row>
    <row r="329" spans="1:12" x14ac:dyDescent="0.3">
      <c r="B329" s="121" t="s">
        <v>197</v>
      </c>
      <c r="C329" s="117">
        <v>30</v>
      </c>
      <c r="D329" s="118">
        <f t="shared" si="68"/>
        <v>42656</v>
      </c>
      <c r="E329" s="118">
        <f t="shared" si="67"/>
        <v>42686</v>
      </c>
      <c r="F329" s="119"/>
      <c r="G329" s="123"/>
      <c r="H329" s="123"/>
      <c r="I329" s="119"/>
      <c r="J329" s="123"/>
      <c r="K329" s="123"/>
      <c r="L329" s="123"/>
    </row>
    <row r="330" spans="1:12" x14ac:dyDescent="0.3">
      <c r="B330" s="121" t="s">
        <v>198</v>
      </c>
      <c r="C330" s="117">
        <v>10</v>
      </c>
      <c r="D330" s="118">
        <f t="shared" si="68"/>
        <v>42686</v>
      </c>
      <c r="E330" s="118">
        <f t="shared" si="67"/>
        <v>42696</v>
      </c>
      <c r="F330" s="119"/>
      <c r="G330" s="123"/>
      <c r="H330" s="123"/>
      <c r="I330" s="119"/>
      <c r="J330" s="123"/>
      <c r="K330" s="123"/>
      <c r="L330" s="123"/>
    </row>
    <row r="331" spans="1:12" x14ac:dyDescent="0.3">
      <c r="B331" s="121" t="s">
        <v>199</v>
      </c>
      <c r="C331" s="117">
        <v>5</v>
      </c>
      <c r="D331" s="118">
        <f t="shared" si="68"/>
        <v>42696</v>
      </c>
      <c r="E331" s="118">
        <f t="shared" si="67"/>
        <v>42701</v>
      </c>
      <c r="F331" s="119"/>
      <c r="G331" s="123"/>
      <c r="H331" s="123"/>
      <c r="I331" s="119"/>
      <c r="J331" s="123"/>
      <c r="K331" s="123"/>
      <c r="L331" s="123"/>
    </row>
    <row r="332" spans="1:12" x14ac:dyDescent="0.3">
      <c r="B332" s="121" t="s">
        <v>200</v>
      </c>
      <c r="C332" s="117">
        <v>1</v>
      </c>
      <c r="D332" s="118">
        <f t="shared" si="68"/>
        <v>42701</v>
      </c>
      <c r="E332" s="118">
        <f t="shared" si="67"/>
        <v>42702</v>
      </c>
      <c r="F332" s="119"/>
      <c r="G332" s="123"/>
      <c r="H332" s="123"/>
      <c r="I332" s="119"/>
      <c r="J332" s="123"/>
      <c r="K332" s="123"/>
      <c r="L332" s="123"/>
    </row>
    <row r="333" spans="1:12" x14ac:dyDescent="0.3">
      <c r="B333" s="121" t="s">
        <v>201</v>
      </c>
      <c r="C333" s="117">
        <v>15</v>
      </c>
      <c r="D333" s="118">
        <f t="shared" si="68"/>
        <v>42702</v>
      </c>
      <c r="E333" s="118">
        <f t="shared" si="67"/>
        <v>42717</v>
      </c>
      <c r="F333" s="119"/>
      <c r="G333" s="123"/>
      <c r="H333" s="123"/>
      <c r="I333" s="119"/>
      <c r="J333" s="123"/>
      <c r="K333" s="123"/>
      <c r="L333" s="123"/>
    </row>
    <row r="334" spans="1:12" x14ac:dyDescent="0.3">
      <c r="B334" s="121" t="s">
        <v>202</v>
      </c>
      <c r="C334" s="117">
        <f>8*30</f>
        <v>240</v>
      </c>
      <c r="D334" s="118">
        <f t="shared" si="68"/>
        <v>42717</v>
      </c>
      <c r="E334" s="118">
        <f t="shared" si="67"/>
        <v>42957</v>
      </c>
      <c r="F334" s="119"/>
      <c r="G334" s="123"/>
      <c r="H334" s="123"/>
      <c r="I334" s="119"/>
      <c r="J334" s="123"/>
      <c r="K334" s="123"/>
      <c r="L334" s="123"/>
    </row>
    <row r="335" spans="1:12" s="120" customFormat="1" ht="100.95" customHeight="1" x14ac:dyDescent="0.3">
      <c r="A335" s="116">
        <v>2</v>
      </c>
      <c r="B335" s="98" t="str">
        <f>'1. Detailed Budget.2 '!C42</f>
        <v>Consultoría para Fortalecimiento de los contenidos del estudio de diseño técnico de preinversión (EDTP) con modelos de términos de referencia y de presupuestos detallados por sectores (incluye Elaboración de modelos términos de referencia, Elaboración de modelos presupuestos detallados y Desarrollo de los contenidos del nuevo EDTP)</v>
      </c>
      <c r="C335" s="117"/>
      <c r="D335" s="118"/>
      <c r="E335" s="118"/>
      <c r="F335" s="170">
        <f>'1. Detailed Budget.2 '!G42</f>
        <v>27720</v>
      </c>
      <c r="G335" s="119"/>
      <c r="I335" s="119">
        <f>+F335*35%</f>
        <v>9702</v>
      </c>
      <c r="J335" s="119">
        <f>+F335*65%</f>
        <v>18018</v>
      </c>
      <c r="K335" s="119"/>
      <c r="L335" s="119"/>
    </row>
    <row r="336" spans="1:12" x14ac:dyDescent="0.3">
      <c r="B336" s="121" t="s">
        <v>193</v>
      </c>
      <c r="C336" s="117">
        <v>120</v>
      </c>
      <c r="D336" s="118">
        <v>42510</v>
      </c>
      <c r="E336" s="118">
        <f t="shared" ref="E336:E345" si="69">+D336+C336</f>
        <v>42630</v>
      </c>
      <c r="F336" s="119"/>
      <c r="G336" s="123"/>
      <c r="H336" s="123"/>
      <c r="I336" s="123"/>
      <c r="J336" s="123"/>
      <c r="K336" s="123"/>
      <c r="L336" s="123"/>
    </row>
    <row r="337" spans="1:12" x14ac:dyDescent="0.3">
      <c r="B337" s="121" t="s">
        <v>194</v>
      </c>
      <c r="C337" s="117">
        <v>14</v>
      </c>
      <c r="D337" s="118">
        <f t="shared" ref="D337:D345" si="70">+E336</f>
        <v>42630</v>
      </c>
      <c r="E337" s="118">
        <f t="shared" si="69"/>
        <v>42644</v>
      </c>
      <c r="F337" s="119"/>
      <c r="G337" s="123"/>
      <c r="H337" s="123"/>
      <c r="I337" s="123"/>
      <c r="J337" s="123"/>
      <c r="K337" s="123"/>
      <c r="L337" s="123"/>
    </row>
    <row r="338" spans="1:12" x14ac:dyDescent="0.3">
      <c r="B338" s="121" t="s">
        <v>195</v>
      </c>
      <c r="C338" s="117">
        <v>7</v>
      </c>
      <c r="D338" s="118">
        <f t="shared" si="70"/>
        <v>42644</v>
      </c>
      <c r="E338" s="118">
        <f t="shared" si="69"/>
        <v>42651</v>
      </c>
      <c r="F338" s="119"/>
      <c r="G338" s="123"/>
      <c r="H338" s="123"/>
      <c r="I338" s="123"/>
      <c r="J338" s="123"/>
      <c r="K338" s="123"/>
      <c r="L338" s="123"/>
    </row>
    <row r="339" spans="1:12" ht="28.8" x14ac:dyDescent="0.3">
      <c r="B339" s="121" t="s">
        <v>196</v>
      </c>
      <c r="C339" s="117">
        <v>5</v>
      </c>
      <c r="D339" s="118">
        <f t="shared" si="70"/>
        <v>42651</v>
      </c>
      <c r="E339" s="118">
        <f t="shared" si="69"/>
        <v>42656</v>
      </c>
      <c r="F339" s="119"/>
      <c r="G339" s="123"/>
      <c r="H339" s="123"/>
      <c r="I339" s="123"/>
      <c r="J339" s="123"/>
      <c r="K339" s="123"/>
      <c r="L339" s="123"/>
    </row>
    <row r="340" spans="1:12" x14ac:dyDescent="0.3">
      <c r="B340" s="121" t="s">
        <v>197</v>
      </c>
      <c r="C340" s="117">
        <v>30</v>
      </c>
      <c r="D340" s="118">
        <f t="shared" si="70"/>
        <v>42656</v>
      </c>
      <c r="E340" s="118">
        <f t="shared" si="69"/>
        <v>42686</v>
      </c>
      <c r="F340" s="119"/>
      <c r="G340" s="123"/>
      <c r="H340" s="123"/>
      <c r="I340" s="123"/>
      <c r="J340" s="123"/>
      <c r="K340" s="123"/>
      <c r="L340" s="123"/>
    </row>
    <row r="341" spans="1:12" x14ac:dyDescent="0.3">
      <c r="B341" s="121" t="s">
        <v>198</v>
      </c>
      <c r="C341" s="117">
        <v>10</v>
      </c>
      <c r="D341" s="118">
        <f t="shared" si="70"/>
        <v>42686</v>
      </c>
      <c r="E341" s="118">
        <f t="shared" si="69"/>
        <v>42696</v>
      </c>
      <c r="F341" s="119"/>
      <c r="G341" s="123"/>
      <c r="H341" s="123"/>
      <c r="I341" s="123"/>
      <c r="J341" s="123"/>
      <c r="K341" s="123"/>
      <c r="L341" s="123"/>
    </row>
    <row r="342" spans="1:12" x14ac:dyDescent="0.3">
      <c r="B342" s="121" t="s">
        <v>199</v>
      </c>
      <c r="C342" s="117">
        <v>5</v>
      </c>
      <c r="D342" s="118">
        <f t="shared" si="70"/>
        <v>42696</v>
      </c>
      <c r="E342" s="118">
        <f t="shared" si="69"/>
        <v>42701</v>
      </c>
      <c r="F342" s="119"/>
      <c r="G342" s="123"/>
      <c r="H342" s="123"/>
      <c r="I342" s="123"/>
      <c r="J342" s="123"/>
      <c r="K342" s="123"/>
      <c r="L342" s="123"/>
    </row>
    <row r="343" spans="1:12" x14ac:dyDescent="0.3">
      <c r="B343" s="121" t="s">
        <v>200</v>
      </c>
      <c r="C343" s="117">
        <v>1</v>
      </c>
      <c r="D343" s="118">
        <f t="shared" si="70"/>
        <v>42701</v>
      </c>
      <c r="E343" s="118">
        <f t="shared" si="69"/>
        <v>42702</v>
      </c>
      <c r="F343" s="119"/>
      <c r="G343" s="123"/>
      <c r="H343" s="123"/>
      <c r="I343" s="123"/>
      <c r="J343" s="123"/>
      <c r="K343" s="123"/>
      <c r="L343" s="123"/>
    </row>
    <row r="344" spans="1:12" x14ac:dyDescent="0.3">
      <c r="B344" s="121" t="s">
        <v>201</v>
      </c>
      <c r="C344" s="117">
        <v>15</v>
      </c>
      <c r="D344" s="118">
        <f t="shared" si="70"/>
        <v>42702</v>
      </c>
      <c r="E344" s="118">
        <f t="shared" si="69"/>
        <v>42717</v>
      </c>
      <c r="F344" s="119"/>
      <c r="G344" s="123"/>
      <c r="H344" s="123"/>
      <c r="I344" s="123"/>
      <c r="J344" s="123"/>
      <c r="K344" s="123"/>
      <c r="L344" s="123"/>
    </row>
    <row r="345" spans="1:12" x14ac:dyDescent="0.3">
      <c r="B345" s="121" t="s">
        <v>202</v>
      </c>
      <c r="C345" s="117">
        <f>8*30</f>
        <v>240</v>
      </c>
      <c r="D345" s="118">
        <f t="shared" si="70"/>
        <v>42717</v>
      </c>
      <c r="E345" s="118">
        <f t="shared" si="69"/>
        <v>42957</v>
      </c>
      <c r="F345" s="119"/>
      <c r="G345" s="127"/>
      <c r="H345" s="123"/>
      <c r="I345" s="123"/>
      <c r="J345" s="123"/>
      <c r="K345" s="123"/>
      <c r="L345" s="123"/>
    </row>
    <row r="346" spans="1:12" ht="64.2" customHeight="1" x14ac:dyDescent="0.3">
      <c r="B346" s="111" t="str">
        <f>'1. Detailed Budget.2 '!A43</f>
        <v xml:space="preserve">3.3 Estrategia de capacitación en preinversión implementada, que incluya: (a) un sistema de pasantías para funcionarios con empresas privadas; (b) el desarrollo de un programa de capacitación a municipios seleccionados; y (c) el desarrollo y difusión de Guías Técnicas de Preinversión </v>
      </c>
      <c r="C346" s="112"/>
      <c r="D346" s="114"/>
      <c r="E346" s="114"/>
      <c r="F346" s="115">
        <f>+F347+F358+F369+F380</f>
        <v>335960</v>
      </c>
      <c r="G346" s="115">
        <f t="shared" ref="G346:L346" si="71">+G347+G466</f>
        <v>0</v>
      </c>
      <c r="H346" s="115">
        <f t="shared" si="71"/>
        <v>0</v>
      </c>
      <c r="I346" s="115">
        <f t="shared" si="71"/>
        <v>34650</v>
      </c>
      <c r="J346" s="115">
        <f t="shared" si="71"/>
        <v>64350</v>
      </c>
      <c r="K346" s="115">
        <f t="shared" si="71"/>
        <v>0</v>
      </c>
      <c r="L346" s="115">
        <f t="shared" si="71"/>
        <v>0</v>
      </c>
    </row>
    <row r="347" spans="1:12" s="120" customFormat="1" ht="46.95" customHeight="1" x14ac:dyDescent="0.3">
      <c r="A347" s="116">
        <v>1</v>
      </c>
      <c r="B347" s="98" t="str">
        <f>'1. Detailed Budget.2 '!C44</f>
        <v xml:space="preserve">Consultoría para Desarrollo y difusión de las Guías Técnicas de Preinversión, (incluye Desarrollo de guías técnicas y Difusión y capacitación en aplicación de guías técnicas). </v>
      </c>
      <c r="C347" s="117"/>
      <c r="D347" s="118"/>
      <c r="E347" s="118"/>
      <c r="F347" s="170">
        <f>'1. Detailed Budget.2 '!G44</f>
        <v>99000</v>
      </c>
      <c r="G347" s="119"/>
      <c r="I347" s="119">
        <f>+F347*35%</f>
        <v>34650</v>
      </c>
      <c r="J347" s="119">
        <f>+F347*65%</f>
        <v>64350</v>
      </c>
      <c r="K347" s="119"/>
      <c r="L347" s="119"/>
    </row>
    <row r="348" spans="1:12" x14ac:dyDescent="0.3">
      <c r="B348" s="121" t="s">
        <v>193</v>
      </c>
      <c r="C348" s="117">
        <v>120</v>
      </c>
      <c r="D348" s="118">
        <v>42510</v>
      </c>
      <c r="E348" s="118">
        <f t="shared" ref="E348:E357" si="72">+D348+C348</f>
        <v>42630</v>
      </c>
      <c r="F348" s="119"/>
      <c r="G348" s="123"/>
      <c r="H348" s="123"/>
      <c r="I348" s="119"/>
      <c r="J348" s="123"/>
      <c r="K348" s="123"/>
      <c r="L348" s="123"/>
    </row>
    <row r="349" spans="1:12" x14ac:dyDescent="0.3">
      <c r="B349" s="121" t="s">
        <v>194</v>
      </c>
      <c r="C349" s="117">
        <v>14</v>
      </c>
      <c r="D349" s="118">
        <f t="shared" ref="D349:D357" si="73">+E348</f>
        <v>42630</v>
      </c>
      <c r="E349" s="118">
        <f t="shared" si="72"/>
        <v>42644</v>
      </c>
      <c r="F349" s="119"/>
      <c r="G349" s="123"/>
      <c r="H349" s="123"/>
      <c r="I349" s="119"/>
      <c r="J349" s="123"/>
      <c r="K349" s="123"/>
      <c r="L349" s="123"/>
    </row>
    <row r="350" spans="1:12" x14ac:dyDescent="0.3">
      <c r="B350" s="121" t="s">
        <v>195</v>
      </c>
      <c r="C350" s="117">
        <v>7</v>
      </c>
      <c r="D350" s="118">
        <f t="shared" si="73"/>
        <v>42644</v>
      </c>
      <c r="E350" s="118">
        <f t="shared" si="72"/>
        <v>42651</v>
      </c>
      <c r="F350" s="119"/>
      <c r="G350" s="123"/>
      <c r="H350" s="123"/>
      <c r="I350" s="119"/>
      <c r="J350" s="123"/>
      <c r="K350" s="123"/>
      <c r="L350" s="123"/>
    </row>
    <row r="351" spans="1:12" ht="28.8" x14ac:dyDescent="0.3">
      <c r="B351" s="121" t="s">
        <v>196</v>
      </c>
      <c r="C351" s="117">
        <v>5</v>
      </c>
      <c r="D351" s="118">
        <f t="shared" si="73"/>
        <v>42651</v>
      </c>
      <c r="E351" s="118">
        <f t="shared" si="72"/>
        <v>42656</v>
      </c>
      <c r="F351" s="119"/>
      <c r="G351" s="123"/>
      <c r="H351" s="123"/>
      <c r="I351" s="119"/>
      <c r="J351" s="123"/>
      <c r="K351" s="123"/>
      <c r="L351" s="123"/>
    </row>
    <row r="352" spans="1:12" x14ac:dyDescent="0.3">
      <c r="B352" s="121" t="s">
        <v>197</v>
      </c>
      <c r="C352" s="117">
        <v>30</v>
      </c>
      <c r="D352" s="118">
        <f t="shared" si="73"/>
        <v>42656</v>
      </c>
      <c r="E352" s="118">
        <f t="shared" si="72"/>
        <v>42686</v>
      </c>
      <c r="F352" s="119"/>
      <c r="G352" s="123"/>
      <c r="H352" s="123"/>
      <c r="I352" s="119"/>
      <c r="J352" s="123"/>
      <c r="K352" s="123"/>
      <c r="L352" s="123"/>
    </row>
    <row r="353" spans="1:12" x14ac:dyDescent="0.3">
      <c r="B353" s="121" t="s">
        <v>198</v>
      </c>
      <c r="C353" s="117">
        <v>10</v>
      </c>
      <c r="D353" s="118">
        <f t="shared" si="73"/>
        <v>42686</v>
      </c>
      <c r="E353" s="118">
        <f t="shared" si="72"/>
        <v>42696</v>
      </c>
      <c r="F353" s="119"/>
      <c r="G353" s="123"/>
      <c r="H353" s="123"/>
      <c r="I353" s="119"/>
      <c r="J353" s="123"/>
      <c r="K353" s="123"/>
      <c r="L353" s="123"/>
    </row>
    <row r="354" spans="1:12" x14ac:dyDescent="0.3">
      <c r="B354" s="121" t="s">
        <v>199</v>
      </c>
      <c r="C354" s="117">
        <v>5</v>
      </c>
      <c r="D354" s="118">
        <f t="shared" si="73"/>
        <v>42696</v>
      </c>
      <c r="E354" s="118">
        <f t="shared" si="72"/>
        <v>42701</v>
      </c>
      <c r="F354" s="119"/>
      <c r="G354" s="123"/>
      <c r="H354" s="123"/>
      <c r="I354" s="119"/>
      <c r="J354" s="123"/>
      <c r="K354" s="123"/>
      <c r="L354" s="123"/>
    </row>
    <row r="355" spans="1:12" x14ac:dyDescent="0.3">
      <c r="B355" s="121" t="s">
        <v>200</v>
      </c>
      <c r="C355" s="117">
        <v>1</v>
      </c>
      <c r="D355" s="118">
        <f t="shared" si="73"/>
        <v>42701</v>
      </c>
      <c r="E355" s="118">
        <f t="shared" si="72"/>
        <v>42702</v>
      </c>
      <c r="F355" s="119"/>
      <c r="G355" s="123"/>
      <c r="H355" s="123"/>
      <c r="I355" s="119"/>
      <c r="J355" s="123"/>
      <c r="K355" s="123"/>
      <c r="L355" s="123"/>
    </row>
    <row r="356" spans="1:12" x14ac:dyDescent="0.3">
      <c r="B356" s="121" t="s">
        <v>201</v>
      </c>
      <c r="C356" s="117">
        <v>15</v>
      </c>
      <c r="D356" s="118">
        <f t="shared" si="73"/>
        <v>42702</v>
      </c>
      <c r="E356" s="118">
        <f t="shared" si="72"/>
        <v>42717</v>
      </c>
      <c r="F356" s="119"/>
      <c r="G356" s="123"/>
      <c r="H356" s="123"/>
      <c r="I356" s="119"/>
      <c r="J356" s="123"/>
      <c r="K356" s="123"/>
      <c r="L356" s="123"/>
    </row>
    <row r="357" spans="1:12" x14ac:dyDescent="0.3">
      <c r="B357" s="121" t="s">
        <v>202</v>
      </c>
      <c r="C357" s="117">
        <f>8*30</f>
        <v>240</v>
      </c>
      <c r="D357" s="118">
        <f t="shared" si="73"/>
        <v>42717</v>
      </c>
      <c r="E357" s="118">
        <f t="shared" si="72"/>
        <v>42957</v>
      </c>
      <c r="F357" s="119"/>
      <c r="G357" s="123"/>
      <c r="H357" s="123"/>
      <c r="I357" s="119"/>
      <c r="J357" s="123"/>
      <c r="K357" s="123"/>
      <c r="L357" s="123"/>
    </row>
    <row r="358" spans="1:12" s="120" customFormat="1" ht="81" customHeight="1" x14ac:dyDescent="0.3">
      <c r="A358" s="116">
        <v>2</v>
      </c>
      <c r="B358" s="98" t="str">
        <f>'1. Detailed Budget.2 '!H43</f>
        <v>Consultoría para Desarrollo e implementación de un programa de capacitación a municipios en las herramientas de preinversión, incluyendo el uso de proyectos tipo/modulares (incluye Desarrollo de la estrategia y contenidos de capacitación)</v>
      </c>
      <c r="C358" s="117"/>
      <c r="D358" s="118"/>
      <c r="E358" s="118"/>
      <c r="F358" s="170">
        <f>'1. Detailed Budget.2 '!L43</f>
        <v>36960</v>
      </c>
      <c r="G358" s="119"/>
      <c r="I358" s="119">
        <f>+F358*35%</f>
        <v>12936</v>
      </c>
      <c r="J358" s="119">
        <f>+F358*65%</f>
        <v>24024</v>
      </c>
      <c r="K358" s="119"/>
      <c r="L358" s="119"/>
    </row>
    <row r="359" spans="1:12" x14ac:dyDescent="0.3">
      <c r="B359" s="121" t="s">
        <v>193</v>
      </c>
      <c r="C359" s="117">
        <v>120</v>
      </c>
      <c r="D359" s="118">
        <v>42510</v>
      </c>
      <c r="E359" s="118">
        <f t="shared" ref="E359:E368" si="74">+D359+C359</f>
        <v>42630</v>
      </c>
      <c r="F359" s="119"/>
      <c r="G359" s="123"/>
      <c r="H359" s="123"/>
      <c r="I359" s="123"/>
      <c r="J359" s="123"/>
      <c r="K359" s="123"/>
      <c r="L359" s="123"/>
    </row>
    <row r="360" spans="1:12" x14ac:dyDescent="0.3">
      <c r="B360" s="121" t="s">
        <v>194</v>
      </c>
      <c r="C360" s="117">
        <v>14</v>
      </c>
      <c r="D360" s="118">
        <f t="shared" ref="D360:D368" si="75">+E359</f>
        <v>42630</v>
      </c>
      <c r="E360" s="118">
        <f t="shared" si="74"/>
        <v>42644</v>
      </c>
      <c r="F360" s="119"/>
      <c r="G360" s="123"/>
      <c r="H360" s="123"/>
      <c r="I360" s="123"/>
      <c r="J360" s="123"/>
      <c r="K360" s="123"/>
      <c r="L360" s="123"/>
    </row>
    <row r="361" spans="1:12" x14ac:dyDescent="0.3">
      <c r="B361" s="121" t="s">
        <v>195</v>
      </c>
      <c r="C361" s="117">
        <v>7</v>
      </c>
      <c r="D361" s="118">
        <f t="shared" si="75"/>
        <v>42644</v>
      </c>
      <c r="E361" s="118">
        <f t="shared" si="74"/>
        <v>42651</v>
      </c>
      <c r="F361" s="119"/>
      <c r="G361" s="123"/>
      <c r="H361" s="123"/>
      <c r="I361" s="123"/>
      <c r="J361" s="123"/>
      <c r="K361" s="123"/>
      <c r="L361" s="123"/>
    </row>
    <row r="362" spans="1:12" ht="28.8" x14ac:dyDescent="0.3">
      <c r="B362" s="121" t="s">
        <v>196</v>
      </c>
      <c r="C362" s="117">
        <v>5</v>
      </c>
      <c r="D362" s="118">
        <f t="shared" si="75"/>
        <v>42651</v>
      </c>
      <c r="E362" s="118">
        <f t="shared" si="74"/>
        <v>42656</v>
      </c>
      <c r="F362" s="119"/>
      <c r="G362" s="123"/>
      <c r="H362" s="123"/>
      <c r="I362" s="123"/>
      <c r="J362" s="123"/>
      <c r="K362" s="123"/>
      <c r="L362" s="123"/>
    </row>
    <row r="363" spans="1:12" x14ac:dyDescent="0.3">
      <c r="B363" s="121" t="s">
        <v>197</v>
      </c>
      <c r="C363" s="117">
        <v>30</v>
      </c>
      <c r="D363" s="118">
        <f t="shared" si="75"/>
        <v>42656</v>
      </c>
      <c r="E363" s="118">
        <f t="shared" si="74"/>
        <v>42686</v>
      </c>
      <c r="F363" s="119"/>
      <c r="G363" s="123"/>
      <c r="H363" s="123"/>
      <c r="I363" s="123"/>
      <c r="J363" s="123"/>
      <c r="K363" s="123"/>
      <c r="L363" s="123"/>
    </row>
    <row r="364" spans="1:12" x14ac:dyDescent="0.3">
      <c r="B364" s="121" t="s">
        <v>198</v>
      </c>
      <c r="C364" s="117">
        <v>10</v>
      </c>
      <c r="D364" s="118">
        <f t="shared" si="75"/>
        <v>42686</v>
      </c>
      <c r="E364" s="118">
        <f t="shared" si="74"/>
        <v>42696</v>
      </c>
      <c r="F364" s="119"/>
      <c r="G364" s="123"/>
      <c r="H364" s="123"/>
      <c r="I364" s="123"/>
      <c r="J364" s="123"/>
      <c r="K364" s="123"/>
      <c r="L364" s="123"/>
    </row>
    <row r="365" spans="1:12" x14ac:dyDescent="0.3">
      <c r="B365" s="121" t="s">
        <v>199</v>
      </c>
      <c r="C365" s="117">
        <v>5</v>
      </c>
      <c r="D365" s="118">
        <f t="shared" si="75"/>
        <v>42696</v>
      </c>
      <c r="E365" s="118">
        <f t="shared" si="74"/>
        <v>42701</v>
      </c>
      <c r="F365" s="119"/>
      <c r="G365" s="123"/>
      <c r="H365" s="123"/>
      <c r="I365" s="123"/>
      <c r="J365" s="123"/>
      <c r="K365" s="123"/>
      <c r="L365" s="123"/>
    </row>
    <row r="366" spans="1:12" x14ac:dyDescent="0.3">
      <c r="B366" s="121" t="s">
        <v>200</v>
      </c>
      <c r="C366" s="117">
        <v>1</v>
      </c>
      <c r="D366" s="118">
        <f t="shared" si="75"/>
        <v>42701</v>
      </c>
      <c r="E366" s="118">
        <f t="shared" si="74"/>
        <v>42702</v>
      </c>
      <c r="F366" s="119"/>
      <c r="G366" s="123"/>
      <c r="H366" s="123"/>
      <c r="I366" s="123"/>
      <c r="J366" s="123"/>
      <c r="K366" s="123"/>
      <c r="L366" s="123"/>
    </row>
    <row r="367" spans="1:12" x14ac:dyDescent="0.3">
      <c r="B367" s="121" t="s">
        <v>201</v>
      </c>
      <c r="C367" s="117">
        <v>15</v>
      </c>
      <c r="D367" s="118">
        <f t="shared" si="75"/>
        <v>42702</v>
      </c>
      <c r="E367" s="118">
        <f t="shared" si="74"/>
        <v>42717</v>
      </c>
      <c r="F367" s="119"/>
      <c r="G367" s="123"/>
      <c r="H367" s="123"/>
      <c r="I367" s="123"/>
      <c r="J367" s="123"/>
      <c r="K367" s="123"/>
      <c r="L367" s="123"/>
    </row>
    <row r="368" spans="1:12" x14ac:dyDescent="0.3">
      <c r="B368" s="121" t="s">
        <v>202</v>
      </c>
      <c r="C368" s="117">
        <f>8*30</f>
        <v>240</v>
      </c>
      <c r="D368" s="118">
        <f t="shared" si="75"/>
        <v>42717</v>
      </c>
      <c r="E368" s="118">
        <f t="shared" si="74"/>
        <v>42957</v>
      </c>
      <c r="F368" s="119"/>
      <c r="G368" s="127"/>
      <c r="H368" s="123"/>
      <c r="I368" s="123"/>
      <c r="J368" s="123"/>
      <c r="K368" s="123"/>
      <c r="L368" s="123"/>
    </row>
    <row r="369" spans="1:12" s="120" customFormat="1" ht="46.95" customHeight="1" x14ac:dyDescent="0.3">
      <c r="A369" s="116">
        <v>3</v>
      </c>
      <c r="B369" s="98" t="str">
        <f>'1. Detailed Budget.2 '!Q43</f>
        <v>Talleres de capacitación a municipios en las herramientas de preinversión</v>
      </c>
      <c r="C369" s="117"/>
      <c r="D369" s="118"/>
      <c r="E369" s="118"/>
      <c r="F369" s="170">
        <f>'1. Detailed Budget.2 '!T43</f>
        <v>200000</v>
      </c>
      <c r="G369" s="119"/>
      <c r="I369" s="119">
        <f>+F369*35%</f>
        <v>70000</v>
      </c>
      <c r="J369" s="119">
        <f>+F369*65%</f>
        <v>130000</v>
      </c>
      <c r="K369" s="119"/>
      <c r="L369" s="119"/>
    </row>
    <row r="370" spans="1:12" x14ac:dyDescent="0.3">
      <c r="B370" s="121" t="s">
        <v>193</v>
      </c>
      <c r="C370" s="117">
        <v>120</v>
      </c>
      <c r="D370" s="118">
        <v>42510</v>
      </c>
      <c r="E370" s="118">
        <f t="shared" ref="E370:E379" si="76">+D370+C370</f>
        <v>42630</v>
      </c>
      <c r="F370" s="119"/>
      <c r="G370" s="123"/>
      <c r="H370" s="123"/>
      <c r="I370" s="119"/>
      <c r="J370" s="123"/>
      <c r="K370" s="123"/>
      <c r="L370" s="123"/>
    </row>
    <row r="371" spans="1:12" x14ac:dyDescent="0.3">
      <c r="B371" s="121" t="s">
        <v>194</v>
      </c>
      <c r="C371" s="117">
        <v>14</v>
      </c>
      <c r="D371" s="118">
        <f t="shared" ref="D371:D379" si="77">+E370</f>
        <v>42630</v>
      </c>
      <c r="E371" s="118">
        <f t="shared" si="76"/>
        <v>42644</v>
      </c>
      <c r="F371" s="119"/>
      <c r="G371" s="123"/>
      <c r="H371" s="123"/>
      <c r="I371" s="119"/>
      <c r="J371" s="123"/>
      <c r="K371" s="123"/>
      <c r="L371" s="123"/>
    </row>
    <row r="372" spans="1:12" x14ac:dyDescent="0.3">
      <c r="B372" s="121" t="s">
        <v>195</v>
      </c>
      <c r="C372" s="117">
        <v>7</v>
      </c>
      <c r="D372" s="118">
        <f t="shared" si="77"/>
        <v>42644</v>
      </c>
      <c r="E372" s="118">
        <f t="shared" si="76"/>
        <v>42651</v>
      </c>
      <c r="F372" s="119"/>
      <c r="G372" s="123"/>
      <c r="H372" s="123"/>
      <c r="I372" s="119"/>
      <c r="J372" s="123"/>
      <c r="K372" s="123"/>
      <c r="L372" s="123"/>
    </row>
    <row r="373" spans="1:12" ht="28.8" x14ac:dyDescent="0.3">
      <c r="B373" s="121" t="s">
        <v>196</v>
      </c>
      <c r="C373" s="117">
        <v>5</v>
      </c>
      <c r="D373" s="118">
        <f t="shared" si="77"/>
        <v>42651</v>
      </c>
      <c r="E373" s="118">
        <f t="shared" si="76"/>
        <v>42656</v>
      </c>
      <c r="F373" s="119"/>
      <c r="G373" s="123"/>
      <c r="H373" s="123"/>
      <c r="I373" s="119"/>
      <c r="J373" s="123"/>
      <c r="K373" s="123"/>
      <c r="L373" s="123"/>
    </row>
    <row r="374" spans="1:12" x14ac:dyDescent="0.3">
      <c r="B374" s="121" t="s">
        <v>197</v>
      </c>
      <c r="C374" s="117">
        <v>30</v>
      </c>
      <c r="D374" s="118">
        <f t="shared" si="77"/>
        <v>42656</v>
      </c>
      <c r="E374" s="118">
        <f t="shared" si="76"/>
        <v>42686</v>
      </c>
      <c r="F374" s="119"/>
      <c r="G374" s="123"/>
      <c r="H374" s="123"/>
      <c r="I374" s="119"/>
      <c r="J374" s="123"/>
      <c r="K374" s="123"/>
      <c r="L374" s="123"/>
    </row>
    <row r="375" spans="1:12" x14ac:dyDescent="0.3">
      <c r="B375" s="121" t="s">
        <v>198</v>
      </c>
      <c r="C375" s="117">
        <v>10</v>
      </c>
      <c r="D375" s="118">
        <f t="shared" si="77"/>
        <v>42686</v>
      </c>
      <c r="E375" s="118">
        <f t="shared" si="76"/>
        <v>42696</v>
      </c>
      <c r="F375" s="119"/>
      <c r="G375" s="123"/>
      <c r="H375" s="123"/>
      <c r="I375" s="119"/>
      <c r="J375" s="123"/>
      <c r="K375" s="123"/>
      <c r="L375" s="123"/>
    </row>
    <row r="376" spans="1:12" x14ac:dyDescent="0.3">
      <c r="B376" s="121" t="s">
        <v>199</v>
      </c>
      <c r="C376" s="117">
        <v>5</v>
      </c>
      <c r="D376" s="118">
        <f t="shared" si="77"/>
        <v>42696</v>
      </c>
      <c r="E376" s="118">
        <f t="shared" si="76"/>
        <v>42701</v>
      </c>
      <c r="F376" s="119"/>
      <c r="G376" s="123"/>
      <c r="H376" s="123"/>
      <c r="I376" s="119"/>
      <c r="J376" s="123"/>
      <c r="K376" s="123"/>
      <c r="L376" s="123"/>
    </row>
    <row r="377" spans="1:12" x14ac:dyDescent="0.3">
      <c r="B377" s="121" t="s">
        <v>200</v>
      </c>
      <c r="C377" s="117">
        <v>1</v>
      </c>
      <c r="D377" s="118">
        <f t="shared" si="77"/>
        <v>42701</v>
      </c>
      <c r="E377" s="118">
        <f t="shared" si="76"/>
        <v>42702</v>
      </c>
      <c r="F377" s="119"/>
      <c r="G377" s="123"/>
      <c r="H377" s="123"/>
      <c r="I377" s="119"/>
      <c r="J377" s="123"/>
      <c r="K377" s="123"/>
      <c r="L377" s="123"/>
    </row>
    <row r="378" spans="1:12" x14ac:dyDescent="0.3">
      <c r="B378" s="121" t="s">
        <v>201</v>
      </c>
      <c r="C378" s="117">
        <v>15</v>
      </c>
      <c r="D378" s="118">
        <f t="shared" si="77"/>
        <v>42702</v>
      </c>
      <c r="E378" s="118">
        <f t="shared" si="76"/>
        <v>42717</v>
      </c>
      <c r="F378" s="119"/>
      <c r="G378" s="123"/>
      <c r="H378" s="123"/>
      <c r="I378" s="119"/>
      <c r="J378" s="123"/>
      <c r="K378" s="123"/>
      <c r="L378" s="123"/>
    </row>
    <row r="379" spans="1:12" x14ac:dyDescent="0.3">
      <c r="B379" s="121" t="s">
        <v>202</v>
      </c>
      <c r="C379" s="117">
        <f>8*30</f>
        <v>240</v>
      </c>
      <c r="D379" s="118">
        <f t="shared" si="77"/>
        <v>42717</v>
      </c>
      <c r="E379" s="118">
        <f t="shared" si="76"/>
        <v>42957</v>
      </c>
      <c r="F379" s="119"/>
      <c r="G379" s="123"/>
      <c r="H379" s="123"/>
      <c r="I379" s="119"/>
      <c r="J379" s="123"/>
      <c r="K379" s="123"/>
      <c r="L379" s="123"/>
    </row>
    <row r="380" spans="1:12" s="120" customFormat="1" ht="20.399999999999999" customHeight="1" x14ac:dyDescent="0.3">
      <c r="A380" s="116">
        <v>4</v>
      </c>
      <c r="B380" s="98" t="str">
        <f>'1. Detailed Budget.2 '!Q44</f>
        <v>Pasantías para funcionarios con empresas privada</v>
      </c>
      <c r="C380" s="117"/>
      <c r="D380" s="118"/>
      <c r="E380" s="118"/>
      <c r="F380" s="170">
        <f>'1. Detailed Budget.2 '!T44</f>
        <v>0</v>
      </c>
      <c r="G380" s="119"/>
      <c r="I380" s="119">
        <f>+F380*35%</f>
        <v>0</v>
      </c>
      <c r="J380" s="119">
        <f>+F380*65%</f>
        <v>0</v>
      </c>
      <c r="K380" s="119"/>
      <c r="L380" s="119"/>
    </row>
    <row r="381" spans="1:12" ht="34.200000000000003" customHeight="1" x14ac:dyDescent="0.3">
      <c r="B381" s="111" t="str">
        <f>'1. Detailed Budget.2 '!A48</f>
        <v>3.4 Proyectos tipo-modulares en áreas relevantes para los municipios definidos</v>
      </c>
      <c r="C381" s="112"/>
      <c r="D381" s="114"/>
      <c r="E381" s="114"/>
      <c r="F381" s="115">
        <f t="shared" ref="F381:L381" si="78">+F382+F501</f>
        <v>147840</v>
      </c>
      <c r="G381" s="115">
        <f t="shared" si="78"/>
        <v>0</v>
      </c>
      <c r="H381" s="115">
        <f t="shared" si="78"/>
        <v>0</v>
      </c>
      <c r="I381" s="115">
        <f t="shared" si="78"/>
        <v>51744</v>
      </c>
      <c r="J381" s="115">
        <f t="shared" si="78"/>
        <v>96096</v>
      </c>
      <c r="K381" s="115">
        <f t="shared" si="78"/>
        <v>0</v>
      </c>
      <c r="L381" s="115">
        <f t="shared" si="78"/>
        <v>0</v>
      </c>
    </row>
    <row r="382" spans="1:12" s="120" customFormat="1" ht="70.95" customHeight="1" x14ac:dyDescent="0.3">
      <c r="A382" s="116">
        <v>1</v>
      </c>
      <c r="B382" s="98" t="str">
        <f>'1. Detailed Budget.2 '!H49</f>
        <v>Consultoría para definición de proyectos tipo-modulares en áreas relevantes para los municipios de menor tamaño, incluye (Desarrollo conceptual y metodológico de los proyectos tipo-modulares por sector, Desarrollo de aplicativo informático por sector e Implementación de pilotos)</v>
      </c>
      <c r="C382" s="117"/>
      <c r="D382" s="118"/>
      <c r="E382" s="118"/>
      <c r="F382" s="98">
        <f>'1. Detailed Budget.2 '!L49</f>
        <v>147840</v>
      </c>
      <c r="G382" s="119"/>
      <c r="I382" s="119">
        <f>+F382*35%</f>
        <v>51744</v>
      </c>
      <c r="J382" s="119">
        <f>+F382*65%</f>
        <v>96096</v>
      </c>
      <c r="K382" s="119"/>
      <c r="L382" s="119"/>
    </row>
    <row r="383" spans="1:12" x14ac:dyDescent="0.3">
      <c r="B383" s="121" t="s">
        <v>193</v>
      </c>
      <c r="C383" s="117">
        <v>120</v>
      </c>
      <c r="D383" s="118">
        <v>42510</v>
      </c>
      <c r="E383" s="118">
        <f t="shared" ref="E383:E392" si="79">+D383+C383</f>
        <v>42630</v>
      </c>
      <c r="F383" s="119"/>
      <c r="G383" s="123"/>
      <c r="H383" s="123"/>
      <c r="I383" s="119"/>
      <c r="J383" s="123"/>
      <c r="K383" s="123"/>
      <c r="L383" s="123"/>
    </row>
    <row r="384" spans="1:12" x14ac:dyDescent="0.3">
      <c r="B384" s="121" t="s">
        <v>194</v>
      </c>
      <c r="C384" s="117">
        <v>14</v>
      </c>
      <c r="D384" s="118">
        <f t="shared" ref="D384:D392" si="80">+E383</f>
        <v>42630</v>
      </c>
      <c r="E384" s="118">
        <f t="shared" si="79"/>
        <v>42644</v>
      </c>
      <c r="F384" s="119"/>
      <c r="G384" s="123"/>
      <c r="H384" s="123"/>
      <c r="I384" s="119"/>
      <c r="J384" s="123"/>
      <c r="K384" s="123"/>
      <c r="L384" s="123"/>
    </row>
    <row r="385" spans="1:12" x14ac:dyDescent="0.3">
      <c r="B385" s="121" t="s">
        <v>195</v>
      </c>
      <c r="C385" s="117">
        <v>7</v>
      </c>
      <c r="D385" s="118">
        <f t="shared" si="80"/>
        <v>42644</v>
      </c>
      <c r="E385" s="118">
        <f t="shared" si="79"/>
        <v>42651</v>
      </c>
      <c r="F385" s="119"/>
      <c r="G385" s="123"/>
      <c r="H385" s="123"/>
      <c r="I385" s="119"/>
      <c r="J385" s="123"/>
      <c r="K385" s="123"/>
      <c r="L385" s="123"/>
    </row>
    <row r="386" spans="1:12" ht="28.8" x14ac:dyDescent="0.3">
      <c r="B386" s="121" t="s">
        <v>196</v>
      </c>
      <c r="C386" s="117">
        <v>5</v>
      </c>
      <c r="D386" s="118">
        <f t="shared" si="80"/>
        <v>42651</v>
      </c>
      <c r="E386" s="118">
        <f t="shared" si="79"/>
        <v>42656</v>
      </c>
      <c r="F386" s="119"/>
      <c r="G386" s="123"/>
      <c r="H386" s="123"/>
      <c r="I386" s="119"/>
      <c r="J386" s="123"/>
      <c r="K386" s="123"/>
      <c r="L386" s="123"/>
    </row>
    <row r="387" spans="1:12" x14ac:dyDescent="0.3">
      <c r="B387" s="121" t="s">
        <v>197</v>
      </c>
      <c r="C387" s="117">
        <v>30</v>
      </c>
      <c r="D387" s="118">
        <f t="shared" si="80"/>
        <v>42656</v>
      </c>
      <c r="E387" s="118">
        <f t="shared" si="79"/>
        <v>42686</v>
      </c>
      <c r="F387" s="119"/>
      <c r="G387" s="123"/>
      <c r="H387" s="123"/>
      <c r="I387" s="119"/>
      <c r="J387" s="123"/>
      <c r="K387" s="123"/>
      <c r="L387" s="123"/>
    </row>
    <row r="388" spans="1:12" x14ac:dyDescent="0.3">
      <c r="B388" s="121" t="s">
        <v>198</v>
      </c>
      <c r="C388" s="117">
        <v>10</v>
      </c>
      <c r="D388" s="118">
        <f t="shared" si="80"/>
        <v>42686</v>
      </c>
      <c r="E388" s="118">
        <f t="shared" si="79"/>
        <v>42696</v>
      </c>
      <c r="F388" s="119"/>
      <c r="G388" s="123"/>
      <c r="H388" s="123"/>
      <c r="I388" s="119"/>
      <c r="J388" s="123"/>
      <c r="K388" s="123"/>
      <c r="L388" s="123"/>
    </row>
    <row r="389" spans="1:12" x14ac:dyDescent="0.3">
      <c r="B389" s="121" t="s">
        <v>199</v>
      </c>
      <c r="C389" s="117">
        <v>5</v>
      </c>
      <c r="D389" s="118">
        <f t="shared" si="80"/>
        <v>42696</v>
      </c>
      <c r="E389" s="118">
        <f t="shared" si="79"/>
        <v>42701</v>
      </c>
      <c r="F389" s="119"/>
      <c r="G389" s="123"/>
      <c r="H389" s="123"/>
      <c r="I389" s="119"/>
      <c r="J389" s="123"/>
      <c r="K389" s="123"/>
      <c r="L389" s="123"/>
    </row>
    <row r="390" spans="1:12" x14ac:dyDescent="0.3">
      <c r="B390" s="121" t="s">
        <v>200</v>
      </c>
      <c r="C390" s="117">
        <v>1</v>
      </c>
      <c r="D390" s="118">
        <f t="shared" si="80"/>
        <v>42701</v>
      </c>
      <c r="E390" s="118">
        <f t="shared" si="79"/>
        <v>42702</v>
      </c>
      <c r="F390" s="119"/>
      <c r="G390" s="123"/>
      <c r="H390" s="123"/>
      <c r="I390" s="119"/>
      <c r="J390" s="123"/>
      <c r="K390" s="123"/>
      <c r="L390" s="123"/>
    </row>
    <row r="391" spans="1:12" x14ac:dyDescent="0.3">
      <c r="B391" s="121" t="s">
        <v>201</v>
      </c>
      <c r="C391" s="117">
        <v>15</v>
      </c>
      <c r="D391" s="118">
        <f t="shared" si="80"/>
        <v>42702</v>
      </c>
      <c r="E391" s="118">
        <f t="shared" si="79"/>
        <v>42717</v>
      </c>
      <c r="F391" s="119"/>
      <c r="G391" s="123"/>
      <c r="H391" s="123"/>
      <c r="I391" s="119"/>
      <c r="J391" s="123"/>
      <c r="K391" s="123"/>
      <c r="L391" s="123"/>
    </row>
    <row r="392" spans="1:12" x14ac:dyDescent="0.3">
      <c r="B392" s="121" t="s">
        <v>202</v>
      </c>
      <c r="C392" s="117">
        <f>8*30</f>
        <v>240</v>
      </c>
      <c r="D392" s="118">
        <f t="shared" si="80"/>
        <v>42717</v>
      </c>
      <c r="E392" s="118">
        <f t="shared" si="79"/>
        <v>42957</v>
      </c>
      <c r="F392" s="119"/>
      <c r="G392" s="123"/>
      <c r="H392" s="123"/>
      <c r="I392" s="119"/>
      <c r="J392" s="123"/>
      <c r="K392" s="123"/>
      <c r="L392" s="123"/>
    </row>
    <row r="393" spans="1:12" ht="32.4" customHeight="1" x14ac:dyDescent="0.3">
      <c r="B393" s="111" t="str">
        <f>'1. Detailed Budget.2 '!A50</f>
        <v>3.5 Diagnóstico del análisis de género en la preinversión elaborado</v>
      </c>
      <c r="C393" s="112"/>
      <c r="D393" s="114"/>
      <c r="E393" s="114"/>
      <c r="F393" s="115">
        <f t="shared" ref="F393:L393" si="81">+F394+F501</f>
        <v>6160</v>
      </c>
      <c r="G393" s="115">
        <f t="shared" si="81"/>
        <v>0</v>
      </c>
      <c r="H393" s="115">
        <f t="shared" si="81"/>
        <v>0</v>
      </c>
      <c r="I393" s="115">
        <f t="shared" si="81"/>
        <v>2156</v>
      </c>
      <c r="J393" s="115">
        <f t="shared" si="81"/>
        <v>4004</v>
      </c>
      <c r="K393" s="115">
        <f t="shared" si="81"/>
        <v>0</v>
      </c>
      <c r="L393" s="115">
        <f t="shared" si="81"/>
        <v>0</v>
      </c>
    </row>
    <row r="394" spans="1:12" s="120" customFormat="1" ht="37.950000000000003" customHeight="1" x14ac:dyDescent="0.3">
      <c r="A394" s="116">
        <v>1</v>
      </c>
      <c r="B394" s="98" t="str">
        <f>'1. Detailed Budget.2 '!C51</f>
        <v>Consultoría especializada para el diagnóstico del análisis de género en la preinversión</v>
      </c>
      <c r="C394" s="117"/>
      <c r="D394" s="118"/>
      <c r="E394" s="118"/>
      <c r="F394" s="98">
        <f>'1. Detailed Budget.2 '!G51</f>
        <v>6160</v>
      </c>
      <c r="G394" s="119"/>
      <c r="I394" s="119">
        <f>+F394*35%</f>
        <v>2156</v>
      </c>
      <c r="J394" s="119">
        <f>+F394*65%</f>
        <v>4004</v>
      </c>
      <c r="K394" s="119"/>
      <c r="L394" s="119"/>
    </row>
    <row r="395" spans="1:12" x14ac:dyDescent="0.3">
      <c r="B395" s="121" t="s">
        <v>193</v>
      </c>
      <c r="C395" s="117">
        <v>120</v>
      </c>
      <c r="D395" s="118">
        <v>42510</v>
      </c>
      <c r="E395" s="118">
        <f t="shared" ref="E395:E404" si="82">+D395+C395</f>
        <v>42630</v>
      </c>
      <c r="F395" s="119"/>
      <c r="G395" s="123"/>
      <c r="H395" s="123"/>
      <c r="I395" s="119"/>
      <c r="J395" s="123"/>
      <c r="K395" s="123"/>
      <c r="L395" s="123"/>
    </row>
    <row r="396" spans="1:12" x14ac:dyDescent="0.3">
      <c r="B396" s="121" t="s">
        <v>194</v>
      </c>
      <c r="C396" s="117">
        <v>14</v>
      </c>
      <c r="D396" s="118">
        <f t="shared" ref="D396:D404" si="83">+E395</f>
        <v>42630</v>
      </c>
      <c r="E396" s="118">
        <f t="shared" si="82"/>
        <v>42644</v>
      </c>
      <c r="F396" s="119"/>
      <c r="G396" s="123"/>
      <c r="H396" s="123"/>
      <c r="I396" s="119"/>
      <c r="J396" s="123"/>
      <c r="K396" s="123"/>
      <c r="L396" s="123"/>
    </row>
    <row r="397" spans="1:12" x14ac:dyDescent="0.3">
      <c r="B397" s="121" t="s">
        <v>195</v>
      </c>
      <c r="C397" s="117">
        <v>7</v>
      </c>
      <c r="D397" s="118">
        <f t="shared" si="83"/>
        <v>42644</v>
      </c>
      <c r="E397" s="118">
        <f t="shared" si="82"/>
        <v>42651</v>
      </c>
      <c r="F397" s="119"/>
      <c r="G397" s="123"/>
      <c r="H397" s="123"/>
      <c r="I397" s="119"/>
      <c r="J397" s="123"/>
      <c r="K397" s="123"/>
      <c r="L397" s="123"/>
    </row>
    <row r="398" spans="1:12" ht="28.8" x14ac:dyDescent="0.3">
      <c r="B398" s="121" t="s">
        <v>196</v>
      </c>
      <c r="C398" s="117">
        <v>5</v>
      </c>
      <c r="D398" s="118">
        <f t="shared" si="83"/>
        <v>42651</v>
      </c>
      <c r="E398" s="118">
        <f t="shared" si="82"/>
        <v>42656</v>
      </c>
      <c r="F398" s="119"/>
      <c r="G398" s="123"/>
      <c r="H398" s="123"/>
      <c r="I398" s="119"/>
      <c r="J398" s="123"/>
      <c r="K398" s="123"/>
      <c r="L398" s="123"/>
    </row>
    <row r="399" spans="1:12" x14ac:dyDescent="0.3">
      <c r="B399" s="121" t="s">
        <v>197</v>
      </c>
      <c r="C399" s="117">
        <v>30</v>
      </c>
      <c r="D399" s="118">
        <f t="shared" si="83"/>
        <v>42656</v>
      </c>
      <c r="E399" s="118">
        <f t="shared" si="82"/>
        <v>42686</v>
      </c>
      <c r="F399" s="119"/>
      <c r="G399" s="123"/>
      <c r="H399" s="123"/>
      <c r="I399" s="119"/>
      <c r="J399" s="123"/>
      <c r="K399" s="123"/>
      <c r="L399" s="123"/>
    </row>
    <row r="400" spans="1:12" x14ac:dyDescent="0.3">
      <c r="B400" s="121" t="s">
        <v>198</v>
      </c>
      <c r="C400" s="117">
        <v>10</v>
      </c>
      <c r="D400" s="118">
        <f t="shared" si="83"/>
        <v>42686</v>
      </c>
      <c r="E400" s="118">
        <f t="shared" si="82"/>
        <v>42696</v>
      </c>
      <c r="F400" s="119"/>
      <c r="G400" s="123"/>
      <c r="H400" s="123"/>
      <c r="I400" s="119"/>
      <c r="J400" s="123"/>
      <c r="K400" s="123"/>
      <c r="L400" s="123"/>
    </row>
    <row r="401" spans="2:12" x14ac:dyDescent="0.3">
      <c r="B401" s="121" t="s">
        <v>199</v>
      </c>
      <c r="C401" s="117">
        <v>5</v>
      </c>
      <c r="D401" s="118">
        <f t="shared" si="83"/>
        <v>42696</v>
      </c>
      <c r="E401" s="118">
        <f t="shared" si="82"/>
        <v>42701</v>
      </c>
      <c r="F401" s="119"/>
      <c r="G401" s="123"/>
      <c r="H401" s="123"/>
      <c r="I401" s="119"/>
      <c r="J401" s="123"/>
      <c r="K401" s="123"/>
      <c r="L401" s="123"/>
    </row>
    <row r="402" spans="2:12" x14ac:dyDescent="0.3">
      <c r="B402" s="121" t="s">
        <v>200</v>
      </c>
      <c r="C402" s="117">
        <v>1</v>
      </c>
      <c r="D402" s="118">
        <f t="shared" si="83"/>
        <v>42701</v>
      </c>
      <c r="E402" s="118">
        <f t="shared" si="82"/>
        <v>42702</v>
      </c>
      <c r="F402" s="119"/>
      <c r="G402" s="123"/>
      <c r="H402" s="123"/>
      <c r="I402" s="119"/>
      <c r="J402" s="123"/>
      <c r="K402" s="123"/>
      <c r="L402" s="123"/>
    </row>
    <row r="403" spans="2:12" x14ac:dyDescent="0.3">
      <c r="B403" s="121" t="s">
        <v>201</v>
      </c>
      <c r="C403" s="117">
        <v>15</v>
      </c>
      <c r="D403" s="118">
        <f t="shared" si="83"/>
        <v>42702</v>
      </c>
      <c r="E403" s="118">
        <f t="shared" si="82"/>
        <v>42717</v>
      </c>
      <c r="F403" s="119"/>
      <c r="G403" s="123"/>
      <c r="H403" s="123"/>
      <c r="I403" s="119"/>
      <c r="J403" s="123"/>
      <c r="K403" s="123"/>
      <c r="L403" s="123"/>
    </row>
    <row r="404" spans="2:12" x14ac:dyDescent="0.3">
      <c r="B404" s="121" t="s">
        <v>202</v>
      </c>
      <c r="C404" s="117">
        <f>8*30</f>
        <v>240</v>
      </c>
      <c r="D404" s="118">
        <f t="shared" si="83"/>
        <v>42717</v>
      </c>
      <c r="E404" s="118">
        <f t="shared" si="82"/>
        <v>42957</v>
      </c>
      <c r="F404" s="119"/>
      <c r="G404" s="123"/>
      <c r="H404" s="123"/>
      <c r="I404" s="119"/>
      <c r="J404" s="123"/>
      <c r="K404" s="123"/>
      <c r="L404" s="123"/>
    </row>
    <row r="405" spans="2:12" x14ac:dyDescent="0.3">
      <c r="B405" s="111" t="str">
        <f>'1. Detailed Budget.2 '!$A$52</f>
        <v>Total Coordinación del Proyecto</v>
      </c>
      <c r="C405" s="112"/>
      <c r="D405" s="114"/>
      <c r="E405" s="114"/>
      <c r="F405" s="115" t="e">
        <f>+F406+F417+F428+F439+F450+F461+F471+F472</f>
        <v>#REF!</v>
      </c>
      <c r="G405" s="115">
        <f t="shared" ref="G405:L405" si="84">+G406+G428+G450+G461+G471+G472</f>
        <v>0</v>
      </c>
      <c r="H405" s="115">
        <f t="shared" si="84"/>
        <v>130200</v>
      </c>
      <c r="I405" s="115">
        <f t="shared" si="84"/>
        <v>211460</v>
      </c>
      <c r="J405" s="115">
        <f t="shared" si="84"/>
        <v>226460</v>
      </c>
      <c r="K405" s="115">
        <f t="shared" si="84"/>
        <v>211460</v>
      </c>
      <c r="L405" s="115">
        <f t="shared" si="84"/>
        <v>227420</v>
      </c>
    </row>
    <row r="406" spans="2:12" ht="28.2" customHeight="1" x14ac:dyDescent="0.3">
      <c r="B406" s="122" t="s">
        <v>274</v>
      </c>
      <c r="C406" s="97"/>
      <c r="D406" s="99"/>
      <c r="E406" s="99"/>
      <c r="F406" s="119">
        <f>SUM('1. Detailed Budget.2 '!$B$53:$B$61)</f>
        <v>702000</v>
      </c>
      <c r="G406" s="123"/>
      <c r="H406" s="119">
        <f>+F406*10%</f>
        <v>70200</v>
      </c>
      <c r="I406" s="119">
        <f>+F406*23%</f>
        <v>161460</v>
      </c>
      <c r="J406" s="119">
        <f>+F406*23%</f>
        <v>161460</v>
      </c>
      <c r="K406" s="119">
        <f>+F406*23%</f>
        <v>161460</v>
      </c>
      <c r="L406" s="119">
        <f>+F406*21%</f>
        <v>147420</v>
      </c>
    </row>
    <row r="407" spans="2:12" ht="28.8" x14ac:dyDescent="0.3">
      <c r="B407" s="124" t="s">
        <v>203</v>
      </c>
      <c r="C407" s="97">
        <v>20</v>
      </c>
      <c r="D407" s="99">
        <f>+E9</f>
        <v>43685</v>
      </c>
      <c r="E407" s="99">
        <f>+D407+C407</f>
        <v>43705</v>
      </c>
      <c r="F407" s="119"/>
      <c r="G407" s="123"/>
      <c r="H407" s="123"/>
      <c r="I407" s="123"/>
      <c r="J407" s="123"/>
      <c r="K407" s="123"/>
      <c r="L407" s="123"/>
    </row>
    <row r="408" spans="2:12" x14ac:dyDescent="0.3">
      <c r="B408" s="124" t="s">
        <v>204</v>
      </c>
      <c r="C408" s="97">
        <v>5</v>
      </c>
      <c r="D408" s="99">
        <f t="shared" ref="D408:D416" si="85">+E407</f>
        <v>43705</v>
      </c>
      <c r="E408" s="99">
        <f t="shared" ref="E408:E416" si="86">+C408+D408</f>
        <v>43710</v>
      </c>
      <c r="F408" s="119"/>
      <c r="G408" s="123"/>
      <c r="H408" s="123"/>
      <c r="I408" s="123"/>
      <c r="J408" s="123"/>
      <c r="K408" s="123"/>
      <c r="L408" s="123"/>
    </row>
    <row r="409" spans="2:12" x14ac:dyDescent="0.3">
      <c r="B409" s="124" t="s">
        <v>205</v>
      </c>
      <c r="C409" s="97">
        <v>10</v>
      </c>
      <c r="D409" s="99">
        <f t="shared" si="85"/>
        <v>43710</v>
      </c>
      <c r="E409" s="99">
        <f t="shared" si="86"/>
        <v>43720</v>
      </c>
      <c r="F409" s="119"/>
      <c r="G409" s="123"/>
      <c r="H409" s="123"/>
      <c r="I409" s="123"/>
      <c r="J409" s="123"/>
      <c r="K409" s="123"/>
      <c r="L409" s="123"/>
    </row>
    <row r="410" spans="2:12" x14ac:dyDescent="0.3">
      <c r="B410" s="124" t="s">
        <v>206</v>
      </c>
      <c r="C410" s="97">
        <v>1</v>
      </c>
      <c r="D410" s="99">
        <f t="shared" si="85"/>
        <v>43720</v>
      </c>
      <c r="E410" s="99">
        <f t="shared" si="86"/>
        <v>43721</v>
      </c>
      <c r="F410" s="119"/>
      <c r="G410" s="123"/>
      <c r="H410" s="123"/>
      <c r="I410" s="123"/>
      <c r="J410" s="123"/>
      <c r="K410" s="123"/>
      <c r="L410" s="123"/>
    </row>
    <row r="411" spans="2:12" x14ac:dyDescent="0.3">
      <c r="B411" s="124" t="s">
        <v>207</v>
      </c>
      <c r="C411" s="97">
        <v>15</v>
      </c>
      <c r="D411" s="99">
        <f t="shared" si="85"/>
        <v>43721</v>
      </c>
      <c r="E411" s="99">
        <f t="shared" si="86"/>
        <v>43736</v>
      </c>
      <c r="F411" s="119"/>
      <c r="G411" s="123"/>
      <c r="H411" s="123"/>
      <c r="I411" s="123"/>
      <c r="J411" s="123"/>
      <c r="K411" s="123"/>
      <c r="L411" s="123"/>
    </row>
    <row r="412" spans="2:12" x14ac:dyDescent="0.3">
      <c r="B412" s="124" t="s">
        <v>204</v>
      </c>
      <c r="C412" s="97">
        <v>5</v>
      </c>
      <c r="D412" s="99">
        <f t="shared" si="85"/>
        <v>43736</v>
      </c>
      <c r="E412" s="99">
        <f t="shared" si="86"/>
        <v>43741</v>
      </c>
      <c r="F412" s="119"/>
      <c r="G412" s="123"/>
      <c r="H412" s="123"/>
      <c r="I412" s="123"/>
      <c r="J412" s="123"/>
      <c r="K412" s="123"/>
      <c r="L412" s="123"/>
    </row>
    <row r="413" spans="2:12" x14ac:dyDescent="0.3">
      <c r="B413" s="124" t="s">
        <v>208</v>
      </c>
      <c r="C413" s="97">
        <v>1</v>
      </c>
      <c r="D413" s="99">
        <f t="shared" si="85"/>
        <v>43741</v>
      </c>
      <c r="E413" s="99">
        <f t="shared" si="86"/>
        <v>43742</v>
      </c>
      <c r="F413" s="119"/>
      <c r="G413" s="123"/>
      <c r="H413" s="123"/>
      <c r="I413" s="123"/>
      <c r="J413" s="123"/>
      <c r="K413" s="123"/>
      <c r="L413" s="123"/>
    </row>
    <row r="414" spans="2:12" ht="28.8" x14ac:dyDescent="0.3">
      <c r="B414" s="124" t="s">
        <v>209</v>
      </c>
      <c r="C414" s="97">
        <v>15</v>
      </c>
      <c r="D414" s="99">
        <f t="shared" si="85"/>
        <v>43742</v>
      </c>
      <c r="E414" s="99">
        <f t="shared" si="86"/>
        <v>43757</v>
      </c>
      <c r="F414" s="119"/>
      <c r="G414" s="123"/>
      <c r="H414" s="123"/>
      <c r="I414" s="123"/>
      <c r="J414" s="123"/>
      <c r="K414" s="123"/>
      <c r="L414" s="123"/>
    </row>
    <row r="415" spans="2:12" x14ac:dyDescent="0.3">
      <c r="B415" s="124" t="s">
        <v>210</v>
      </c>
      <c r="C415" s="97">
        <v>10</v>
      </c>
      <c r="D415" s="99">
        <f t="shared" si="85"/>
        <v>43757</v>
      </c>
      <c r="E415" s="99">
        <f t="shared" si="86"/>
        <v>43767</v>
      </c>
      <c r="F415" s="119"/>
      <c r="G415" s="123"/>
      <c r="H415" s="123"/>
      <c r="I415" s="123"/>
      <c r="J415" s="123"/>
      <c r="K415" s="123"/>
      <c r="L415" s="123"/>
    </row>
    <row r="416" spans="2:12" x14ac:dyDescent="0.3">
      <c r="B416" s="125" t="s">
        <v>211</v>
      </c>
      <c r="C416" s="97">
        <f>5*365</f>
        <v>1825</v>
      </c>
      <c r="D416" s="99">
        <f t="shared" si="85"/>
        <v>43767</v>
      </c>
      <c r="E416" s="99">
        <f t="shared" si="86"/>
        <v>45592</v>
      </c>
      <c r="F416" s="119"/>
      <c r="G416" s="123"/>
      <c r="H416" s="123"/>
      <c r="I416" s="123"/>
      <c r="J416" s="123"/>
      <c r="K416" s="123"/>
      <c r="L416" s="123"/>
    </row>
    <row r="417" spans="2:12" ht="28.2" customHeight="1" x14ac:dyDescent="0.3">
      <c r="B417" s="122" t="s">
        <v>275</v>
      </c>
      <c r="C417" s="97"/>
      <c r="D417" s="99"/>
      <c r="E417" s="99"/>
      <c r="F417" s="119">
        <f>SUM('1. Detailed Budget.2 '!$B$62:$B$63)</f>
        <v>168000</v>
      </c>
      <c r="G417" s="123"/>
      <c r="H417" s="119">
        <f>+F417*10%</f>
        <v>16800</v>
      </c>
      <c r="I417" s="119">
        <f>+F417*23%</f>
        <v>38640</v>
      </c>
      <c r="J417" s="119">
        <f>+F417*23%</f>
        <v>38640</v>
      </c>
      <c r="K417" s="119">
        <f>+F417*23%</f>
        <v>38640</v>
      </c>
      <c r="L417" s="119">
        <f>+F417*21%</f>
        <v>35280</v>
      </c>
    </row>
    <row r="418" spans="2:12" ht="28.8" x14ac:dyDescent="0.3">
      <c r="B418" s="124" t="s">
        <v>203</v>
      </c>
      <c r="C418" s="97">
        <v>20</v>
      </c>
      <c r="D418" s="99">
        <f>+E20</f>
        <v>44541</v>
      </c>
      <c r="E418" s="99">
        <f>+D418+C418</f>
        <v>44561</v>
      </c>
      <c r="F418" s="119"/>
      <c r="G418" s="123"/>
      <c r="H418" s="123"/>
      <c r="I418" s="123"/>
      <c r="J418" s="123"/>
      <c r="K418" s="123"/>
      <c r="L418" s="123"/>
    </row>
    <row r="419" spans="2:12" x14ac:dyDescent="0.3">
      <c r="B419" s="124" t="s">
        <v>204</v>
      </c>
      <c r="C419" s="97">
        <v>5</v>
      </c>
      <c r="D419" s="99">
        <f t="shared" ref="D419:D427" si="87">+E418</f>
        <v>44561</v>
      </c>
      <c r="E419" s="99">
        <f t="shared" ref="E419:E427" si="88">+C419+D419</f>
        <v>44566</v>
      </c>
      <c r="F419" s="119"/>
      <c r="G419" s="123"/>
      <c r="H419" s="123"/>
      <c r="I419" s="123"/>
      <c r="J419" s="123"/>
      <c r="K419" s="123"/>
      <c r="L419" s="123"/>
    </row>
    <row r="420" spans="2:12" x14ac:dyDescent="0.3">
      <c r="B420" s="124" t="s">
        <v>205</v>
      </c>
      <c r="C420" s="97">
        <v>10</v>
      </c>
      <c r="D420" s="99">
        <f t="shared" si="87"/>
        <v>44566</v>
      </c>
      <c r="E420" s="99">
        <f t="shared" si="88"/>
        <v>44576</v>
      </c>
      <c r="F420" s="119"/>
      <c r="G420" s="123"/>
      <c r="H420" s="123"/>
      <c r="I420" s="123"/>
      <c r="J420" s="123"/>
      <c r="K420" s="123"/>
      <c r="L420" s="123"/>
    </row>
    <row r="421" spans="2:12" x14ac:dyDescent="0.3">
      <c r="B421" s="124" t="s">
        <v>206</v>
      </c>
      <c r="C421" s="97">
        <v>1</v>
      </c>
      <c r="D421" s="99">
        <f t="shared" si="87"/>
        <v>44576</v>
      </c>
      <c r="E421" s="99">
        <f t="shared" si="88"/>
        <v>44577</v>
      </c>
      <c r="F421" s="119"/>
      <c r="G421" s="123"/>
      <c r="H421" s="123"/>
      <c r="I421" s="123"/>
      <c r="J421" s="123"/>
      <c r="K421" s="123"/>
      <c r="L421" s="123"/>
    </row>
    <row r="422" spans="2:12" x14ac:dyDescent="0.3">
      <c r="B422" s="124" t="s">
        <v>207</v>
      </c>
      <c r="C422" s="97">
        <v>15</v>
      </c>
      <c r="D422" s="99">
        <f t="shared" si="87"/>
        <v>44577</v>
      </c>
      <c r="E422" s="99">
        <f t="shared" si="88"/>
        <v>44592</v>
      </c>
      <c r="F422" s="119"/>
      <c r="G422" s="123"/>
      <c r="H422" s="123"/>
      <c r="I422" s="123"/>
      <c r="J422" s="123"/>
      <c r="K422" s="123"/>
      <c r="L422" s="123"/>
    </row>
    <row r="423" spans="2:12" x14ac:dyDescent="0.3">
      <c r="B423" s="124" t="s">
        <v>204</v>
      </c>
      <c r="C423" s="97">
        <v>5</v>
      </c>
      <c r="D423" s="99">
        <f t="shared" si="87"/>
        <v>44592</v>
      </c>
      <c r="E423" s="99">
        <f t="shared" si="88"/>
        <v>44597</v>
      </c>
      <c r="F423" s="119"/>
      <c r="G423" s="123"/>
      <c r="H423" s="123"/>
      <c r="I423" s="123"/>
      <c r="J423" s="123"/>
      <c r="K423" s="123"/>
      <c r="L423" s="123"/>
    </row>
    <row r="424" spans="2:12" x14ac:dyDescent="0.3">
      <c r="B424" s="124" t="s">
        <v>208</v>
      </c>
      <c r="C424" s="97">
        <v>1</v>
      </c>
      <c r="D424" s="99">
        <f t="shared" si="87"/>
        <v>44597</v>
      </c>
      <c r="E424" s="99">
        <f t="shared" si="88"/>
        <v>44598</v>
      </c>
      <c r="F424" s="119"/>
      <c r="G424" s="123"/>
      <c r="H424" s="123"/>
      <c r="I424" s="123"/>
      <c r="J424" s="123"/>
      <c r="K424" s="123"/>
      <c r="L424" s="123"/>
    </row>
    <row r="425" spans="2:12" ht="28.8" x14ac:dyDescent="0.3">
      <c r="B425" s="124" t="s">
        <v>209</v>
      </c>
      <c r="C425" s="97">
        <v>15</v>
      </c>
      <c r="D425" s="99">
        <f t="shared" si="87"/>
        <v>44598</v>
      </c>
      <c r="E425" s="99">
        <f t="shared" si="88"/>
        <v>44613</v>
      </c>
      <c r="F425" s="119"/>
      <c r="G425" s="123"/>
      <c r="H425" s="123"/>
      <c r="I425" s="123"/>
      <c r="J425" s="123"/>
      <c r="K425" s="123"/>
      <c r="L425" s="123"/>
    </row>
    <row r="426" spans="2:12" x14ac:dyDescent="0.3">
      <c r="B426" s="124" t="s">
        <v>210</v>
      </c>
      <c r="C426" s="97">
        <v>10</v>
      </c>
      <c r="D426" s="99">
        <f t="shared" si="87"/>
        <v>44613</v>
      </c>
      <c r="E426" s="99">
        <f t="shared" si="88"/>
        <v>44623</v>
      </c>
      <c r="F426" s="119"/>
      <c r="G426" s="123"/>
      <c r="H426" s="123"/>
      <c r="I426" s="123"/>
      <c r="J426" s="123"/>
      <c r="K426" s="123"/>
      <c r="L426" s="123"/>
    </row>
    <row r="427" spans="2:12" x14ac:dyDescent="0.3">
      <c r="B427" s="125" t="s">
        <v>211</v>
      </c>
      <c r="C427" s="97">
        <f>5*365</f>
        <v>1825</v>
      </c>
      <c r="D427" s="99">
        <f t="shared" si="87"/>
        <v>44623</v>
      </c>
      <c r="E427" s="99">
        <f t="shared" si="88"/>
        <v>46448</v>
      </c>
      <c r="F427" s="119"/>
      <c r="G427" s="123"/>
      <c r="H427" s="123"/>
      <c r="I427" s="123"/>
      <c r="J427" s="123"/>
      <c r="K427" s="123"/>
      <c r="L427" s="123"/>
    </row>
    <row r="428" spans="2:12" x14ac:dyDescent="0.3">
      <c r="B428" s="122" t="s">
        <v>212</v>
      </c>
      <c r="C428" s="97"/>
      <c r="D428" s="99"/>
      <c r="E428" s="99"/>
      <c r="F428" s="119">
        <f>'1. Detailed Budget.2 '!G64</f>
        <v>20000</v>
      </c>
      <c r="G428" s="123"/>
      <c r="H428" s="123"/>
      <c r="I428" s="123"/>
      <c r="J428" s="119">
        <v>15000</v>
      </c>
      <c r="K428" s="123"/>
      <c r="L428" s="123"/>
    </row>
    <row r="429" spans="2:12" x14ac:dyDescent="0.3">
      <c r="B429" s="124" t="s">
        <v>193</v>
      </c>
      <c r="C429" s="117">
        <v>15</v>
      </c>
      <c r="D429" s="118">
        <v>43301</v>
      </c>
      <c r="E429" s="118">
        <f>+D429+C429</f>
        <v>43316</v>
      </c>
      <c r="F429" s="119"/>
      <c r="G429" s="123"/>
      <c r="H429" s="123"/>
      <c r="I429" s="123"/>
      <c r="J429" s="123"/>
      <c r="K429" s="123"/>
      <c r="L429" s="123"/>
    </row>
    <row r="430" spans="2:12" x14ac:dyDescent="0.3">
      <c r="B430" s="128" t="s">
        <v>204</v>
      </c>
      <c r="C430" s="117">
        <v>5</v>
      </c>
      <c r="D430" s="118">
        <f>+E429</f>
        <v>43316</v>
      </c>
      <c r="E430" s="118">
        <f>+D430+C430</f>
        <v>43321</v>
      </c>
      <c r="F430" s="119"/>
      <c r="G430" s="123"/>
      <c r="H430" s="123"/>
      <c r="I430" s="123"/>
      <c r="J430" s="123"/>
      <c r="K430" s="123"/>
      <c r="L430" s="123"/>
    </row>
    <row r="431" spans="2:12" x14ac:dyDescent="0.3">
      <c r="B431" s="128" t="s">
        <v>213</v>
      </c>
      <c r="C431" s="117">
        <v>10</v>
      </c>
      <c r="D431" s="118">
        <f t="shared" ref="D431:D438" si="89">+E430</f>
        <v>43321</v>
      </c>
      <c r="E431" s="118">
        <f t="shared" ref="E431:E438" si="90">+D431+C431</f>
        <v>43331</v>
      </c>
      <c r="F431" s="119"/>
      <c r="G431" s="123"/>
      <c r="H431" s="123"/>
      <c r="I431" s="123"/>
      <c r="J431" s="123"/>
      <c r="K431" s="123"/>
      <c r="L431" s="123"/>
    </row>
    <row r="432" spans="2:12" x14ac:dyDescent="0.3">
      <c r="B432" s="128" t="s">
        <v>214</v>
      </c>
      <c r="C432" s="117">
        <v>1</v>
      </c>
      <c r="D432" s="118">
        <f t="shared" si="89"/>
        <v>43331</v>
      </c>
      <c r="E432" s="118">
        <f t="shared" si="90"/>
        <v>43332</v>
      </c>
      <c r="F432" s="119"/>
      <c r="G432" s="123"/>
      <c r="H432" s="123"/>
      <c r="I432" s="123"/>
      <c r="J432" s="123"/>
      <c r="K432" s="123"/>
      <c r="L432" s="123"/>
    </row>
    <row r="433" spans="2:12" x14ac:dyDescent="0.3">
      <c r="B433" s="128" t="s">
        <v>215</v>
      </c>
      <c r="C433" s="117">
        <v>10</v>
      </c>
      <c r="D433" s="118">
        <f t="shared" si="89"/>
        <v>43332</v>
      </c>
      <c r="E433" s="118">
        <f t="shared" si="90"/>
        <v>43342</v>
      </c>
      <c r="F433" s="119"/>
      <c r="G433" s="123"/>
      <c r="H433" s="123"/>
      <c r="I433" s="123"/>
      <c r="J433" s="123"/>
      <c r="K433" s="123"/>
      <c r="L433" s="123"/>
    </row>
    <row r="434" spans="2:12" x14ac:dyDescent="0.3">
      <c r="B434" s="128" t="s">
        <v>204</v>
      </c>
      <c r="C434" s="117">
        <v>5</v>
      </c>
      <c r="D434" s="118">
        <f t="shared" si="89"/>
        <v>43342</v>
      </c>
      <c r="E434" s="118">
        <f t="shared" si="90"/>
        <v>43347</v>
      </c>
      <c r="F434" s="119"/>
      <c r="G434" s="123"/>
      <c r="H434" s="123"/>
      <c r="I434" s="123"/>
      <c r="J434" s="123"/>
      <c r="K434" s="123"/>
      <c r="L434" s="123"/>
    </row>
    <row r="435" spans="2:12" x14ac:dyDescent="0.3">
      <c r="B435" s="128" t="s">
        <v>216</v>
      </c>
      <c r="C435" s="117">
        <v>1</v>
      </c>
      <c r="D435" s="118">
        <f t="shared" si="89"/>
        <v>43347</v>
      </c>
      <c r="E435" s="118">
        <f t="shared" si="90"/>
        <v>43348</v>
      </c>
      <c r="F435" s="119"/>
      <c r="G435" s="123"/>
      <c r="H435" s="123"/>
      <c r="I435" s="123"/>
      <c r="J435" s="123"/>
      <c r="K435" s="123"/>
      <c r="L435" s="123"/>
    </row>
    <row r="436" spans="2:12" x14ac:dyDescent="0.3">
      <c r="B436" s="128" t="s">
        <v>217</v>
      </c>
      <c r="C436" s="117">
        <v>10</v>
      </c>
      <c r="D436" s="118">
        <f t="shared" si="89"/>
        <v>43348</v>
      </c>
      <c r="E436" s="118">
        <f t="shared" si="90"/>
        <v>43358</v>
      </c>
      <c r="F436" s="119"/>
      <c r="G436" s="123"/>
      <c r="H436" s="123"/>
      <c r="I436" s="123"/>
      <c r="J436" s="123"/>
      <c r="K436" s="123"/>
      <c r="L436" s="123"/>
    </row>
    <row r="437" spans="2:12" x14ac:dyDescent="0.3">
      <c r="B437" s="128" t="s">
        <v>218</v>
      </c>
      <c r="C437" s="117">
        <v>10</v>
      </c>
      <c r="D437" s="118">
        <f t="shared" si="89"/>
        <v>43358</v>
      </c>
      <c r="E437" s="118">
        <f t="shared" si="90"/>
        <v>43368</v>
      </c>
      <c r="F437" s="119"/>
      <c r="G437" s="123"/>
      <c r="H437" s="123"/>
      <c r="I437" s="123"/>
      <c r="J437" s="123"/>
      <c r="K437" s="123"/>
      <c r="L437" s="123"/>
    </row>
    <row r="438" spans="2:12" x14ac:dyDescent="0.3">
      <c r="B438" s="128" t="s">
        <v>211</v>
      </c>
      <c r="C438" s="97">
        <v>60</v>
      </c>
      <c r="D438" s="118">
        <f t="shared" si="89"/>
        <v>43368</v>
      </c>
      <c r="E438" s="118">
        <f t="shared" si="90"/>
        <v>43428</v>
      </c>
      <c r="F438" s="119"/>
      <c r="G438" s="123"/>
      <c r="H438" s="123"/>
      <c r="I438" s="123"/>
      <c r="J438" s="123"/>
      <c r="K438" s="123"/>
      <c r="L438" s="123"/>
    </row>
    <row r="439" spans="2:12" x14ac:dyDescent="0.3">
      <c r="B439" s="122" t="s">
        <v>276</v>
      </c>
      <c r="C439" s="97"/>
      <c r="D439" s="99"/>
      <c r="E439" s="99"/>
      <c r="F439" s="119">
        <f>'1. Detailed Budget.2 '!G65</f>
        <v>0</v>
      </c>
      <c r="G439" s="123"/>
      <c r="H439" s="123"/>
      <c r="I439" s="123"/>
      <c r="J439" s="123"/>
      <c r="K439" s="123"/>
      <c r="L439" s="129">
        <v>30000</v>
      </c>
    </row>
    <row r="440" spans="2:12" x14ac:dyDescent="0.3">
      <c r="B440" s="124" t="s">
        <v>193</v>
      </c>
      <c r="C440" s="117">
        <v>15</v>
      </c>
      <c r="D440" s="118">
        <v>43881</v>
      </c>
      <c r="E440" s="118">
        <f>+D440+C440</f>
        <v>43896</v>
      </c>
      <c r="F440" s="119"/>
      <c r="G440" s="123"/>
      <c r="H440" s="123"/>
      <c r="I440" s="123"/>
      <c r="J440" s="123"/>
      <c r="K440" s="123"/>
      <c r="L440" s="123"/>
    </row>
    <row r="441" spans="2:12" x14ac:dyDescent="0.3">
      <c r="B441" s="128" t="s">
        <v>204</v>
      </c>
      <c r="C441" s="117">
        <v>5</v>
      </c>
      <c r="D441" s="118">
        <f>+E440</f>
        <v>43896</v>
      </c>
      <c r="E441" s="118">
        <f>+D441+C441</f>
        <v>43901</v>
      </c>
      <c r="F441" s="119"/>
      <c r="G441" s="123"/>
      <c r="H441" s="123"/>
      <c r="I441" s="123"/>
      <c r="J441" s="123"/>
      <c r="K441" s="123"/>
      <c r="L441" s="123"/>
    </row>
    <row r="442" spans="2:12" x14ac:dyDescent="0.3">
      <c r="B442" s="128" t="s">
        <v>213</v>
      </c>
      <c r="C442" s="117">
        <v>10</v>
      </c>
      <c r="D442" s="118">
        <f t="shared" ref="D442:D449" si="91">+E441</f>
        <v>43901</v>
      </c>
      <c r="E442" s="118">
        <f t="shared" ref="E442:E449" si="92">+D442+C442</f>
        <v>43911</v>
      </c>
      <c r="F442" s="119"/>
      <c r="G442" s="123"/>
      <c r="H442" s="123"/>
      <c r="I442" s="123"/>
      <c r="J442" s="123"/>
      <c r="K442" s="123"/>
      <c r="L442" s="123"/>
    </row>
    <row r="443" spans="2:12" x14ac:dyDescent="0.3">
      <c r="B443" s="128" t="s">
        <v>214</v>
      </c>
      <c r="C443" s="117">
        <v>1</v>
      </c>
      <c r="D443" s="118">
        <f t="shared" si="91"/>
        <v>43911</v>
      </c>
      <c r="E443" s="118">
        <f t="shared" si="92"/>
        <v>43912</v>
      </c>
      <c r="F443" s="119"/>
      <c r="G443" s="123"/>
      <c r="H443" s="123"/>
      <c r="I443" s="123"/>
      <c r="J443" s="123"/>
      <c r="K443" s="123"/>
      <c r="L443" s="123"/>
    </row>
    <row r="444" spans="2:12" x14ac:dyDescent="0.3">
      <c r="B444" s="128" t="s">
        <v>215</v>
      </c>
      <c r="C444" s="117">
        <v>10</v>
      </c>
      <c r="D444" s="118">
        <f t="shared" si="91"/>
        <v>43912</v>
      </c>
      <c r="E444" s="118">
        <f t="shared" si="92"/>
        <v>43922</v>
      </c>
      <c r="F444" s="119"/>
      <c r="G444" s="123"/>
      <c r="H444" s="123"/>
      <c r="I444" s="123"/>
      <c r="J444" s="123"/>
      <c r="K444" s="123"/>
      <c r="L444" s="123"/>
    </row>
    <row r="445" spans="2:12" x14ac:dyDescent="0.3">
      <c r="B445" s="128" t="s">
        <v>204</v>
      </c>
      <c r="C445" s="117">
        <v>5</v>
      </c>
      <c r="D445" s="118">
        <f t="shared" si="91"/>
        <v>43922</v>
      </c>
      <c r="E445" s="118">
        <f t="shared" si="92"/>
        <v>43927</v>
      </c>
      <c r="F445" s="119"/>
      <c r="G445" s="123"/>
      <c r="H445" s="123"/>
      <c r="I445" s="123"/>
      <c r="J445" s="123"/>
      <c r="K445" s="123"/>
      <c r="L445" s="123"/>
    </row>
    <row r="446" spans="2:12" x14ac:dyDescent="0.3">
      <c r="B446" s="128" t="s">
        <v>216</v>
      </c>
      <c r="C446" s="117">
        <v>1</v>
      </c>
      <c r="D446" s="118">
        <f t="shared" si="91"/>
        <v>43927</v>
      </c>
      <c r="E446" s="118">
        <f t="shared" si="92"/>
        <v>43928</v>
      </c>
      <c r="F446" s="119"/>
      <c r="G446" s="123"/>
      <c r="H446" s="123"/>
      <c r="I446" s="123"/>
      <c r="J446" s="123"/>
      <c r="K446" s="123"/>
      <c r="L446" s="123"/>
    </row>
    <row r="447" spans="2:12" x14ac:dyDescent="0.3">
      <c r="B447" s="128" t="s">
        <v>217</v>
      </c>
      <c r="C447" s="117">
        <v>10</v>
      </c>
      <c r="D447" s="118">
        <f t="shared" si="91"/>
        <v>43928</v>
      </c>
      <c r="E447" s="118">
        <f t="shared" si="92"/>
        <v>43938</v>
      </c>
      <c r="F447" s="119"/>
      <c r="G447" s="123"/>
      <c r="H447" s="123"/>
      <c r="I447" s="123"/>
      <c r="J447" s="123"/>
      <c r="K447" s="123"/>
      <c r="L447" s="123"/>
    </row>
    <row r="448" spans="2:12" x14ac:dyDescent="0.3">
      <c r="B448" s="128" t="s">
        <v>218</v>
      </c>
      <c r="C448" s="117">
        <v>10</v>
      </c>
      <c r="D448" s="118">
        <f t="shared" si="91"/>
        <v>43938</v>
      </c>
      <c r="E448" s="118">
        <f t="shared" si="92"/>
        <v>43948</v>
      </c>
      <c r="F448" s="119"/>
      <c r="G448" s="123"/>
      <c r="H448" s="123"/>
      <c r="I448" s="123"/>
      <c r="J448" s="123"/>
      <c r="K448" s="123"/>
      <c r="L448" s="123"/>
    </row>
    <row r="449" spans="2:12" x14ac:dyDescent="0.3">
      <c r="B449" s="128" t="s">
        <v>211</v>
      </c>
      <c r="C449" s="97">
        <v>60</v>
      </c>
      <c r="D449" s="118">
        <f t="shared" si="91"/>
        <v>43948</v>
      </c>
      <c r="E449" s="118">
        <f t="shared" si="92"/>
        <v>44008</v>
      </c>
      <c r="F449" s="119"/>
      <c r="G449" s="123"/>
      <c r="H449" s="129"/>
      <c r="I449" s="129"/>
      <c r="J449" s="129"/>
      <c r="K449" s="129"/>
      <c r="L449" s="129"/>
    </row>
    <row r="450" spans="2:12" x14ac:dyDescent="0.3">
      <c r="B450" s="122" t="s">
        <v>219</v>
      </c>
      <c r="C450" s="97"/>
      <c r="D450" s="99"/>
      <c r="E450" s="99"/>
      <c r="F450" s="119">
        <f>'1. Detailed Budget.2 '!G67</f>
        <v>0</v>
      </c>
      <c r="G450" s="123"/>
      <c r="H450" s="123"/>
      <c r="I450" s="123"/>
      <c r="J450" s="123"/>
      <c r="K450" s="123"/>
      <c r="L450" s="129">
        <v>30000</v>
      </c>
    </row>
    <row r="451" spans="2:12" x14ac:dyDescent="0.3">
      <c r="B451" s="124" t="s">
        <v>193</v>
      </c>
      <c r="C451" s="117">
        <v>15</v>
      </c>
      <c r="D451" s="118">
        <v>43881</v>
      </c>
      <c r="E451" s="118">
        <f>+D451+C451</f>
        <v>43896</v>
      </c>
      <c r="F451" s="119"/>
      <c r="G451" s="123"/>
      <c r="H451" s="123"/>
      <c r="I451" s="123"/>
      <c r="J451" s="123"/>
      <c r="K451" s="123"/>
      <c r="L451" s="123"/>
    </row>
    <row r="452" spans="2:12" x14ac:dyDescent="0.3">
      <c r="B452" s="128" t="s">
        <v>204</v>
      </c>
      <c r="C452" s="117">
        <v>5</v>
      </c>
      <c r="D452" s="118">
        <f>+E451</f>
        <v>43896</v>
      </c>
      <c r="E452" s="118">
        <f>+D452+C452</f>
        <v>43901</v>
      </c>
      <c r="F452" s="119"/>
      <c r="G452" s="123"/>
      <c r="H452" s="123"/>
      <c r="I452" s="123"/>
      <c r="J452" s="123"/>
      <c r="K452" s="123"/>
      <c r="L452" s="123"/>
    </row>
    <row r="453" spans="2:12" x14ac:dyDescent="0.3">
      <c r="B453" s="128" t="s">
        <v>213</v>
      </c>
      <c r="C453" s="117">
        <v>10</v>
      </c>
      <c r="D453" s="118">
        <f t="shared" ref="D453:D460" si="93">+E452</f>
        <v>43901</v>
      </c>
      <c r="E453" s="118">
        <f t="shared" ref="E453:E460" si="94">+D453+C453</f>
        <v>43911</v>
      </c>
      <c r="F453" s="119"/>
      <c r="G453" s="123"/>
      <c r="H453" s="123"/>
      <c r="I453" s="123"/>
      <c r="J453" s="123"/>
      <c r="K453" s="123"/>
      <c r="L453" s="123"/>
    </row>
    <row r="454" spans="2:12" x14ac:dyDescent="0.3">
      <c r="B454" s="128" t="s">
        <v>214</v>
      </c>
      <c r="C454" s="117">
        <v>1</v>
      </c>
      <c r="D454" s="118">
        <f t="shared" si="93"/>
        <v>43911</v>
      </c>
      <c r="E454" s="118">
        <f t="shared" si="94"/>
        <v>43912</v>
      </c>
      <c r="F454" s="119"/>
      <c r="G454" s="123"/>
      <c r="H454" s="123"/>
      <c r="I454" s="123"/>
      <c r="J454" s="123"/>
      <c r="K454" s="123"/>
      <c r="L454" s="123"/>
    </row>
    <row r="455" spans="2:12" x14ac:dyDescent="0.3">
      <c r="B455" s="128" t="s">
        <v>215</v>
      </c>
      <c r="C455" s="117">
        <v>10</v>
      </c>
      <c r="D455" s="118">
        <f t="shared" si="93"/>
        <v>43912</v>
      </c>
      <c r="E455" s="118">
        <f t="shared" si="94"/>
        <v>43922</v>
      </c>
      <c r="F455" s="119"/>
      <c r="G455" s="123"/>
      <c r="H455" s="123"/>
      <c r="I455" s="123"/>
      <c r="J455" s="123"/>
      <c r="K455" s="123"/>
      <c r="L455" s="123"/>
    </row>
    <row r="456" spans="2:12" x14ac:dyDescent="0.3">
      <c r="B456" s="128" t="s">
        <v>204</v>
      </c>
      <c r="C456" s="117">
        <v>5</v>
      </c>
      <c r="D456" s="118">
        <f t="shared" si="93"/>
        <v>43922</v>
      </c>
      <c r="E456" s="118">
        <f t="shared" si="94"/>
        <v>43927</v>
      </c>
      <c r="F456" s="119"/>
      <c r="G456" s="123"/>
      <c r="H456" s="123"/>
      <c r="I456" s="123"/>
      <c r="J456" s="123"/>
      <c r="K456" s="123"/>
      <c r="L456" s="123"/>
    </row>
    <row r="457" spans="2:12" x14ac:dyDescent="0.3">
      <c r="B457" s="128" t="s">
        <v>216</v>
      </c>
      <c r="C457" s="117">
        <v>1</v>
      </c>
      <c r="D457" s="118">
        <f t="shared" si="93"/>
        <v>43927</v>
      </c>
      <c r="E457" s="118">
        <f t="shared" si="94"/>
        <v>43928</v>
      </c>
      <c r="F457" s="119"/>
      <c r="G457" s="123"/>
      <c r="H457" s="123"/>
      <c r="I457" s="123"/>
      <c r="J457" s="123"/>
      <c r="K457" s="123"/>
      <c r="L457" s="123"/>
    </row>
    <row r="458" spans="2:12" x14ac:dyDescent="0.3">
      <c r="B458" s="128" t="s">
        <v>217</v>
      </c>
      <c r="C458" s="117">
        <v>10</v>
      </c>
      <c r="D458" s="118">
        <f t="shared" si="93"/>
        <v>43928</v>
      </c>
      <c r="E458" s="118">
        <f t="shared" si="94"/>
        <v>43938</v>
      </c>
      <c r="F458" s="119"/>
      <c r="G458" s="123"/>
      <c r="H458" s="123"/>
      <c r="I458" s="123"/>
      <c r="J458" s="123"/>
      <c r="K458" s="123"/>
      <c r="L458" s="123"/>
    </row>
    <row r="459" spans="2:12" x14ac:dyDescent="0.3">
      <c r="B459" s="128" t="s">
        <v>218</v>
      </c>
      <c r="C459" s="117">
        <v>10</v>
      </c>
      <c r="D459" s="118">
        <f t="shared" si="93"/>
        <v>43938</v>
      </c>
      <c r="E459" s="118">
        <f t="shared" si="94"/>
        <v>43948</v>
      </c>
      <c r="F459" s="119"/>
      <c r="G459" s="123"/>
      <c r="H459" s="123"/>
      <c r="I459" s="123"/>
      <c r="J459" s="123"/>
      <c r="K459" s="123"/>
      <c r="L459" s="123"/>
    </row>
    <row r="460" spans="2:12" x14ac:dyDescent="0.3">
      <c r="B460" s="128" t="s">
        <v>211</v>
      </c>
      <c r="C460" s="97">
        <v>60</v>
      </c>
      <c r="D460" s="118">
        <f t="shared" si="93"/>
        <v>43948</v>
      </c>
      <c r="E460" s="118">
        <f t="shared" si="94"/>
        <v>44008</v>
      </c>
      <c r="F460" s="119"/>
      <c r="G460" s="123"/>
      <c r="H460" s="129"/>
      <c r="I460" s="129"/>
      <c r="J460" s="129"/>
      <c r="K460" s="129"/>
      <c r="L460" s="129"/>
    </row>
    <row r="461" spans="2:12" x14ac:dyDescent="0.3">
      <c r="B461" s="172" t="s">
        <v>220</v>
      </c>
      <c r="C461" s="97"/>
      <c r="D461" s="99"/>
      <c r="E461" s="99"/>
      <c r="F461" s="171">
        <v>250000</v>
      </c>
      <c r="G461" s="123"/>
      <c r="H461" s="130">
        <v>50000</v>
      </c>
      <c r="I461" s="129">
        <v>50000</v>
      </c>
      <c r="J461" s="129">
        <v>50000</v>
      </c>
      <c r="K461" s="129">
        <v>50000</v>
      </c>
      <c r="L461" s="129">
        <v>50000</v>
      </c>
    </row>
    <row r="462" spans="2:12" x14ac:dyDescent="0.3">
      <c r="B462" s="124" t="s">
        <v>193</v>
      </c>
      <c r="C462" s="105">
        <v>10</v>
      </c>
      <c r="D462" s="131">
        <v>42653</v>
      </c>
      <c r="E462" s="131">
        <f>+C462+D462</f>
        <v>42663</v>
      </c>
      <c r="F462" s="119"/>
      <c r="G462" s="123"/>
      <c r="H462" s="123"/>
      <c r="I462" s="123"/>
      <c r="J462" s="123"/>
      <c r="K462" s="123"/>
      <c r="L462" s="123"/>
    </row>
    <row r="463" spans="2:12" x14ac:dyDescent="0.3">
      <c r="B463" s="128" t="s">
        <v>204</v>
      </c>
      <c r="C463" s="132">
        <v>5</v>
      </c>
      <c r="D463" s="131">
        <f>+E462</f>
        <v>42663</v>
      </c>
      <c r="E463" s="131">
        <f t="shared" ref="E463:E470" si="95">+C463+D463</f>
        <v>42668</v>
      </c>
      <c r="F463" s="119"/>
      <c r="G463" s="123"/>
      <c r="H463" s="123"/>
      <c r="I463" s="123"/>
      <c r="J463" s="123"/>
      <c r="K463" s="123"/>
      <c r="L463" s="123"/>
    </row>
    <row r="464" spans="2:12" x14ac:dyDescent="0.3">
      <c r="B464" s="128" t="s">
        <v>213</v>
      </c>
      <c r="C464" s="105">
        <v>30</v>
      </c>
      <c r="D464" s="131">
        <f t="shared" ref="D464:D470" si="96">+E463</f>
        <v>42668</v>
      </c>
      <c r="E464" s="131">
        <f t="shared" si="95"/>
        <v>42698</v>
      </c>
      <c r="F464" s="119"/>
      <c r="G464" s="123"/>
      <c r="H464" s="123"/>
      <c r="I464" s="123"/>
      <c r="J464" s="123"/>
      <c r="K464" s="123"/>
      <c r="L464" s="123"/>
    </row>
    <row r="465" spans="2:12" x14ac:dyDescent="0.3">
      <c r="B465" s="128" t="s">
        <v>214</v>
      </c>
      <c r="C465" s="105">
        <v>1</v>
      </c>
      <c r="D465" s="131">
        <f t="shared" si="96"/>
        <v>42698</v>
      </c>
      <c r="E465" s="131">
        <f t="shared" si="95"/>
        <v>42699</v>
      </c>
      <c r="F465" s="119"/>
      <c r="G465" s="123"/>
      <c r="H465" s="123"/>
      <c r="I465" s="123"/>
      <c r="J465" s="123"/>
      <c r="K465" s="123"/>
      <c r="L465" s="123"/>
    </row>
    <row r="466" spans="2:12" x14ac:dyDescent="0.3">
      <c r="B466" s="128" t="s">
        <v>215</v>
      </c>
      <c r="C466" s="105">
        <v>10</v>
      </c>
      <c r="D466" s="131">
        <f t="shared" si="96"/>
        <v>42699</v>
      </c>
      <c r="E466" s="131">
        <f t="shared" si="95"/>
        <v>42709</v>
      </c>
      <c r="F466" s="119"/>
      <c r="G466" s="123"/>
      <c r="H466" s="123"/>
      <c r="I466" s="123"/>
      <c r="J466" s="123"/>
      <c r="K466" s="123"/>
      <c r="L466" s="123"/>
    </row>
    <row r="467" spans="2:12" x14ac:dyDescent="0.3">
      <c r="B467" s="128" t="s">
        <v>204</v>
      </c>
      <c r="C467" s="105">
        <v>5</v>
      </c>
      <c r="D467" s="131">
        <f t="shared" si="96"/>
        <v>42709</v>
      </c>
      <c r="E467" s="131">
        <f t="shared" si="95"/>
        <v>42714</v>
      </c>
      <c r="F467" s="119"/>
      <c r="G467" s="123"/>
      <c r="H467" s="123"/>
      <c r="I467" s="123"/>
      <c r="J467" s="123"/>
      <c r="K467" s="123"/>
      <c r="L467" s="123"/>
    </row>
    <row r="468" spans="2:12" x14ac:dyDescent="0.3">
      <c r="B468" s="128" t="s">
        <v>216</v>
      </c>
      <c r="C468" s="105">
        <v>1</v>
      </c>
      <c r="D468" s="131">
        <f t="shared" si="96"/>
        <v>42714</v>
      </c>
      <c r="E468" s="131">
        <f t="shared" si="95"/>
        <v>42715</v>
      </c>
      <c r="F468" s="119"/>
      <c r="G468" s="123"/>
      <c r="H468" s="123"/>
      <c r="I468" s="123"/>
      <c r="J468" s="123"/>
      <c r="K468" s="123"/>
      <c r="L468" s="123"/>
    </row>
    <row r="469" spans="2:12" x14ac:dyDescent="0.3">
      <c r="B469" s="128" t="s">
        <v>221</v>
      </c>
      <c r="C469" s="105">
        <v>10</v>
      </c>
      <c r="D469" s="131">
        <f t="shared" si="96"/>
        <v>42715</v>
      </c>
      <c r="E469" s="131">
        <f t="shared" si="95"/>
        <v>42725</v>
      </c>
      <c r="F469" s="119"/>
      <c r="G469" s="123"/>
      <c r="H469" s="123"/>
      <c r="I469" s="123"/>
      <c r="J469" s="123"/>
      <c r="K469" s="123"/>
      <c r="L469" s="123"/>
    </row>
    <row r="470" spans="2:12" x14ac:dyDescent="0.3">
      <c r="B470" s="128" t="s">
        <v>218</v>
      </c>
      <c r="C470" s="105">
        <v>5</v>
      </c>
      <c r="D470" s="131">
        <f t="shared" si="96"/>
        <v>42725</v>
      </c>
      <c r="E470" s="131">
        <f t="shared" si="95"/>
        <v>42730</v>
      </c>
      <c r="F470" s="119"/>
      <c r="G470" s="123"/>
      <c r="H470" s="123"/>
      <c r="I470" s="123"/>
      <c r="J470" s="123"/>
      <c r="K470" s="123"/>
      <c r="L470" s="123"/>
    </row>
    <row r="471" spans="2:12" x14ac:dyDescent="0.3">
      <c r="B471" s="133" t="s">
        <v>222</v>
      </c>
      <c r="C471" s="97"/>
      <c r="D471" s="99"/>
      <c r="E471" s="99"/>
      <c r="F471" s="171">
        <v>0</v>
      </c>
      <c r="G471" s="123"/>
      <c r="H471" s="130">
        <f>+$F$471*20%</f>
        <v>0</v>
      </c>
      <c r="I471" s="130">
        <f>+$F$471*20%</f>
        <v>0</v>
      </c>
      <c r="J471" s="130">
        <f>+$F$471*20%</f>
        <v>0</v>
      </c>
      <c r="K471" s="130">
        <f>+$F$471*20%</f>
        <v>0</v>
      </c>
      <c r="L471" s="130">
        <f>+$F$471*20%</f>
        <v>0</v>
      </c>
    </row>
    <row r="472" spans="2:12" x14ac:dyDescent="0.3">
      <c r="B472" s="133" t="s">
        <v>4</v>
      </c>
      <c r="C472" s="97"/>
      <c r="D472" s="99"/>
      <c r="E472" s="99"/>
      <c r="F472" s="119" t="e">
        <f>#REF!+#REF!+#REF!+#REF!+#REF!</f>
        <v>#REF!</v>
      </c>
      <c r="G472" s="123"/>
      <c r="H472" s="130">
        <v>10000</v>
      </c>
      <c r="I472" s="123"/>
      <c r="J472" s="123"/>
      <c r="K472" s="123"/>
      <c r="L472" s="123"/>
    </row>
    <row r="473" spans="2:12" x14ac:dyDescent="0.3">
      <c r="B473" s="102" t="s">
        <v>223</v>
      </c>
      <c r="C473" s="105">
        <v>10</v>
      </c>
      <c r="D473" s="131">
        <v>42592</v>
      </c>
      <c r="E473" s="131">
        <f t="shared" ref="E473:E479" si="97">+C473+D473</f>
        <v>42602</v>
      </c>
      <c r="F473" s="119"/>
      <c r="G473" s="123"/>
      <c r="H473" s="123"/>
      <c r="I473" s="123"/>
      <c r="J473" s="123"/>
      <c r="K473" s="123"/>
      <c r="L473" s="123"/>
    </row>
    <row r="474" spans="2:12" x14ac:dyDescent="0.3">
      <c r="B474" s="102" t="s">
        <v>204</v>
      </c>
      <c r="C474" s="132">
        <v>5</v>
      </c>
      <c r="D474" s="131">
        <f t="shared" ref="D474:D479" si="98">+E473</f>
        <v>42602</v>
      </c>
      <c r="E474" s="131">
        <f t="shared" si="97"/>
        <v>42607</v>
      </c>
      <c r="F474" s="119"/>
      <c r="G474" s="123"/>
      <c r="H474" s="123"/>
      <c r="I474" s="123"/>
      <c r="J474" s="123"/>
      <c r="K474" s="123"/>
      <c r="L474" s="123"/>
    </row>
    <row r="475" spans="2:12" x14ac:dyDescent="0.3">
      <c r="B475" s="102" t="s">
        <v>224</v>
      </c>
      <c r="C475" s="105">
        <v>10</v>
      </c>
      <c r="D475" s="131">
        <f t="shared" si="98"/>
        <v>42607</v>
      </c>
      <c r="E475" s="131">
        <f t="shared" si="97"/>
        <v>42617</v>
      </c>
      <c r="F475" s="119"/>
      <c r="G475" s="123"/>
      <c r="H475" s="123"/>
      <c r="I475" s="123"/>
      <c r="J475" s="123"/>
      <c r="K475" s="123"/>
      <c r="L475" s="123"/>
    </row>
    <row r="476" spans="2:12" x14ac:dyDescent="0.3">
      <c r="B476" s="134" t="s">
        <v>225</v>
      </c>
      <c r="C476" s="105">
        <v>5</v>
      </c>
      <c r="D476" s="131">
        <f t="shared" si="98"/>
        <v>42617</v>
      </c>
      <c r="E476" s="131">
        <f t="shared" si="97"/>
        <v>42622</v>
      </c>
      <c r="F476" s="119"/>
      <c r="G476" s="123"/>
      <c r="H476" s="123"/>
      <c r="I476" s="123"/>
      <c r="J476" s="123"/>
      <c r="K476" s="123"/>
      <c r="L476" s="123"/>
    </row>
    <row r="477" spans="2:12" x14ac:dyDescent="0.3">
      <c r="B477" s="102" t="s">
        <v>204</v>
      </c>
      <c r="C477" s="105">
        <v>5</v>
      </c>
      <c r="D477" s="131">
        <f t="shared" si="98"/>
        <v>42622</v>
      </c>
      <c r="E477" s="131">
        <f t="shared" si="97"/>
        <v>42627</v>
      </c>
      <c r="F477" s="119"/>
      <c r="G477" s="123"/>
      <c r="H477" s="123"/>
      <c r="I477" s="123"/>
      <c r="J477" s="123"/>
      <c r="K477" s="123"/>
      <c r="L477" s="123"/>
    </row>
    <row r="478" spans="2:12" x14ac:dyDescent="0.3">
      <c r="B478" s="102" t="s">
        <v>226</v>
      </c>
      <c r="C478" s="105">
        <v>5</v>
      </c>
      <c r="D478" s="131">
        <f t="shared" si="98"/>
        <v>42627</v>
      </c>
      <c r="E478" s="131">
        <f t="shared" si="97"/>
        <v>42632</v>
      </c>
      <c r="F478" s="119"/>
      <c r="G478" s="123"/>
      <c r="H478" s="123"/>
      <c r="I478" s="123"/>
      <c r="J478" s="123"/>
      <c r="K478" s="123"/>
      <c r="L478" s="123"/>
    </row>
    <row r="479" spans="2:12" x14ac:dyDescent="0.3">
      <c r="B479" s="102" t="s">
        <v>227</v>
      </c>
      <c r="C479" s="105">
        <v>30</v>
      </c>
      <c r="D479" s="131">
        <f t="shared" si="98"/>
        <v>42632</v>
      </c>
      <c r="E479" s="131">
        <f t="shared" si="97"/>
        <v>42662</v>
      </c>
      <c r="F479" s="119"/>
      <c r="G479" s="123"/>
      <c r="H479" s="123"/>
      <c r="I479" s="123"/>
      <c r="J479" s="123"/>
      <c r="K479" s="123"/>
      <c r="L479" s="123"/>
    </row>
    <row r="480" spans="2:12" ht="18" x14ac:dyDescent="0.35">
      <c r="B480" s="135" t="s">
        <v>228</v>
      </c>
      <c r="C480" s="136"/>
      <c r="D480" s="137"/>
      <c r="E480" s="137"/>
      <c r="F480" s="138" t="e">
        <f>+F10+F107+F299+F405</f>
        <v>#REF!</v>
      </c>
      <c r="G480" s="138" t="e">
        <f>+#REF!+G10</f>
        <v>#REF!</v>
      </c>
      <c r="H480" s="138" t="e">
        <f>+#REF!+H10</f>
        <v>#REF!</v>
      </c>
      <c r="I480" s="138" t="e">
        <f>+#REF!+I10</f>
        <v>#REF!</v>
      </c>
      <c r="J480" s="138" t="e">
        <f>+#REF!+J10</f>
        <v>#REF!</v>
      </c>
      <c r="K480" s="138" t="e">
        <f>+#REF!+K10</f>
        <v>#REF!</v>
      </c>
      <c r="L480" s="138" t="e">
        <f>+#REF!+L10</f>
        <v>#REF!</v>
      </c>
    </row>
    <row r="481" spans="2:12" ht="15.6" x14ac:dyDescent="0.3">
      <c r="F481" s="141"/>
      <c r="H481" s="142" t="e">
        <f>+H480/F480</f>
        <v>#REF!</v>
      </c>
      <c r="I481" s="142" t="e">
        <f>+I480/F480</f>
        <v>#REF!</v>
      </c>
      <c r="J481" s="142" t="e">
        <f>+J480/F480</f>
        <v>#REF!</v>
      </c>
      <c r="K481" s="142" t="e">
        <f>+K480/F480</f>
        <v>#REF!</v>
      </c>
      <c r="L481" s="142" t="e">
        <f>+L480/F480</f>
        <v>#REF!</v>
      </c>
    </row>
    <row r="483" spans="2:12" x14ac:dyDescent="0.3">
      <c r="B483" s="92"/>
    </row>
    <row r="484" spans="2:12" x14ac:dyDescent="0.3">
      <c r="B484" s="92"/>
    </row>
    <row r="485" spans="2:12" x14ac:dyDescent="0.3">
      <c r="F485" s="143"/>
    </row>
  </sheetData>
  <mergeCells count="3">
    <mergeCell ref="A1:E1"/>
    <mergeCell ref="A2:E2"/>
    <mergeCell ref="A3:E3"/>
  </mergeCells>
  <pageMargins left="0.23622047244094491" right="0.23622047244094491" top="0.74803149606299213" bottom="0.74803149606299213" header="0.31496062992125984" footer="0.31496062992125984"/>
  <pageSetup scale="82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4"/>
  <sheetViews>
    <sheetView zoomScale="80" zoomScaleNormal="80" workbookViewId="0">
      <selection activeCell="H28" sqref="H28"/>
    </sheetView>
  </sheetViews>
  <sheetFormatPr defaultColWidth="9" defaultRowHeight="14.4" x14ac:dyDescent="0.3"/>
  <cols>
    <col min="1" max="1" width="28.19921875" style="3" customWidth="1"/>
    <col min="2" max="2" width="15.19921875" style="3" customWidth="1"/>
    <col min="3" max="3" width="14.5" style="3" customWidth="1"/>
    <col min="4" max="4" width="12.19921875" style="3" customWidth="1"/>
    <col min="5" max="16384" width="9" style="3"/>
  </cols>
  <sheetData>
    <row r="1" spans="1:5" ht="28.8" x14ac:dyDescent="0.3">
      <c r="A1" s="52" t="s">
        <v>25</v>
      </c>
      <c r="B1" s="53" t="s">
        <v>42</v>
      </c>
      <c r="C1" s="53" t="s">
        <v>43</v>
      </c>
      <c r="D1" s="53" t="s">
        <v>44</v>
      </c>
      <c r="E1" s="54"/>
    </row>
    <row r="2" spans="1:5" x14ac:dyDescent="0.3">
      <c r="A2" s="54" t="s">
        <v>45</v>
      </c>
      <c r="B2" s="55">
        <f>454*22</f>
        <v>9988</v>
      </c>
      <c r="C2" s="55">
        <f>625*22</f>
        <v>13750</v>
      </c>
      <c r="D2" s="55">
        <f>C2*1.2</f>
        <v>16500</v>
      </c>
      <c r="E2" s="54"/>
    </row>
    <row r="3" spans="1:5" x14ac:dyDescent="0.3">
      <c r="A3" s="54" t="s">
        <v>46</v>
      </c>
      <c r="B3" s="55">
        <f>140*22</f>
        <v>3080</v>
      </c>
      <c r="C3" s="55"/>
      <c r="D3" s="55">
        <f>C3*1.25</f>
        <v>0</v>
      </c>
      <c r="E3" s="54"/>
    </row>
    <row r="4" spans="1:5" x14ac:dyDescent="0.3">
      <c r="A4" s="54" t="s">
        <v>47</v>
      </c>
      <c r="B4" s="55">
        <f>600*22</f>
        <v>13200</v>
      </c>
      <c r="C4" s="55">
        <f>771*22</f>
        <v>16962</v>
      </c>
      <c r="D4" s="55">
        <f>C4*1.2</f>
        <v>20354.399999999998</v>
      </c>
      <c r="E4" s="54">
        <f>E2+E3</f>
        <v>0</v>
      </c>
    </row>
    <row r="5" spans="1:5" x14ac:dyDescent="0.3">
      <c r="A5" s="54" t="s">
        <v>48</v>
      </c>
      <c r="B5" s="55">
        <f>454*22</f>
        <v>9988</v>
      </c>
      <c r="C5" s="55">
        <f>625*22</f>
        <v>13750</v>
      </c>
      <c r="D5" s="55">
        <f>C5*1.2</f>
        <v>16500</v>
      </c>
      <c r="E5" s="54"/>
    </row>
    <row r="6" spans="1:5" x14ac:dyDescent="0.3">
      <c r="A6" s="54" t="s">
        <v>49</v>
      </c>
      <c r="B6" s="55">
        <v>3500</v>
      </c>
      <c r="C6" s="55"/>
      <c r="D6" s="55"/>
      <c r="E6" s="54"/>
    </row>
    <row r="7" spans="1:5" x14ac:dyDescent="0.3">
      <c r="A7" s="56" t="s">
        <v>50</v>
      </c>
      <c r="B7" s="55">
        <v>1500</v>
      </c>
      <c r="C7" s="55"/>
      <c r="D7" s="54"/>
      <c r="E7" s="54"/>
    </row>
    <row r="8" spans="1:5" x14ac:dyDescent="0.3">
      <c r="A8" s="54" t="s">
        <v>51</v>
      </c>
      <c r="B8" s="55">
        <f>B3*1.25</f>
        <v>3850</v>
      </c>
      <c r="C8" s="55"/>
      <c r="D8" s="55">
        <f>B8*1.2</f>
        <v>4620</v>
      </c>
      <c r="E8" s="54"/>
    </row>
    <row r="9" spans="1:5" x14ac:dyDescent="0.3">
      <c r="A9" s="54" t="s">
        <v>52</v>
      </c>
      <c r="B9" s="55">
        <v>400</v>
      </c>
      <c r="C9" s="55"/>
      <c r="D9" s="54"/>
      <c r="E9" s="54"/>
    </row>
    <row r="10" spans="1:5" x14ac:dyDescent="0.3">
      <c r="A10" s="54"/>
      <c r="B10" s="55"/>
      <c r="C10" s="55"/>
      <c r="D10" s="54"/>
      <c r="E10" s="54"/>
    </row>
    <row r="11" spans="1:5" x14ac:dyDescent="0.3">
      <c r="A11" s="57" t="s">
        <v>53</v>
      </c>
      <c r="B11" s="58">
        <v>50000</v>
      </c>
      <c r="C11" s="58"/>
      <c r="D11" s="58"/>
      <c r="E11" s="59"/>
    </row>
    <row r="12" spans="1:5" x14ac:dyDescent="0.3">
      <c r="A12" s="57" t="s">
        <v>54</v>
      </c>
      <c r="B12" s="58">
        <v>65500</v>
      </c>
      <c r="C12" s="58" t="s">
        <v>55</v>
      </c>
      <c r="D12" s="58"/>
      <c r="E12" s="59"/>
    </row>
    <row r="13" spans="1:5" x14ac:dyDescent="0.3">
      <c r="A13" s="57" t="s">
        <v>56</v>
      </c>
      <c r="B13" s="58">
        <v>300000</v>
      </c>
      <c r="C13" s="58"/>
      <c r="D13" s="60"/>
      <c r="E13" s="59"/>
    </row>
    <row r="14" spans="1:5" x14ac:dyDescent="0.3">
      <c r="A14" s="57" t="s">
        <v>57</v>
      </c>
      <c r="B14" s="58">
        <v>30000</v>
      </c>
      <c r="C14" s="58"/>
      <c r="D14" s="60"/>
      <c r="E14" s="59"/>
    </row>
    <row r="15" spans="1:5" x14ac:dyDescent="0.3">
      <c r="A15" s="57" t="s">
        <v>58</v>
      </c>
      <c r="B15" s="58">
        <v>100000</v>
      </c>
      <c r="C15" s="58"/>
      <c r="D15" s="58"/>
      <c r="E15" s="59"/>
    </row>
    <row r="16" spans="1:5" x14ac:dyDescent="0.3">
      <c r="A16" s="57" t="s">
        <v>59</v>
      </c>
      <c r="B16" s="58">
        <v>60000</v>
      </c>
      <c r="C16" s="58"/>
      <c r="D16" s="58"/>
      <c r="E16" s="59"/>
    </row>
    <row r="17" spans="1:5" x14ac:dyDescent="0.3">
      <c r="A17" s="57" t="s">
        <v>60</v>
      </c>
      <c r="B17" s="58">
        <v>15000</v>
      </c>
      <c r="C17" s="58" t="s">
        <v>61</v>
      </c>
      <c r="D17" s="58"/>
      <c r="E17" s="59"/>
    </row>
    <row r="18" spans="1:5" x14ac:dyDescent="0.3">
      <c r="A18" s="57" t="s">
        <v>62</v>
      </c>
      <c r="B18" s="58">
        <v>1500</v>
      </c>
      <c r="C18" s="58"/>
      <c r="D18" s="58"/>
      <c r="E18" s="59"/>
    </row>
    <row r="19" spans="1:5" x14ac:dyDescent="0.3">
      <c r="A19" s="57" t="s">
        <v>63</v>
      </c>
      <c r="B19" s="58">
        <v>13000</v>
      </c>
      <c r="C19" s="58"/>
      <c r="D19" s="60"/>
      <c r="E19" s="59"/>
    </row>
    <row r="20" spans="1:5" x14ac:dyDescent="0.3">
      <c r="A20" s="57" t="s">
        <v>64</v>
      </c>
      <c r="B20" s="58">
        <v>200000</v>
      </c>
      <c r="C20" s="58"/>
      <c r="D20" s="60"/>
      <c r="E20" s="59"/>
    </row>
    <row r="21" spans="1:5" x14ac:dyDescent="0.3">
      <c r="A21" s="57" t="s">
        <v>65</v>
      </c>
      <c r="B21" s="58">
        <v>200000</v>
      </c>
      <c r="C21" s="58"/>
      <c r="D21" s="58"/>
      <c r="E21" s="59"/>
    </row>
    <row r="22" spans="1:5" x14ac:dyDescent="0.3">
      <c r="A22" s="57" t="s">
        <v>66</v>
      </c>
      <c r="B22" s="58">
        <v>300000</v>
      </c>
      <c r="C22" s="58"/>
      <c r="D22" s="58"/>
      <c r="E22" s="59"/>
    </row>
    <row r="23" spans="1:5" ht="28.8" x14ac:dyDescent="0.3">
      <c r="A23" s="57" t="s">
        <v>67</v>
      </c>
      <c r="B23" s="58">
        <v>800000</v>
      </c>
      <c r="C23" s="58"/>
      <c r="D23" s="58"/>
      <c r="E23" s="59"/>
    </row>
    <row r="24" spans="1:5" x14ac:dyDescent="0.3">
      <c r="A24" s="57" t="s">
        <v>68</v>
      </c>
      <c r="B24" s="58">
        <v>1000</v>
      </c>
      <c r="C24" s="58"/>
      <c r="D24" s="58"/>
      <c r="E24" s="59"/>
    </row>
    <row r="25" spans="1:5" ht="43.2" x14ac:dyDescent="0.3">
      <c r="A25" s="57" t="s">
        <v>69</v>
      </c>
      <c r="B25" s="58">
        <v>520000</v>
      </c>
      <c r="C25" s="58"/>
      <c r="D25" s="58"/>
      <c r="E25" s="59"/>
    </row>
    <row r="26" spans="1:5" ht="19.2" customHeight="1" x14ac:dyDescent="0.3">
      <c r="A26" s="57" t="s">
        <v>70</v>
      </c>
      <c r="B26" s="58">
        <v>150000</v>
      </c>
      <c r="C26" s="58"/>
      <c r="D26" s="58"/>
      <c r="E26" s="59"/>
    </row>
    <row r="27" spans="1:5" x14ac:dyDescent="0.3">
      <c r="A27" s="61" t="s">
        <v>71</v>
      </c>
      <c r="B27" s="60">
        <v>2000</v>
      </c>
      <c r="C27" s="59"/>
      <c r="D27" s="59"/>
      <c r="E27" s="59"/>
    </row>
    <row r="28" spans="1:5" x14ac:dyDescent="0.3">
      <c r="A28" s="61" t="s">
        <v>72</v>
      </c>
      <c r="B28" s="60">
        <v>18000</v>
      </c>
      <c r="C28" s="59"/>
      <c r="D28" s="59"/>
      <c r="E28" s="59"/>
    </row>
    <row r="29" spans="1:5" x14ac:dyDescent="0.3">
      <c r="A29" s="61" t="s">
        <v>73</v>
      </c>
      <c r="B29" s="60">
        <v>8000</v>
      </c>
      <c r="C29" s="59"/>
      <c r="D29" s="59"/>
      <c r="E29" s="59"/>
    </row>
    <row r="30" spans="1:5" x14ac:dyDescent="0.3">
      <c r="A30" s="61" t="s">
        <v>74</v>
      </c>
      <c r="B30" s="60">
        <v>7</v>
      </c>
      <c r="C30" s="59"/>
      <c r="D30" s="59"/>
      <c r="E30" s="59"/>
    </row>
    <row r="31" spans="1:5" x14ac:dyDescent="0.3">
      <c r="A31" s="61" t="s">
        <v>75</v>
      </c>
      <c r="B31" s="60">
        <v>2000</v>
      </c>
      <c r="C31" s="59"/>
      <c r="D31" s="59"/>
      <c r="E31" s="59"/>
    </row>
    <row r="32" spans="1:5" x14ac:dyDescent="0.3">
      <c r="A32" s="61" t="s">
        <v>76</v>
      </c>
      <c r="B32" s="60">
        <v>40</v>
      </c>
      <c r="C32" s="54"/>
      <c r="D32" s="54"/>
      <c r="E32" s="54"/>
    </row>
    <row r="33" spans="1:2" x14ac:dyDescent="0.3">
      <c r="A33" s="61" t="s">
        <v>77</v>
      </c>
      <c r="B33" s="60">
        <v>20</v>
      </c>
    </row>
    <row r="34" spans="1:2" x14ac:dyDescent="0.3">
      <c r="A34" s="61" t="s">
        <v>78</v>
      </c>
      <c r="B34" s="60">
        <v>10000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1. Detailed Budget.2 </vt:lpstr>
      <vt:lpstr>1. Detailed Budget </vt:lpstr>
      <vt:lpstr>2. PEP POA</vt:lpstr>
      <vt:lpstr>3. Procurement Plan - PA</vt:lpstr>
      <vt:lpstr>4. Sintetic - PA</vt:lpstr>
      <vt:lpstr>PEP-POA preliminar</vt:lpstr>
      <vt:lpstr>Prices</vt:lpstr>
      <vt:lpstr>'2. PEP POA'!_Hlk517447872</vt:lpstr>
      <vt:lpstr>'PEP-POA preliminar'!Print_Area</vt:lpstr>
    </vt:vector>
  </TitlesOfParts>
  <Manager/>
  <Company>TotalCode Software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Reinoso</dc:creator>
  <cp:keywords/>
  <dc:description/>
  <cp:lastModifiedBy>Calvo Langdon, Ana Adela</cp:lastModifiedBy>
  <cp:revision/>
  <dcterms:created xsi:type="dcterms:W3CDTF">2013-04-08T21:46:41Z</dcterms:created>
  <dcterms:modified xsi:type="dcterms:W3CDTF">2018-09-25T17:32:44Z</dcterms:modified>
  <cp:category/>
  <cp:contentStatus/>
</cp:coreProperties>
</file>