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xl/comments4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45" windowWidth="25395" windowHeight="14625" tabRatio="678"/>
  </bookViews>
  <sheets>
    <sheet name="1_Capa" sheetId="1" r:id="rId1"/>
    <sheet name="2_Índice" sheetId="2" r:id="rId2"/>
    <sheet name="3_Comp e Produtos" sheetId="3" r:id="rId3"/>
    <sheet name="4_Componente 1" sheetId="4" r:id="rId4"/>
    <sheet name="5_Componente 2" sheetId="5" r:id="rId5"/>
    <sheet name="6_Componente 3" sheetId="13" r:id="rId6"/>
    <sheet name="7_ADM" sheetId="6" r:id="rId7"/>
    <sheet name="8_Consolidação Tipo Recurso" sheetId="7" r:id="rId8"/>
    <sheet name="9_Cronograma Físico" sheetId="8" r:id="rId9"/>
    <sheet name="10_PEP &amp; POA" sheetId="9" r:id="rId10"/>
    <sheet name="11_Orçamento Global" sheetId="10" r:id="rId11"/>
    <sheet name="12_PA" sheetId="14" r:id="rId12"/>
  </sheets>
  <definedNames>
    <definedName name="__xlnm.Print_Area_1">'1_Capa'!$A$1:$I$50</definedName>
    <definedName name="__xlnm.Print_Area_3">'3_Comp e Produtos'!$A$1:$F$25</definedName>
    <definedName name="__xlnm.Print_Area_4" localSheetId="5">'6_Componente 3'!$A$1:$W$24</definedName>
    <definedName name="__xlnm.Print_Area_4">'5_Componente 2'!$A$1:$W$24</definedName>
    <definedName name="__xlnm.Print_Area_5">'4_Componente 1'!$A$1:$W$34</definedName>
    <definedName name="__xlnm.Print_Area_6">'7_ADM'!$A$1:$AA$25</definedName>
    <definedName name="__xlnm.Print_Area_7">'8_Consolidação Tipo Recurso'!$A$1:$H$33</definedName>
    <definedName name="__xlnm.Print_Area_8">'9_Cronograma Físico'!$A$1:$Y$26</definedName>
    <definedName name="__xlnm.Print_Titles_11" localSheetId="5">#REF!</definedName>
    <definedName name="__xlnm.Print_Titles_11">#REF!</definedName>
    <definedName name="__xlnm.Print_Titles_3">'3_Comp e Produtos'!$1:$4</definedName>
    <definedName name="__xlnm.Print_Titles_4" localSheetId="5">('6_Componente 3'!$A$1:$B$65526,'6_Componente 3'!$1:$4)</definedName>
    <definedName name="__xlnm.Print_Titles_4">('5_Componente 2'!$A$1:$B$65526,'5_Componente 2'!$1:$4)</definedName>
    <definedName name="__xlnm.Print_Titles_5">('4_Componente 1'!$A$1:$B$65478,'4_Componente 1'!$A$1:$IU$4)</definedName>
    <definedName name="__xlnm.Print_Titles_6">('7_ADM'!$A:$B,'7_ADM'!$1:$4)</definedName>
    <definedName name="__xlnm.Print_Titles_8">('9_Cronograma Físico'!$A$1:$A$65527,'9_Cronograma Físico'!$1:$4)</definedName>
    <definedName name="__xlnm.Print_Titles_9">('10_PEP &amp; POA'!$A$1:$A$65518,'10_PEP &amp; POA'!$1:$3)</definedName>
    <definedName name="Cronogr_2">NA()</definedName>
    <definedName name="Excel_BuiltIn_Print_Titles_4_1">('4_Componente 1'!$A$1:$B$65478,'4_Componente 1'!$A$1:$IU$4)</definedName>
    <definedName name="Excel_BuiltIn_Print_Titles_5_1" localSheetId="5">('6_Componente 3'!$A$1:$B$65526,'6_Componente 3'!$1:$4)</definedName>
    <definedName name="Excel_BuiltIn_Print_Titles_5_1">('5_Componente 2'!$A$1:$B$65526,'5_Componente 2'!$1:$4)</definedName>
    <definedName name="Excel_BuiltIn_Print_Titles_5_1_1" localSheetId="5">('6_Componente 3'!$A$1:$B$65530,'6_Componente 3'!$1:$4)</definedName>
    <definedName name="Excel_BuiltIn_Print_Titles_5_1_1">('5_Componente 2'!$A$1:$B$65530,'5_Componente 2'!$1:$4)</definedName>
    <definedName name="Excel_BuiltIn_Print_Titles_8_1">('9_Cronograma Físico'!$A$1:$A$65527,'9_Cronograma Físico'!$1:$4)</definedName>
    <definedName name="Excel_BuiltIn_Print_Titles_9_1">('10_PEP &amp; POA'!$A$1:$A$65518,'10_PEP &amp; POA'!$1:$3)</definedName>
    <definedName name="_xlnm.Print_Area" localSheetId="0">'1_Capa'!$A$1:$I$50</definedName>
    <definedName name="_xlnm.Print_Area" localSheetId="11">'12_PA'!$A$1:$U$73</definedName>
    <definedName name="_xlnm.Print_Area" localSheetId="2">'3_Comp e Produtos'!$A$1:$F$25</definedName>
    <definedName name="_xlnm.Print_Area" localSheetId="3">'4_Componente 1'!$A$1:$W$34</definedName>
    <definedName name="_xlnm.Print_Area" localSheetId="4">'5_Componente 2'!$A$1:$W$24</definedName>
    <definedName name="_xlnm.Print_Area" localSheetId="5">'6_Componente 3'!$A$1:$W$24</definedName>
    <definedName name="_xlnm.Print_Area" localSheetId="6">'7_ADM'!$A$1:$AA$25</definedName>
    <definedName name="_xlnm.Print_Area" localSheetId="7">'8_Consolidação Tipo Recurso'!$A$1:$H$33</definedName>
    <definedName name="_xlnm.Print_Area" localSheetId="8">'9_Cronograma Físico'!$A$1:$Y$26</definedName>
    <definedName name="_xlnm.Print_Titles" localSheetId="9">'10_PEP &amp; POA'!$A:$A,'10_PEP &amp; POA'!$1:$3</definedName>
    <definedName name="_xlnm.Print_Titles" localSheetId="11">'12_PA'!$8:$9</definedName>
    <definedName name="_xlnm.Print_Titles" localSheetId="2">'3_Comp e Produtos'!$1:$4</definedName>
    <definedName name="_xlnm.Print_Titles" localSheetId="3">('4_Componente 1'!$A:$B,'4_Componente 1'!$1:$4)</definedName>
    <definedName name="_xlnm.Print_Titles" localSheetId="4">('5_Componente 2'!$A:$B,'5_Componente 2'!$1:$4)</definedName>
    <definedName name="_xlnm.Print_Titles" localSheetId="5">('6_Componente 3'!$A:$B,'6_Componente 3'!$1:$4)</definedName>
    <definedName name="_xlnm.Print_Titles" localSheetId="6">('7_ADM'!$A:$B,'7_ADM'!$1:$4)</definedName>
    <definedName name="_xlnm.Print_Titles" localSheetId="8">('9_Cronograma Físico'!$A:$A,'9_Cronograma Físico'!$1:$4)</definedName>
    <definedName name="Trimestres">"#REF!"</definedName>
  </definedNames>
  <calcPr calcId="145621" fullPrecision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2" i="10" l="1"/>
  <c r="D29" i="10"/>
  <c r="C29" i="10"/>
  <c r="B29" i="10"/>
  <c r="D23" i="10"/>
  <c r="D24" i="10"/>
  <c r="D22" i="10"/>
  <c r="B24" i="10"/>
  <c r="B22" i="10"/>
  <c r="B7" i="10"/>
  <c r="D7" i="10" s="1"/>
  <c r="B5" i="10"/>
  <c r="D6" i="10"/>
  <c r="A24" i="10"/>
  <c r="A7" i="10"/>
  <c r="A6" i="10"/>
  <c r="C11" i="10"/>
  <c r="C28" i="10" s="1"/>
  <c r="B11" i="10"/>
  <c r="B28" i="10" s="1"/>
  <c r="C10" i="10"/>
  <c r="C27" i="10" s="1"/>
  <c r="C9" i="10"/>
  <c r="C26" i="10" s="1"/>
  <c r="C25" i="10" s="1"/>
  <c r="B10" i="10"/>
  <c r="B9" i="10"/>
  <c r="B26" i="10" s="1"/>
  <c r="O21" i="9"/>
  <c r="L21" i="9"/>
  <c r="I21" i="9"/>
  <c r="F21" i="9"/>
  <c r="C21" i="9"/>
  <c r="P21" i="9"/>
  <c r="M21" i="9"/>
  <c r="J21" i="9"/>
  <c r="G21" i="9"/>
  <c r="D21" i="9"/>
  <c r="O30" i="9"/>
  <c r="M33" i="9" s="1"/>
  <c r="Q32" i="9"/>
  <c r="Q34" i="9" s="1"/>
  <c r="Q31" i="9"/>
  <c r="F14" i="9"/>
  <c r="E14" i="9" s="1"/>
  <c r="G14" i="9"/>
  <c r="O11" i="9"/>
  <c r="L11" i="9"/>
  <c r="I11" i="9"/>
  <c r="F11" i="9"/>
  <c r="C11" i="9"/>
  <c r="F10" i="9"/>
  <c r="C10" i="9"/>
  <c r="E9" i="9"/>
  <c r="AM10" i="8"/>
  <c r="AL10" i="8"/>
  <c r="AK10" i="8"/>
  <c r="AJ10" i="8"/>
  <c r="AN10" i="8"/>
  <c r="C9" i="9"/>
  <c r="B9" i="9"/>
  <c r="AH10" i="8"/>
  <c r="AG10" i="8"/>
  <c r="AI10" i="8"/>
  <c r="F6" i="9"/>
  <c r="E6" i="9"/>
  <c r="AM7" i="8"/>
  <c r="AL7" i="8"/>
  <c r="AK7" i="8"/>
  <c r="AJ7" i="8"/>
  <c r="AN7" i="8"/>
  <c r="C6" i="9"/>
  <c r="AH7" i="8"/>
  <c r="AG7" i="8"/>
  <c r="AI7" i="8"/>
  <c r="O8" i="9"/>
  <c r="L8" i="9"/>
  <c r="I8" i="9"/>
  <c r="F8" i="9"/>
  <c r="C8" i="9"/>
  <c r="B13" i="9"/>
  <c r="E13" i="9"/>
  <c r="H13" i="9"/>
  <c r="K13" i="9"/>
  <c r="N13" i="9"/>
  <c r="N25" i="9"/>
  <c r="K25" i="9"/>
  <c r="H25" i="9"/>
  <c r="E25" i="9"/>
  <c r="B25" i="9"/>
  <c r="N24" i="9"/>
  <c r="K24" i="9"/>
  <c r="M24" i="9" s="1"/>
  <c r="M23" i="9" s="1"/>
  <c r="H24" i="9"/>
  <c r="E24" i="9"/>
  <c r="G24" i="9" s="1"/>
  <c r="G23" i="9" s="1"/>
  <c r="B24" i="9"/>
  <c r="D24" i="9" s="1"/>
  <c r="R25" i="9"/>
  <c r="R23" i="9" s="1"/>
  <c r="R24" i="9"/>
  <c r="P25" i="9"/>
  <c r="P23" i="9" s="1"/>
  <c r="P24" i="9"/>
  <c r="M25" i="9"/>
  <c r="J25" i="9"/>
  <c r="J23" i="9" s="1"/>
  <c r="J24" i="9"/>
  <c r="G25" i="9"/>
  <c r="E22" i="9"/>
  <c r="G22" i="9" s="1"/>
  <c r="B22" i="9"/>
  <c r="F20" i="9"/>
  <c r="R20" i="9" s="1"/>
  <c r="E19" i="9"/>
  <c r="B19" i="9"/>
  <c r="D19" i="9" s="1"/>
  <c r="A2" i="13"/>
  <c r="N18" i="9"/>
  <c r="P18" i="9" s="1"/>
  <c r="K18" i="9"/>
  <c r="H18" i="9"/>
  <c r="J18" i="9" s="1"/>
  <c r="J17" i="9" s="1"/>
  <c r="E18" i="9"/>
  <c r="B18" i="9"/>
  <c r="D18" i="9" s="1"/>
  <c r="D17" i="9" s="1"/>
  <c r="R19" i="9"/>
  <c r="R22" i="9"/>
  <c r="R18" i="9"/>
  <c r="Q20" i="9"/>
  <c r="P19" i="9"/>
  <c r="P20" i="9"/>
  <c r="P22" i="9"/>
  <c r="M19" i="9"/>
  <c r="M20" i="9"/>
  <c r="M22" i="9"/>
  <c r="M18" i="9"/>
  <c r="M17" i="9" s="1"/>
  <c r="J19" i="9"/>
  <c r="J20" i="9"/>
  <c r="J22" i="9"/>
  <c r="G19" i="9"/>
  <c r="G18" i="9"/>
  <c r="D20" i="9"/>
  <c r="S21" i="9"/>
  <c r="D22" i="9"/>
  <c r="N16" i="9"/>
  <c r="P16" i="9" s="1"/>
  <c r="K16" i="9"/>
  <c r="H16" i="9"/>
  <c r="J16" i="9" s="1"/>
  <c r="E16" i="9"/>
  <c r="B16" i="9"/>
  <c r="D16" i="9" s="1"/>
  <c r="R14" i="9"/>
  <c r="R15" i="9"/>
  <c r="R16" i="9"/>
  <c r="E15" i="9"/>
  <c r="Q15" i="9" s="1"/>
  <c r="D14" i="9"/>
  <c r="S14" i="9" s="1"/>
  <c r="D15" i="9"/>
  <c r="D12" i="9" s="1"/>
  <c r="G16" i="9"/>
  <c r="J14" i="9"/>
  <c r="J15" i="9"/>
  <c r="M14" i="9"/>
  <c r="M15" i="9"/>
  <c r="M16" i="9"/>
  <c r="P14" i="9"/>
  <c r="P15" i="9"/>
  <c r="P13" i="9"/>
  <c r="G8" i="9"/>
  <c r="G13" i="9"/>
  <c r="D13" i="9"/>
  <c r="R7" i="9"/>
  <c r="R8" i="9"/>
  <c r="R9" i="9"/>
  <c r="R11" i="9"/>
  <c r="R6" i="9"/>
  <c r="Q9" i="9"/>
  <c r="Q11" i="9"/>
  <c r="Q6" i="9"/>
  <c r="D8" i="9"/>
  <c r="D9" i="9"/>
  <c r="G9" i="9"/>
  <c r="J7" i="9"/>
  <c r="J8" i="9"/>
  <c r="J9" i="9"/>
  <c r="J6" i="9"/>
  <c r="M7" i="9"/>
  <c r="M8" i="9"/>
  <c r="M9" i="9"/>
  <c r="M6" i="9"/>
  <c r="P7" i="9"/>
  <c r="P8" i="9"/>
  <c r="P9" i="9"/>
  <c r="P10" i="9"/>
  <c r="G6" i="9"/>
  <c r="E7" i="9"/>
  <c r="G7" i="9" s="1"/>
  <c r="B7" i="9"/>
  <c r="D7" i="9" s="1"/>
  <c r="D6" i="9"/>
  <c r="C23" i="9"/>
  <c r="F23" i="9"/>
  <c r="I23" i="9"/>
  <c r="L23" i="9"/>
  <c r="O23" i="9"/>
  <c r="A23" i="9"/>
  <c r="A25" i="9"/>
  <c r="A24" i="9"/>
  <c r="D18" i="8"/>
  <c r="B24" i="8"/>
  <c r="Y26" i="8"/>
  <c r="Y25" i="8"/>
  <c r="Y23" i="8"/>
  <c r="Y22" i="8"/>
  <c r="Y21" i="8"/>
  <c r="Y20" i="8"/>
  <c r="Y19" i="8"/>
  <c r="B6" i="8"/>
  <c r="T26" i="9"/>
  <c r="N23" i="9"/>
  <c r="H23" i="9"/>
  <c r="A22" i="9"/>
  <c r="A21" i="9"/>
  <c r="A20" i="9"/>
  <c r="A19" i="9"/>
  <c r="A18" i="9"/>
  <c r="A17" i="9"/>
  <c r="A16" i="9"/>
  <c r="A15" i="9"/>
  <c r="A14" i="9"/>
  <c r="R13" i="9"/>
  <c r="H12" i="9"/>
  <c r="A13" i="9"/>
  <c r="O12" i="9"/>
  <c r="L12" i="9"/>
  <c r="I12" i="9"/>
  <c r="F12" i="9"/>
  <c r="C12" i="9"/>
  <c r="A12" i="9"/>
  <c r="A11" i="9"/>
  <c r="A10" i="9"/>
  <c r="A9" i="9"/>
  <c r="A8" i="9"/>
  <c r="A7" i="9"/>
  <c r="A6" i="9"/>
  <c r="O5" i="9"/>
  <c r="L5" i="9"/>
  <c r="I5" i="9"/>
  <c r="F5" i="9"/>
  <c r="A5" i="9"/>
  <c r="D28" i="10"/>
  <c r="A11" i="10"/>
  <c r="A28" i="10" s="1"/>
  <c r="A10" i="10"/>
  <c r="A27" i="10" s="1"/>
  <c r="D26" i="10"/>
  <c r="A9" i="10"/>
  <c r="A26" i="10" s="1"/>
  <c r="A5" i="10"/>
  <c r="A22" i="10" s="1"/>
  <c r="D21" i="10"/>
  <c r="E12" i="10"/>
  <c r="C8" i="10"/>
  <c r="C12" i="10" s="1"/>
  <c r="F4" i="10"/>
  <c r="B4" i="10"/>
  <c r="D71" i="14"/>
  <c r="O70" i="14"/>
  <c r="P70" i="14" s="1"/>
  <c r="Q70" i="14" s="1"/>
  <c r="R70" i="14" s="1"/>
  <c r="E70" i="14"/>
  <c r="O69" i="14"/>
  <c r="P69" i="14" s="1"/>
  <c r="Q69" i="14" s="1"/>
  <c r="R69" i="14" s="1"/>
  <c r="L69" i="14"/>
  <c r="M69" i="14" s="1"/>
  <c r="K69" i="14"/>
  <c r="E69" i="14"/>
  <c r="Q68" i="14"/>
  <c r="R68" i="14" s="1"/>
  <c r="O68" i="14"/>
  <c r="P68" i="14" s="1"/>
  <c r="L68" i="14"/>
  <c r="M68" i="14" s="1"/>
  <c r="K68" i="14"/>
  <c r="E68" i="14"/>
  <c r="P67" i="14"/>
  <c r="Q67" i="14" s="1"/>
  <c r="R67" i="14" s="1"/>
  <c r="O67" i="14"/>
  <c r="K67" i="14"/>
  <c r="L67" i="14" s="1"/>
  <c r="M67" i="14" s="1"/>
  <c r="E67" i="14"/>
  <c r="P66" i="14"/>
  <c r="Q66" i="14" s="1"/>
  <c r="R66" i="14" s="1"/>
  <c r="O66" i="14"/>
  <c r="K66" i="14"/>
  <c r="L66" i="14" s="1"/>
  <c r="M66" i="14" s="1"/>
  <c r="E66" i="14"/>
  <c r="P63" i="14"/>
  <c r="Q63" i="14" s="1"/>
  <c r="R63" i="14" s="1"/>
  <c r="O63" i="14"/>
  <c r="E63" i="14"/>
  <c r="O62" i="14"/>
  <c r="P62" i="14" s="1"/>
  <c r="Q62" i="14" s="1"/>
  <c r="R62" i="14" s="1"/>
  <c r="E62" i="14"/>
  <c r="P61" i="14"/>
  <c r="Q61" i="14" s="1"/>
  <c r="R61" i="14" s="1"/>
  <c r="O61" i="14"/>
  <c r="E61" i="14"/>
  <c r="O60" i="14"/>
  <c r="P60" i="14" s="1"/>
  <c r="Q60" i="14" s="1"/>
  <c r="R60" i="14" s="1"/>
  <c r="E60" i="14"/>
  <c r="P59" i="14"/>
  <c r="Q59" i="14" s="1"/>
  <c r="R59" i="14" s="1"/>
  <c r="O59" i="14"/>
  <c r="E59" i="14"/>
  <c r="O58" i="14"/>
  <c r="P58" i="14" s="1"/>
  <c r="Q58" i="14" s="1"/>
  <c r="R58" i="14" s="1"/>
  <c r="E58" i="14"/>
  <c r="E64" i="14" s="1"/>
  <c r="P57" i="14"/>
  <c r="Q57" i="14" s="1"/>
  <c r="R57" i="14" s="1"/>
  <c r="O57" i="14"/>
  <c r="D57" i="14"/>
  <c r="D64" i="14" s="1"/>
  <c r="D54" i="14"/>
  <c r="D53" i="14"/>
  <c r="O52" i="14"/>
  <c r="P52" i="14" s="1"/>
  <c r="Q52" i="14" s="1"/>
  <c r="R52" i="14" s="1"/>
  <c r="L52" i="14"/>
  <c r="M52" i="14" s="1"/>
  <c r="K52" i="14"/>
  <c r="E52" i="14"/>
  <c r="O51" i="14"/>
  <c r="P51" i="14" s="1"/>
  <c r="Q51" i="14" s="1"/>
  <c r="R51" i="14" s="1"/>
  <c r="L51" i="14"/>
  <c r="M51" i="14" s="1"/>
  <c r="K51" i="14"/>
  <c r="E51" i="14"/>
  <c r="O50" i="14"/>
  <c r="P50" i="14" s="1"/>
  <c r="Q50" i="14" s="1"/>
  <c r="R50" i="14" s="1"/>
  <c r="E50" i="14"/>
  <c r="P49" i="14"/>
  <c r="Q49" i="14" s="1"/>
  <c r="R49" i="14" s="1"/>
  <c r="O49" i="14"/>
  <c r="E49" i="14"/>
  <c r="O48" i="14"/>
  <c r="P48" i="14" s="1"/>
  <c r="Q48" i="14" s="1"/>
  <c r="R48" i="14" s="1"/>
  <c r="L48" i="14"/>
  <c r="M48" i="14" s="1"/>
  <c r="K48" i="14"/>
  <c r="E48" i="14"/>
  <c r="O47" i="14"/>
  <c r="P47" i="14" s="1"/>
  <c r="Q47" i="14" s="1"/>
  <c r="R47" i="14" s="1"/>
  <c r="L47" i="14"/>
  <c r="M47" i="14" s="1"/>
  <c r="K47" i="14"/>
  <c r="E47" i="14"/>
  <c r="O46" i="14"/>
  <c r="P46" i="14" s="1"/>
  <c r="Q46" i="14" s="1"/>
  <c r="R46" i="14" s="1"/>
  <c r="L46" i="14"/>
  <c r="M46" i="14" s="1"/>
  <c r="K46" i="14"/>
  <c r="E46" i="14"/>
  <c r="O45" i="14"/>
  <c r="P45" i="14" s="1"/>
  <c r="Q45" i="14" s="1"/>
  <c r="R45" i="14" s="1"/>
  <c r="L45" i="14"/>
  <c r="M45" i="14" s="1"/>
  <c r="K45" i="14"/>
  <c r="E45" i="14"/>
  <c r="O44" i="14"/>
  <c r="P44" i="14" s="1"/>
  <c r="Q44" i="14" s="1"/>
  <c r="R44" i="14" s="1"/>
  <c r="L44" i="14"/>
  <c r="M44" i="14" s="1"/>
  <c r="K44" i="14"/>
  <c r="E44" i="14"/>
  <c r="O43" i="14"/>
  <c r="P43" i="14" s="1"/>
  <c r="Q43" i="14" s="1"/>
  <c r="R43" i="14" s="1"/>
  <c r="L43" i="14"/>
  <c r="M43" i="14" s="1"/>
  <c r="K43" i="14"/>
  <c r="E43" i="14"/>
  <c r="O42" i="14"/>
  <c r="P42" i="14" s="1"/>
  <c r="Q42" i="14" s="1"/>
  <c r="R42" i="14" s="1"/>
  <c r="L42" i="14"/>
  <c r="M42" i="14" s="1"/>
  <c r="K42" i="14"/>
  <c r="E42" i="14"/>
  <c r="O41" i="14"/>
  <c r="P41" i="14" s="1"/>
  <c r="Q41" i="14" s="1"/>
  <c r="R41" i="14" s="1"/>
  <c r="L41" i="14"/>
  <c r="M41" i="14" s="1"/>
  <c r="K41" i="14"/>
  <c r="D41" i="14"/>
  <c r="D40" i="14"/>
  <c r="D39" i="14"/>
  <c r="D55" i="14" s="1"/>
  <c r="O38" i="14"/>
  <c r="P38" i="14" s="1"/>
  <c r="Q38" i="14" s="1"/>
  <c r="R38" i="14" s="1"/>
  <c r="L38" i="14"/>
  <c r="M38" i="14" s="1"/>
  <c r="K38" i="14"/>
  <c r="E38" i="14"/>
  <c r="O37" i="14"/>
  <c r="P37" i="14" s="1"/>
  <c r="Q37" i="14" s="1"/>
  <c r="R37" i="14" s="1"/>
  <c r="L37" i="14"/>
  <c r="M37" i="14" s="1"/>
  <c r="K37" i="14"/>
  <c r="E37" i="14"/>
  <c r="O36" i="14"/>
  <c r="P36" i="14" s="1"/>
  <c r="Q36" i="14" s="1"/>
  <c r="R36" i="14" s="1"/>
  <c r="L36" i="14"/>
  <c r="M36" i="14" s="1"/>
  <c r="K36" i="14"/>
  <c r="E36" i="14"/>
  <c r="O35" i="14"/>
  <c r="P35" i="14" s="1"/>
  <c r="Q35" i="14" s="1"/>
  <c r="R35" i="14" s="1"/>
  <c r="L35" i="14"/>
  <c r="M35" i="14" s="1"/>
  <c r="K35" i="14"/>
  <c r="E35" i="14"/>
  <c r="O34" i="14"/>
  <c r="P34" i="14" s="1"/>
  <c r="Q34" i="14" s="1"/>
  <c r="R34" i="14" s="1"/>
  <c r="L34" i="14"/>
  <c r="M34" i="14" s="1"/>
  <c r="K34" i="14"/>
  <c r="E34" i="14"/>
  <c r="O33" i="14"/>
  <c r="P33" i="14" s="1"/>
  <c r="Q33" i="14" s="1"/>
  <c r="R33" i="14" s="1"/>
  <c r="L33" i="14"/>
  <c r="M33" i="14" s="1"/>
  <c r="K33" i="14"/>
  <c r="E33" i="14"/>
  <c r="E55" i="14" s="1"/>
  <c r="O30" i="14"/>
  <c r="P30" i="14" s="1"/>
  <c r="Q30" i="14" s="1"/>
  <c r="R30" i="14" s="1"/>
  <c r="L30" i="14"/>
  <c r="M30" i="14" s="1"/>
  <c r="K30" i="14"/>
  <c r="D30" i="14"/>
  <c r="D29" i="14"/>
  <c r="D28" i="14"/>
  <c r="D27" i="14"/>
  <c r="D26" i="14"/>
  <c r="D25" i="14"/>
  <c r="P24" i="14"/>
  <c r="Q24" i="14" s="1"/>
  <c r="R24" i="14" s="1"/>
  <c r="O24" i="14"/>
  <c r="D24" i="14"/>
  <c r="D23" i="14"/>
  <c r="P22" i="14"/>
  <c r="Q22" i="14" s="1"/>
  <c r="R22" i="14" s="1"/>
  <c r="O22" i="14"/>
  <c r="K22" i="14"/>
  <c r="L22" i="14" s="1"/>
  <c r="M22" i="14" s="1"/>
  <c r="E22" i="14"/>
  <c r="D22" i="14"/>
  <c r="O21" i="14"/>
  <c r="P21" i="14" s="1"/>
  <c r="Q21" i="14" s="1"/>
  <c r="R21" i="14" s="1"/>
  <c r="E21" i="14"/>
  <c r="P20" i="14"/>
  <c r="Q20" i="14" s="1"/>
  <c r="R20" i="14" s="1"/>
  <c r="O20" i="14"/>
  <c r="K20" i="14"/>
  <c r="L20" i="14" s="1"/>
  <c r="M20" i="14" s="1"/>
  <c r="E20" i="14"/>
  <c r="P19" i="14"/>
  <c r="Q19" i="14" s="1"/>
  <c r="R19" i="14" s="1"/>
  <c r="O19" i="14"/>
  <c r="K19" i="14"/>
  <c r="L19" i="14" s="1"/>
  <c r="M19" i="14" s="1"/>
  <c r="E19" i="14"/>
  <c r="P18" i="14"/>
  <c r="Q18" i="14" s="1"/>
  <c r="R18" i="14" s="1"/>
  <c r="O18" i="14"/>
  <c r="K18" i="14"/>
  <c r="L18" i="14" s="1"/>
  <c r="M18" i="14" s="1"/>
  <c r="E18" i="14"/>
  <c r="P17" i="14"/>
  <c r="Q17" i="14" s="1"/>
  <c r="R17" i="14" s="1"/>
  <c r="O17" i="14"/>
  <c r="K17" i="14"/>
  <c r="L17" i="14" s="1"/>
  <c r="M17" i="14" s="1"/>
  <c r="E17" i="14"/>
  <c r="P16" i="14"/>
  <c r="Q16" i="14" s="1"/>
  <c r="R16" i="14" s="1"/>
  <c r="O16" i="14"/>
  <c r="K16" i="14"/>
  <c r="L16" i="14" s="1"/>
  <c r="M16" i="14" s="1"/>
  <c r="D16" i="14"/>
  <c r="D15" i="14"/>
  <c r="D14" i="14"/>
  <c r="D31" i="14" s="1"/>
  <c r="D72" i="14" s="1"/>
  <c r="P13" i="14"/>
  <c r="Q13" i="14" s="1"/>
  <c r="R13" i="14" s="1"/>
  <c r="O13" i="14"/>
  <c r="K13" i="14"/>
  <c r="L13" i="14" s="1"/>
  <c r="M13" i="14" s="1"/>
  <c r="E13" i="14"/>
  <c r="P12" i="14"/>
  <c r="Q12" i="14" s="1"/>
  <c r="R12" i="14" s="1"/>
  <c r="O12" i="14"/>
  <c r="K12" i="14"/>
  <c r="L12" i="14" s="1"/>
  <c r="M12" i="14" s="1"/>
  <c r="E12" i="14"/>
  <c r="P11" i="14"/>
  <c r="Q11" i="14" s="1"/>
  <c r="R11" i="14" s="1"/>
  <c r="O11" i="14"/>
  <c r="K11" i="14"/>
  <c r="L11" i="14" s="1"/>
  <c r="M11" i="14" s="1"/>
  <c r="E11" i="14"/>
  <c r="E31" i="14" s="1"/>
  <c r="C25" i="3"/>
  <c r="C17" i="3"/>
  <c r="C16" i="3"/>
  <c r="C15" i="3"/>
  <c r="C13" i="3"/>
  <c r="C12" i="3"/>
  <c r="C11" i="3"/>
  <c r="C10" i="3"/>
  <c r="C9" i="3"/>
  <c r="C8" i="3"/>
  <c r="C7" i="3"/>
  <c r="C6" i="3" s="1"/>
  <c r="K32" i="4"/>
  <c r="K33" i="4" s="1"/>
  <c r="A33" i="4" s="1"/>
  <c r="D12" i="3" s="1"/>
  <c r="E12" i="3" s="1"/>
  <c r="K31" i="4"/>
  <c r="N28" i="4"/>
  <c r="O28" i="4" s="1"/>
  <c r="O31" i="4" s="1"/>
  <c r="A31" i="4" s="1"/>
  <c r="D11" i="3" s="1"/>
  <c r="E11" i="3" s="1"/>
  <c r="S27" i="4"/>
  <c r="S31" i="4" s="1"/>
  <c r="S25" i="4"/>
  <c r="G25" i="4"/>
  <c r="O24" i="4"/>
  <c r="O23" i="4"/>
  <c r="O22" i="4"/>
  <c r="O21" i="4"/>
  <c r="O20" i="4"/>
  <c r="O25" i="4" s="1"/>
  <c r="K20" i="4"/>
  <c r="K25" i="4" s="1"/>
  <c r="W19" i="4"/>
  <c r="W25" i="4" s="1"/>
  <c r="O19" i="4"/>
  <c r="W18" i="4"/>
  <c r="V18" i="4"/>
  <c r="U18" i="4"/>
  <c r="T18" i="4"/>
  <c r="S18" i="4"/>
  <c r="R18" i="4"/>
  <c r="Q18" i="4"/>
  <c r="P18" i="4"/>
  <c r="O18" i="4"/>
  <c r="K18" i="4"/>
  <c r="J18" i="4"/>
  <c r="I18" i="4"/>
  <c r="H18" i="4"/>
  <c r="G15" i="4"/>
  <c r="G18" i="4" s="1"/>
  <c r="A18" i="4" s="1"/>
  <c r="D9" i="3" s="1"/>
  <c r="E9" i="3" s="1"/>
  <c r="U14" i="4"/>
  <c r="T14" i="4"/>
  <c r="S14" i="4"/>
  <c r="R14" i="4"/>
  <c r="Q14" i="4"/>
  <c r="P14" i="4"/>
  <c r="O14" i="4"/>
  <c r="O34" i="4" s="1"/>
  <c r="D22" i="7" s="1"/>
  <c r="N14" i="4"/>
  <c r="M14" i="4"/>
  <c r="L14" i="4"/>
  <c r="K14" i="4"/>
  <c r="G14" i="4"/>
  <c r="V12" i="4"/>
  <c r="V14" i="4" s="1"/>
  <c r="K11" i="4"/>
  <c r="W10" i="4"/>
  <c r="G10" i="4"/>
  <c r="G34" i="4" s="1"/>
  <c r="K6" i="4"/>
  <c r="S5" i="4"/>
  <c r="S10" i="4" s="1"/>
  <c r="S34" i="4" s="1"/>
  <c r="E22" i="7" s="1"/>
  <c r="O5" i="4"/>
  <c r="K5" i="4"/>
  <c r="K10" i="4" s="1"/>
  <c r="A2" i="4"/>
  <c r="W24" i="5"/>
  <c r="S24" i="5"/>
  <c r="O24" i="5"/>
  <c r="K24" i="5"/>
  <c r="G24" i="5"/>
  <c r="F24" i="5"/>
  <c r="E24" i="5"/>
  <c r="A24" i="5"/>
  <c r="D17" i="3" s="1"/>
  <c r="E17" i="3" s="1"/>
  <c r="K19" i="5"/>
  <c r="AA18" i="5"/>
  <c r="O17" i="5"/>
  <c r="O18" i="5" s="1"/>
  <c r="G17" i="5"/>
  <c r="G16" i="5"/>
  <c r="G18" i="5" s="1"/>
  <c r="V15" i="5"/>
  <c r="W15" i="5" s="1"/>
  <c r="W18" i="5" s="1"/>
  <c r="K14" i="5"/>
  <c r="K18" i="5" s="1"/>
  <c r="K13" i="5"/>
  <c r="O12" i="5"/>
  <c r="AA11" i="5"/>
  <c r="V11" i="5"/>
  <c r="W11" i="5" s="1"/>
  <c r="W13" i="5" s="1"/>
  <c r="K10" i="5"/>
  <c r="AA9" i="5"/>
  <c r="AA25" i="5" s="1"/>
  <c r="W9" i="5"/>
  <c r="W25" i="5" s="1"/>
  <c r="F23" i="7" s="1"/>
  <c r="F6" i="7" s="1"/>
  <c r="O9" i="5"/>
  <c r="K9" i="5"/>
  <c r="K25" i="5" s="1"/>
  <c r="C23" i="7" s="1"/>
  <c r="C6" i="7" s="1"/>
  <c r="G9" i="5"/>
  <c r="K8" i="5"/>
  <c r="S6" i="5"/>
  <c r="S9" i="5" s="1"/>
  <c r="K5" i="5"/>
  <c r="A2" i="5"/>
  <c r="AA24" i="13"/>
  <c r="S24" i="13"/>
  <c r="G23" i="13"/>
  <c r="G24" i="13" s="1"/>
  <c r="O22" i="13"/>
  <c r="O24" i="13" s="1"/>
  <c r="W21" i="13"/>
  <c r="W24" i="13" s="1"/>
  <c r="S21" i="13"/>
  <c r="O21" i="13"/>
  <c r="K21" i="13"/>
  <c r="F21" i="13"/>
  <c r="E21" i="13"/>
  <c r="G19" i="13"/>
  <c r="G21" i="13" s="1"/>
  <c r="A21" i="13" s="1"/>
  <c r="D22" i="3" s="1"/>
  <c r="E22" i="3" s="1"/>
  <c r="G18" i="13"/>
  <c r="AA17" i="13"/>
  <c r="G17" i="13"/>
  <c r="O16" i="13"/>
  <c r="K16" i="13"/>
  <c r="K17" i="13" s="1"/>
  <c r="O15" i="13"/>
  <c r="O14" i="13"/>
  <c r="O17" i="13" s="1"/>
  <c r="S13" i="13"/>
  <c r="S12" i="13"/>
  <c r="S17" i="13" s="1"/>
  <c r="W11" i="13"/>
  <c r="W17" i="13" s="1"/>
  <c r="G10" i="13"/>
  <c r="AA9" i="13"/>
  <c r="AA10" i="13" s="1"/>
  <c r="W9" i="13"/>
  <c r="K8" i="13"/>
  <c r="K10" i="13" s="1"/>
  <c r="AA7" i="13"/>
  <c r="W7" i="13"/>
  <c r="S7" i="13"/>
  <c r="S25" i="13" s="1"/>
  <c r="E24" i="7" s="1"/>
  <c r="E7" i="7" s="1"/>
  <c r="O7" i="13"/>
  <c r="K7" i="13"/>
  <c r="G5" i="13"/>
  <c r="G7" i="13" s="1"/>
  <c r="AA25" i="6"/>
  <c r="AA24" i="6"/>
  <c r="W24" i="6"/>
  <c r="S24" i="6"/>
  <c r="O24" i="6"/>
  <c r="N24" i="6"/>
  <c r="M24" i="6"/>
  <c r="G24" i="6"/>
  <c r="K19" i="6"/>
  <c r="K24" i="6" s="1"/>
  <c r="AA14" i="6"/>
  <c r="W14" i="6"/>
  <c r="W25" i="6" s="1"/>
  <c r="F28" i="7" s="1"/>
  <c r="S12" i="6"/>
  <c r="W11" i="6"/>
  <c r="O10" i="6"/>
  <c r="O9" i="6"/>
  <c r="O8" i="6"/>
  <c r="O14" i="6" s="1"/>
  <c r="O25" i="6" s="1"/>
  <c r="D28" i="7" s="1"/>
  <c r="S7" i="6"/>
  <c r="S14" i="6" s="1"/>
  <c r="S25" i="6" s="1"/>
  <c r="E28" i="7" s="1"/>
  <c r="G6" i="6"/>
  <c r="G14" i="6" s="1"/>
  <c r="K5" i="6"/>
  <c r="K14" i="6" s="1"/>
  <c r="K25" i="6" s="1"/>
  <c r="C28" i="7" s="1"/>
  <c r="A2" i="6"/>
  <c r="A7" i="7"/>
  <c r="A24" i="7" s="1"/>
  <c r="A6" i="7"/>
  <c r="A23" i="7" s="1"/>
  <c r="A5" i="7"/>
  <c r="A22" i="7" s="1"/>
  <c r="A19" i="7"/>
  <c r="H18" i="7"/>
  <c r="D18" i="10" s="1"/>
  <c r="D6" i="8"/>
  <c r="C6" i="8" s="1"/>
  <c r="A26" i="8"/>
  <c r="F26" i="8" s="1"/>
  <c r="A25" i="8"/>
  <c r="G25" i="8" s="1"/>
  <c r="AG25" i="8" s="1"/>
  <c r="A24" i="8"/>
  <c r="A23" i="8"/>
  <c r="F23" i="8" s="1"/>
  <c r="AF23" i="8" s="1"/>
  <c r="A22" i="8"/>
  <c r="G22" i="8" s="1"/>
  <c r="AG22" i="8" s="1"/>
  <c r="A21" i="8"/>
  <c r="G21" i="8" s="1"/>
  <c r="AG21" i="8" s="1"/>
  <c r="A20" i="8"/>
  <c r="F20" i="8" s="1"/>
  <c r="AF20" i="8" s="1"/>
  <c r="A19" i="8"/>
  <c r="G19" i="8" s="1"/>
  <c r="AG19" i="8" s="1"/>
  <c r="AD18" i="8"/>
  <c r="AC18" i="8"/>
  <c r="AB18" i="8"/>
  <c r="AA18" i="8"/>
  <c r="Z18" i="8"/>
  <c r="B18" i="8"/>
  <c r="A18" i="8"/>
  <c r="A17" i="8"/>
  <c r="Z17" i="8" s="1"/>
  <c r="AA17" i="8"/>
  <c r="AC17" i="8"/>
  <c r="Y17" i="8"/>
  <c r="A16" i="8"/>
  <c r="A15" i="8"/>
  <c r="Z15" i="8" s="1"/>
  <c r="AA15" i="8"/>
  <c r="AC15" i="8"/>
  <c r="A14" i="8"/>
  <c r="Z14" i="8" s="1"/>
  <c r="AA14" i="8"/>
  <c r="AC14" i="8"/>
  <c r="D13" i="8"/>
  <c r="B13" i="8"/>
  <c r="A13" i="8"/>
  <c r="Y12" i="8"/>
  <c r="A12" i="8"/>
  <c r="A11" i="8"/>
  <c r="Z11" i="8" s="1"/>
  <c r="Y11" i="8"/>
  <c r="A10" i="8"/>
  <c r="Z10" i="8" s="1"/>
  <c r="AC10" i="8"/>
  <c r="A9" i="8"/>
  <c r="Z9" i="8"/>
  <c r="AA9" i="8"/>
  <c r="AB9" i="8"/>
  <c r="AC9" i="8"/>
  <c r="Y9" i="8"/>
  <c r="A8" i="8"/>
  <c r="Z8" i="8"/>
  <c r="AA8" i="8"/>
  <c r="AB8" i="8"/>
  <c r="AC8" i="8"/>
  <c r="A7" i="8"/>
  <c r="A6" i="8"/>
  <c r="B27" i="10" l="1"/>
  <c r="B25" i="10" s="1"/>
  <c r="B8" i="10"/>
  <c r="C17" i="9"/>
  <c r="B21" i="9"/>
  <c r="E21" i="9"/>
  <c r="E17" i="9" s="1"/>
  <c r="Q14" i="9"/>
  <c r="E12" i="9"/>
  <c r="R10" i="9"/>
  <c r="P17" i="9"/>
  <c r="B12" i="9"/>
  <c r="E23" i="9"/>
  <c r="K23" i="9"/>
  <c r="G15" i="9"/>
  <c r="G12" i="9" s="1"/>
  <c r="G20" i="9"/>
  <c r="S20" i="9" s="1"/>
  <c r="Q19" i="9"/>
  <c r="Q24" i="9"/>
  <c r="Q25" i="9"/>
  <c r="S24" i="9"/>
  <c r="D5" i="10"/>
  <c r="S22" i="9"/>
  <c r="Q22" i="9"/>
  <c r="S19" i="9"/>
  <c r="Q18" i="9"/>
  <c r="S18" i="9"/>
  <c r="S17" i="9" s="1"/>
  <c r="G17" i="9"/>
  <c r="S16" i="9"/>
  <c r="T16" i="9" s="1"/>
  <c r="Q16" i="9"/>
  <c r="J13" i="9"/>
  <c r="S9" i="9"/>
  <c r="S7" i="9"/>
  <c r="Q7" i="9"/>
  <c r="Q8" i="9"/>
  <c r="S8" i="9"/>
  <c r="T8" i="9" s="1"/>
  <c r="R12" i="9"/>
  <c r="T9" i="9"/>
  <c r="C13" i="8"/>
  <c r="E22" i="8"/>
  <c r="AE22" i="8" s="1"/>
  <c r="E19" i="8"/>
  <c r="AE19" i="8" s="1"/>
  <c r="W23" i="8"/>
  <c r="BA23" i="8" s="1"/>
  <c r="U23" i="8"/>
  <c r="AY23" i="8" s="1"/>
  <c r="S23" i="8"/>
  <c r="AV23" i="8" s="1"/>
  <c r="Q23" i="8"/>
  <c r="AT23" i="8" s="1"/>
  <c r="O23" i="8"/>
  <c r="AQ23" i="8" s="1"/>
  <c r="M23" i="8"/>
  <c r="AO23" i="8" s="1"/>
  <c r="K23" i="8"/>
  <c r="AL23" i="8" s="1"/>
  <c r="I23" i="8"/>
  <c r="AJ23" i="8" s="1"/>
  <c r="G23" i="8"/>
  <c r="AG23" i="8" s="1"/>
  <c r="X22" i="8"/>
  <c r="BB22" i="8" s="1"/>
  <c r="V22" i="8"/>
  <c r="AZ22" i="8" s="1"/>
  <c r="T22" i="8"/>
  <c r="AW22" i="8" s="1"/>
  <c r="R22" i="8"/>
  <c r="AU22" i="8" s="1"/>
  <c r="P22" i="8"/>
  <c r="AR22" i="8" s="1"/>
  <c r="N22" i="8"/>
  <c r="AP22" i="8" s="1"/>
  <c r="L22" i="8"/>
  <c r="AM22" i="8" s="1"/>
  <c r="J22" i="8"/>
  <c r="AK22" i="8" s="1"/>
  <c r="H22" i="8"/>
  <c r="AH22" i="8" s="1"/>
  <c r="F22" i="8"/>
  <c r="AF22" i="8" s="1"/>
  <c r="W20" i="8"/>
  <c r="BA20" i="8" s="1"/>
  <c r="U20" i="8"/>
  <c r="AY20" i="8" s="1"/>
  <c r="S20" i="8"/>
  <c r="AV20" i="8" s="1"/>
  <c r="Q20" i="8"/>
  <c r="AT20" i="8" s="1"/>
  <c r="O20" i="8"/>
  <c r="AQ20" i="8" s="1"/>
  <c r="M20" i="8"/>
  <c r="AO20" i="8" s="1"/>
  <c r="K20" i="8"/>
  <c r="AL20" i="8" s="1"/>
  <c r="I20" i="8"/>
  <c r="AJ20" i="8" s="1"/>
  <c r="G20" i="8"/>
  <c r="AG20" i="8" s="1"/>
  <c r="X19" i="8"/>
  <c r="BB19" i="8" s="1"/>
  <c r="V19" i="8"/>
  <c r="AZ19" i="8" s="1"/>
  <c r="T19" i="8"/>
  <c r="AW19" i="8" s="1"/>
  <c r="R19" i="8"/>
  <c r="AU19" i="8" s="1"/>
  <c r="P19" i="8"/>
  <c r="AR19" i="8" s="1"/>
  <c r="N19" i="8"/>
  <c r="AP19" i="8" s="1"/>
  <c r="L19" i="8"/>
  <c r="AM19" i="8" s="1"/>
  <c r="J19" i="8"/>
  <c r="AK19" i="8" s="1"/>
  <c r="H19" i="8"/>
  <c r="AH19" i="8" s="1"/>
  <c r="F19" i="8"/>
  <c r="AF19" i="8" s="1"/>
  <c r="E23" i="8"/>
  <c r="AE23" i="8" s="1"/>
  <c r="E20" i="8"/>
  <c r="AE20" i="8" s="1"/>
  <c r="X23" i="8"/>
  <c r="BB23" i="8" s="1"/>
  <c r="V23" i="8"/>
  <c r="AZ23" i="8" s="1"/>
  <c r="T23" i="8"/>
  <c r="AW23" i="8" s="1"/>
  <c r="R23" i="8"/>
  <c r="AU23" i="8" s="1"/>
  <c r="P23" i="8"/>
  <c r="AR23" i="8" s="1"/>
  <c r="N23" i="8"/>
  <c r="AP23" i="8" s="1"/>
  <c r="L23" i="8"/>
  <c r="AM23" i="8" s="1"/>
  <c r="J23" i="8"/>
  <c r="AK23" i="8" s="1"/>
  <c r="H23" i="8"/>
  <c r="AH23" i="8" s="1"/>
  <c r="W22" i="8"/>
  <c r="BA22" i="8" s="1"/>
  <c r="U22" i="8"/>
  <c r="AY22" i="8" s="1"/>
  <c r="S22" i="8"/>
  <c r="AV22" i="8" s="1"/>
  <c r="Q22" i="8"/>
  <c r="AT22" i="8" s="1"/>
  <c r="O22" i="8"/>
  <c r="AQ22" i="8" s="1"/>
  <c r="M22" i="8"/>
  <c r="AO22" i="8" s="1"/>
  <c r="K22" i="8"/>
  <c r="AL22" i="8" s="1"/>
  <c r="I22" i="8"/>
  <c r="AJ22" i="8" s="1"/>
  <c r="X20" i="8"/>
  <c r="BB20" i="8" s="1"/>
  <c r="V20" i="8"/>
  <c r="AZ20" i="8" s="1"/>
  <c r="T20" i="8"/>
  <c r="AW20" i="8" s="1"/>
  <c r="R20" i="8"/>
  <c r="AU20" i="8" s="1"/>
  <c r="P20" i="8"/>
  <c r="AR20" i="8" s="1"/>
  <c r="N20" i="8"/>
  <c r="AP20" i="8" s="1"/>
  <c r="L20" i="8"/>
  <c r="AM20" i="8" s="1"/>
  <c r="J20" i="8"/>
  <c r="AK20" i="8" s="1"/>
  <c r="H20" i="8"/>
  <c r="AH20" i="8" s="1"/>
  <c r="W19" i="8"/>
  <c r="BA19" i="8" s="1"/>
  <c r="U19" i="8"/>
  <c r="AY19" i="8" s="1"/>
  <c r="S19" i="8"/>
  <c r="AV19" i="8" s="1"/>
  <c r="Q19" i="8"/>
  <c r="AT19" i="8" s="1"/>
  <c r="O19" i="8"/>
  <c r="AQ19" i="8" s="1"/>
  <c r="M19" i="8"/>
  <c r="AO19" i="8" s="1"/>
  <c r="K19" i="8"/>
  <c r="AL19" i="8" s="1"/>
  <c r="I19" i="8"/>
  <c r="AJ19" i="8" s="1"/>
  <c r="I14" i="8"/>
  <c r="AB14" i="8"/>
  <c r="AB17" i="8"/>
  <c r="AA10" i="8"/>
  <c r="X25" i="8"/>
  <c r="BB25" i="8" s="1"/>
  <c r="V25" i="8"/>
  <c r="AZ25" i="8" s="1"/>
  <c r="T25" i="8"/>
  <c r="AW25" i="8" s="1"/>
  <c r="R25" i="8"/>
  <c r="AU25" i="8" s="1"/>
  <c r="P25" i="8"/>
  <c r="AR25" i="8" s="1"/>
  <c r="N25" i="8"/>
  <c r="AP25" i="8" s="1"/>
  <c r="L25" i="8"/>
  <c r="AM25" i="8" s="1"/>
  <c r="J25" i="8"/>
  <c r="AK25" i="8" s="1"/>
  <c r="H25" i="8"/>
  <c r="AH25" i="8" s="1"/>
  <c r="F25" i="8"/>
  <c r="AF25" i="8" s="1"/>
  <c r="E26" i="8"/>
  <c r="AB10" i="8"/>
  <c r="AB15" i="8"/>
  <c r="G26" i="8"/>
  <c r="E25" i="8"/>
  <c r="W25" i="8"/>
  <c r="BA25" i="8" s="1"/>
  <c r="U25" i="8"/>
  <c r="AY25" i="8" s="1"/>
  <c r="S25" i="8"/>
  <c r="AV25" i="8" s="1"/>
  <c r="Q25" i="8"/>
  <c r="AT25" i="8" s="1"/>
  <c r="O25" i="8"/>
  <c r="AQ25" i="8" s="1"/>
  <c r="M25" i="8"/>
  <c r="AO25" i="8" s="1"/>
  <c r="K25" i="8"/>
  <c r="AL25" i="8" s="1"/>
  <c r="I25" i="8"/>
  <c r="AJ25" i="8" s="1"/>
  <c r="BC19" i="8"/>
  <c r="X26" i="8"/>
  <c r="V26" i="8"/>
  <c r="AZ26" i="8" s="1"/>
  <c r="T26" i="8"/>
  <c r="AW26" i="8" s="1"/>
  <c r="R26" i="8"/>
  <c r="AU26" i="8" s="1"/>
  <c r="P26" i="8"/>
  <c r="AR26" i="8" s="1"/>
  <c r="N26" i="8"/>
  <c r="AP26" i="8" s="1"/>
  <c r="L26" i="8"/>
  <c r="AM26" i="8" s="1"/>
  <c r="J26" i="8"/>
  <c r="AK26" i="8" s="1"/>
  <c r="H26" i="8"/>
  <c r="W26" i="8"/>
  <c r="BA26" i="8" s="1"/>
  <c r="U26" i="8"/>
  <c r="AY26" i="8" s="1"/>
  <c r="S26" i="8"/>
  <c r="AV26" i="8" s="1"/>
  <c r="Q26" i="8"/>
  <c r="AT26" i="8" s="1"/>
  <c r="O26" i="8"/>
  <c r="AQ26" i="8" s="1"/>
  <c r="M26" i="8"/>
  <c r="AO26" i="8" s="1"/>
  <c r="K26" i="8"/>
  <c r="AL26" i="8" s="1"/>
  <c r="I26" i="8"/>
  <c r="AJ26" i="8" s="1"/>
  <c r="D24" i="8"/>
  <c r="AX19" i="8"/>
  <c r="AS19" i="8"/>
  <c r="AN19" i="8"/>
  <c r="AD10" i="8"/>
  <c r="AD9" i="8"/>
  <c r="BC23" i="8"/>
  <c r="AX23" i="8"/>
  <c r="AS23" i="8"/>
  <c r="AN23" i="8"/>
  <c r="AI23" i="8"/>
  <c r="C18" i="8"/>
  <c r="BC22" i="8"/>
  <c r="AX22" i="8"/>
  <c r="AS22" i="8"/>
  <c r="AN22" i="8"/>
  <c r="X21" i="8"/>
  <c r="V21" i="8"/>
  <c r="T21" i="8"/>
  <c r="R21" i="8"/>
  <c r="P21" i="8"/>
  <c r="N21" i="8"/>
  <c r="L21" i="8"/>
  <c r="J21" i="8"/>
  <c r="H21" i="8"/>
  <c r="F21" i="8"/>
  <c r="AG18" i="8"/>
  <c r="E21" i="8"/>
  <c r="W21" i="8"/>
  <c r="BA21" i="8" s="1"/>
  <c r="U21" i="8"/>
  <c r="AY21" i="8" s="1"/>
  <c r="S21" i="8"/>
  <c r="AV21" i="8" s="1"/>
  <c r="AV18" i="8" s="1"/>
  <c r="Q21" i="8"/>
  <c r="AT21" i="8" s="1"/>
  <c r="O21" i="8"/>
  <c r="AQ21" i="8" s="1"/>
  <c r="AQ18" i="8" s="1"/>
  <c r="M21" i="8"/>
  <c r="AO21" i="8" s="1"/>
  <c r="K21" i="8"/>
  <c r="AL21" i="8" s="1"/>
  <c r="AL18" i="8" s="1"/>
  <c r="I21" i="8"/>
  <c r="AJ21" i="8" s="1"/>
  <c r="U18" i="8"/>
  <c r="S18" i="8"/>
  <c r="Q18" i="8"/>
  <c r="O18" i="8"/>
  <c r="M18" i="8"/>
  <c r="K18" i="8"/>
  <c r="I18" i="8"/>
  <c r="G18" i="8"/>
  <c r="C24" i="8"/>
  <c r="BA18" i="8"/>
  <c r="W18" i="8"/>
  <c r="AD14" i="8"/>
  <c r="AD17" i="8"/>
  <c r="AD8" i="8"/>
  <c r="AD15" i="8"/>
  <c r="Z16" i="8"/>
  <c r="Z13" i="8" s="1"/>
  <c r="H7" i="8"/>
  <c r="E7" i="8"/>
  <c r="G7" i="8"/>
  <c r="J7" i="8"/>
  <c r="M7" i="8"/>
  <c r="O7" i="8"/>
  <c r="Q7" i="8"/>
  <c r="S7" i="8"/>
  <c r="U7" i="8"/>
  <c r="W7" i="8"/>
  <c r="F7" i="8"/>
  <c r="I7" i="8"/>
  <c r="K7" i="8"/>
  <c r="N7" i="8"/>
  <c r="P7" i="8"/>
  <c r="R7" i="8"/>
  <c r="T7" i="8"/>
  <c r="V7" i="8"/>
  <c r="X7" i="8"/>
  <c r="E8" i="8"/>
  <c r="AE8" i="8" s="1"/>
  <c r="G8" i="8"/>
  <c r="AG8" i="8" s="1"/>
  <c r="I8" i="8"/>
  <c r="K8" i="8"/>
  <c r="M8" i="8"/>
  <c r="O8" i="8"/>
  <c r="Q8" i="8"/>
  <c r="AT8" i="8" s="1"/>
  <c r="S8" i="8"/>
  <c r="AV8" i="8" s="1"/>
  <c r="U8" i="8"/>
  <c r="AY8" i="8" s="1"/>
  <c r="W8" i="8"/>
  <c r="BA8" i="8" s="1"/>
  <c r="H8" i="8"/>
  <c r="AH8" i="8" s="1"/>
  <c r="L8" i="8"/>
  <c r="P8" i="8"/>
  <c r="T8" i="8"/>
  <c r="AW8" i="8" s="1"/>
  <c r="X8" i="8"/>
  <c r="BB8" i="8" s="1"/>
  <c r="F8" i="8"/>
  <c r="AF8" i="8" s="1"/>
  <c r="J8" i="8"/>
  <c r="N8" i="8"/>
  <c r="R8" i="8"/>
  <c r="AU8" i="8" s="1"/>
  <c r="V8" i="8"/>
  <c r="AZ8" i="8" s="1"/>
  <c r="E9" i="8"/>
  <c r="AE9" i="8" s="1"/>
  <c r="G9" i="8"/>
  <c r="AG9" i="8" s="1"/>
  <c r="I9" i="8"/>
  <c r="AJ9" i="8" s="1"/>
  <c r="K9" i="8"/>
  <c r="AL9" i="8" s="1"/>
  <c r="M9" i="8"/>
  <c r="AO9" i="8" s="1"/>
  <c r="O9" i="8"/>
  <c r="AQ9" i="8" s="1"/>
  <c r="Q9" i="8"/>
  <c r="AT9" i="8" s="1"/>
  <c r="S9" i="8"/>
  <c r="AV9" i="8" s="1"/>
  <c r="U9" i="8"/>
  <c r="AY9" i="8" s="1"/>
  <c r="W9" i="8"/>
  <c r="BA9" i="8" s="1"/>
  <c r="H9" i="8"/>
  <c r="AH9" i="8" s="1"/>
  <c r="L9" i="8"/>
  <c r="AM9" i="8" s="1"/>
  <c r="P9" i="8"/>
  <c r="AR9" i="8" s="1"/>
  <c r="T9" i="8"/>
  <c r="AW9" i="8" s="1"/>
  <c r="X9" i="8"/>
  <c r="BB9" i="8" s="1"/>
  <c r="F9" i="8"/>
  <c r="AF9" i="8" s="1"/>
  <c r="J9" i="8"/>
  <c r="AK9" i="8" s="1"/>
  <c r="N9" i="8"/>
  <c r="AP9" i="8" s="1"/>
  <c r="R9" i="8"/>
  <c r="AU9" i="8" s="1"/>
  <c r="V9" i="8"/>
  <c r="AZ9" i="8" s="1"/>
  <c r="E10" i="8"/>
  <c r="AE10" i="8" s="1"/>
  <c r="G10" i="8"/>
  <c r="I10" i="8"/>
  <c r="K10" i="8"/>
  <c r="M10" i="8"/>
  <c r="AO10" i="8" s="1"/>
  <c r="O10" i="8"/>
  <c r="AQ10" i="8" s="1"/>
  <c r="Q10" i="8"/>
  <c r="AT10" i="8" s="1"/>
  <c r="S10" i="8"/>
  <c r="AV10" i="8" s="1"/>
  <c r="H10" i="8"/>
  <c r="L10" i="8"/>
  <c r="P10" i="8"/>
  <c r="AR10" i="8" s="1"/>
  <c r="T10" i="8"/>
  <c r="AW10" i="8" s="1"/>
  <c r="V10" i="8"/>
  <c r="AZ10" i="8" s="1"/>
  <c r="X10" i="8"/>
  <c r="BB10" i="8" s="1"/>
  <c r="F10" i="8"/>
  <c r="AF10" i="8" s="1"/>
  <c r="J10" i="8"/>
  <c r="N10" i="8"/>
  <c r="AP10" i="8" s="1"/>
  <c r="R10" i="8"/>
  <c r="AU10" i="8" s="1"/>
  <c r="U10" i="8"/>
  <c r="AY10" i="8" s="1"/>
  <c r="W10" i="8"/>
  <c r="BA10" i="8" s="1"/>
  <c r="AC11" i="8"/>
  <c r="AB11" i="8"/>
  <c r="AA11" i="8"/>
  <c r="AD11" i="8" s="1"/>
  <c r="F14" i="8"/>
  <c r="H14" i="8"/>
  <c r="K14" i="8"/>
  <c r="M14" i="8"/>
  <c r="O14" i="8"/>
  <c r="Q14" i="8"/>
  <c r="S14" i="8"/>
  <c r="U14" i="8"/>
  <c r="W14" i="8"/>
  <c r="E14" i="8"/>
  <c r="G14" i="8"/>
  <c r="J14" i="8"/>
  <c r="L14" i="8"/>
  <c r="N14" i="8"/>
  <c r="P14" i="8"/>
  <c r="R14" i="8"/>
  <c r="T14" i="8"/>
  <c r="V14" i="8"/>
  <c r="X14" i="8"/>
  <c r="L7" i="8"/>
  <c r="F11" i="8"/>
  <c r="AF11" i="8" s="1"/>
  <c r="H11" i="8"/>
  <c r="AH11" i="8" s="1"/>
  <c r="J11" i="8"/>
  <c r="AK11" i="8" s="1"/>
  <c r="L11" i="8"/>
  <c r="AM11" i="8" s="1"/>
  <c r="N11" i="8"/>
  <c r="AP11" i="8" s="1"/>
  <c r="P11" i="8"/>
  <c r="AR11" i="8" s="1"/>
  <c r="R11" i="8"/>
  <c r="AU11" i="8" s="1"/>
  <c r="T11" i="8"/>
  <c r="AW11" i="8" s="1"/>
  <c r="V11" i="8"/>
  <c r="AZ11" i="8" s="1"/>
  <c r="X11" i="8"/>
  <c r="BB11" i="8" s="1"/>
  <c r="E11" i="8"/>
  <c r="AE11" i="8" s="1"/>
  <c r="G11" i="8"/>
  <c r="AG11" i="8" s="1"/>
  <c r="I11" i="8"/>
  <c r="K11" i="8"/>
  <c r="AL11" i="8" s="1"/>
  <c r="M11" i="8"/>
  <c r="AO11" i="8" s="1"/>
  <c r="O11" i="8"/>
  <c r="AQ11" i="8" s="1"/>
  <c r="Q11" i="8"/>
  <c r="AT11" i="8" s="1"/>
  <c r="S11" i="8"/>
  <c r="AV11" i="8" s="1"/>
  <c r="U11" i="8"/>
  <c r="AY11" i="8" s="1"/>
  <c r="W11" i="8"/>
  <c r="BA11" i="8" s="1"/>
  <c r="Z12" i="8"/>
  <c r="AA12" i="8"/>
  <c r="AB12" i="8"/>
  <c r="AC12" i="8"/>
  <c r="F12" i="8"/>
  <c r="AF12" i="8" s="1"/>
  <c r="H12" i="8"/>
  <c r="J12" i="8"/>
  <c r="L12" i="8"/>
  <c r="N12" i="8"/>
  <c r="P12" i="8"/>
  <c r="R12" i="8"/>
  <c r="T12" i="8"/>
  <c r="V12" i="8"/>
  <c r="X12" i="8"/>
  <c r="E12" i="8"/>
  <c r="AE12" i="8" s="1"/>
  <c r="G12" i="8"/>
  <c r="F15" i="8"/>
  <c r="AF15" i="8" s="1"/>
  <c r="H15" i="8"/>
  <c r="AH15" i="8" s="1"/>
  <c r="J15" i="8"/>
  <c r="L15" i="8"/>
  <c r="N15" i="8"/>
  <c r="AP15" i="8" s="1"/>
  <c r="P15" i="8"/>
  <c r="AR15" i="8" s="1"/>
  <c r="R15" i="8"/>
  <c r="AU15" i="8" s="1"/>
  <c r="T15" i="8"/>
  <c r="AW15" i="8" s="1"/>
  <c r="V15" i="8"/>
  <c r="AZ15" i="8" s="1"/>
  <c r="X15" i="8"/>
  <c r="BB15" i="8" s="1"/>
  <c r="E15" i="8"/>
  <c r="AE15" i="8" s="1"/>
  <c r="G15" i="8"/>
  <c r="AG15" i="8" s="1"/>
  <c r="I15" i="8"/>
  <c r="K15" i="8"/>
  <c r="M15" i="8"/>
  <c r="AO15" i="8" s="1"/>
  <c r="O15" i="8"/>
  <c r="AQ15" i="8" s="1"/>
  <c r="Q15" i="8"/>
  <c r="AT15" i="8" s="1"/>
  <c r="S15" i="8"/>
  <c r="AV15" i="8" s="1"/>
  <c r="U15" i="8"/>
  <c r="AY15" i="8" s="1"/>
  <c r="W15" i="8"/>
  <c r="BA15" i="8" s="1"/>
  <c r="F16" i="8"/>
  <c r="AF16" i="8" s="1"/>
  <c r="H16" i="8"/>
  <c r="AH16" i="8" s="1"/>
  <c r="J16" i="8"/>
  <c r="L16" i="8"/>
  <c r="N16" i="8"/>
  <c r="AP16" i="8" s="1"/>
  <c r="P16" i="8"/>
  <c r="AR16" i="8" s="1"/>
  <c r="R16" i="8"/>
  <c r="AU16" i="8" s="1"/>
  <c r="T16" i="8"/>
  <c r="AW16" i="8" s="1"/>
  <c r="V16" i="8"/>
  <c r="AZ16" i="8" s="1"/>
  <c r="X16" i="8"/>
  <c r="BB16" i="8" s="1"/>
  <c r="E16" i="8"/>
  <c r="AE16" i="8" s="1"/>
  <c r="G16" i="8"/>
  <c r="AG16" i="8" s="1"/>
  <c r="I16" i="8"/>
  <c r="K16" i="8"/>
  <c r="M16" i="8"/>
  <c r="AO16" i="8" s="1"/>
  <c r="O16" i="8"/>
  <c r="AQ16" i="8" s="1"/>
  <c r="Q16" i="8"/>
  <c r="AT16" i="8" s="1"/>
  <c r="S16" i="8"/>
  <c r="AV16" i="8" s="1"/>
  <c r="U16" i="8"/>
  <c r="AY16" i="8" s="1"/>
  <c r="W16" i="8"/>
  <c r="BA16" i="8" s="1"/>
  <c r="F17" i="8"/>
  <c r="AF17" i="8" s="1"/>
  <c r="H17" i="8"/>
  <c r="AH17" i="8" s="1"/>
  <c r="J17" i="8"/>
  <c r="AK17" i="8" s="1"/>
  <c r="L17" i="8"/>
  <c r="AM17" i="8" s="1"/>
  <c r="N17" i="8"/>
  <c r="AP17" i="8" s="1"/>
  <c r="P17" i="8"/>
  <c r="AR17" i="8" s="1"/>
  <c r="R17" i="8"/>
  <c r="AU17" i="8" s="1"/>
  <c r="T17" i="8"/>
  <c r="AW17" i="8" s="1"/>
  <c r="V17" i="8"/>
  <c r="AZ17" i="8" s="1"/>
  <c r="X17" i="8"/>
  <c r="BB17" i="8" s="1"/>
  <c r="E17" i="8"/>
  <c r="AE17" i="8" s="1"/>
  <c r="G17" i="8"/>
  <c r="AG17" i="8" s="1"/>
  <c r="I17" i="8"/>
  <c r="AJ17" i="8" s="1"/>
  <c r="K17" i="8"/>
  <c r="AL17" i="8" s="1"/>
  <c r="M17" i="8"/>
  <c r="AO17" i="8" s="1"/>
  <c r="O17" i="8"/>
  <c r="AQ17" i="8" s="1"/>
  <c r="Q17" i="8"/>
  <c r="AT17" i="8" s="1"/>
  <c r="AX17" i="8" s="1"/>
  <c r="S17" i="8"/>
  <c r="AV17" i="8" s="1"/>
  <c r="U17" i="8"/>
  <c r="AY17" i="8" s="1"/>
  <c r="W17" i="8"/>
  <c r="BA17" i="8" s="1"/>
  <c r="I24" i="8"/>
  <c r="K24" i="8"/>
  <c r="M24" i="8"/>
  <c r="O24" i="8"/>
  <c r="Q24" i="8"/>
  <c r="S24" i="8"/>
  <c r="U24" i="8"/>
  <c r="W24" i="8"/>
  <c r="C30" i="7"/>
  <c r="C11" i="7"/>
  <c r="C13" i="7" s="1"/>
  <c r="E30" i="7"/>
  <c r="E11" i="7"/>
  <c r="E13" i="7" s="1"/>
  <c r="F30" i="7"/>
  <c r="F11" i="7"/>
  <c r="F13" i="7" s="1"/>
  <c r="G25" i="13"/>
  <c r="A7" i="13"/>
  <c r="D19" i="3" s="1"/>
  <c r="A24" i="13"/>
  <c r="D23" i="3" s="1"/>
  <c r="E23" i="3" s="1"/>
  <c r="W34" i="4"/>
  <c r="F22" i="7" s="1"/>
  <c r="D5" i="7"/>
  <c r="J24" i="8"/>
  <c r="L24" i="8"/>
  <c r="N24" i="8"/>
  <c r="P24" i="8"/>
  <c r="R24" i="8"/>
  <c r="T24" i="8"/>
  <c r="V24" i="8"/>
  <c r="G25" i="6"/>
  <c r="A14" i="6"/>
  <c r="D25" i="3" s="1"/>
  <c r="D30" i="7"/>
  <c r="D11" i="7"/>
  <c r="D13" i="7" s="1"/>
  <c r="A24" i="6"/>
  <c r="K25" i="13"/>
  <c r="C24" i="7" s="1"/>
  <c r="C7" i="7" s="1"/>
  <c r="AA25" i="13"/>
  <c r="A17" i="13"/>
  <c r="D21" i="3" s="1"/>
  <c r="E21" i="3" s="1"/>
  <c r="S25" i="5"/>
  <c r="E23" i="7" s="1"/>
  <c r="E6" i="7" s="1"/>
  <c r="A9" i="5"/>
  <c r="A18" i="5"/>
  <c r="K34" i="4"/>
  <c r="C22" i="7" s="1"/>
  <c r="A10" i="4"/>
  <c r="E25" i="7"/>
  <c r="E5" i="7"/>
  <c r="E8" i="7" s="1"/>
  <c r="B34" i="4"/>
  <c r="B22" i="7"/>
  <c r="A25" i="4"/>
  <c r="C23" i="10"/>
  <c r="B23" i="10"/>
  <c r="W10" i="13"/>
  <c r="W25" i="13" s="1"/>
  <c r="F24" i="7" s="1"/>
  <c r="F7" i="7" s="1"/>
  <c r="G13" i="5"/>
  <c r="O13" i="5"/>
  <c r="O25" i="5" s="1"/>
  <c r="D23" i="7" s="1"/>
  <c r="W12" i="4"/>
  <c r="W14" i="4" s="1"/>
  <c r="A14" i="4" s="1"/>
  <c r="O10" i="13"/>
  <c r="O25" i="13" s="1"/>
  <c r="D24" i="7" s="1"/>
  <c r="D7" i="7" s="1"/>
  <c r="E71" i="14"/>
  <c r="E72" i="14" s="1"/>
  <c r="B21" i="10"/>
  <c r="F17" i="9" l="1"/>
  <c r="F4" i="9" s="1"/>
  <c r="H21" i="9"/>
  <c r="H17" i="9" s="1"/>
  <c r="I17" i="9"/>
  <c r="I4" i="9" s="1"/>
  <c r="B17" i="9"/>
  <c r="N21" i="9"/>
  <c r="N17" i="9" s="1"/>
  <c r="O17" i="9"/>
  <c r="O4" i="9" s="1"/>
  <c r="K21" i="9"/>
  <c r="K17" i="9" s="1"/>
  <c r="L17" i="9"/>
  <c r="L4" i="9" s="1"/>
  <c r="R21" i="9"/>
  <c r="R17" i="9" s="1"/>
  <c r="S15" i="9"/>
  <c r="T15" i="9" s="1"/>
  <c r="AS17" i="8"/>
  <c r="AN17" i="8"/>
  <c r="AI17" i="8"/>
  <c r="AX16" i="8"/>
  <c r="AS16" i="8"/>
  <c r="AI16" i="8"/>
  <c r="AX11" i="8"/>
  <c r="K10" i="9" s="1"/>
  <c r="M10" i="9" s="1"/>
  <c r="AS11" i="8"/>
  <c r="AI11" i="8"/>
  <c r="D10" i="9" s="1"/>
  <c r="AN20" i="8"/>
  <c r="AS20" i="8"/>
  <c r="AX20" i="8"/>
  <c r="BC20" i="8"/>
  <c r="AI22" i="8"/>
  <c r="AI20" i="8"/>
  <c r="AI19" i="8"/>
  <c r="AM24" i="8"/>
  <c r="AR24" i="8"/>
  <c r="AW24" i="8"/>
  <c r="AN25" i="8"/>
  <c r="AJ24" i="8"/>
  <c r="AO24" i="8"/>
  <c r="AS25" i="8"/>
  <c r="AX25" i="8"/>
  <c r="AT24" i="8"/>
  <c r="AY24" i="8"/>
  <c r="BC25" i="8"/>
  <c r="AE25" i="8"/>
  <c r="E24" i="8"/>
  <c r="AN26" i="8"/>
  <c r="AS26" i="8"/>
  <c r="AX26" i="8"/>
  <c r="AX24" i="8" s="1"/>
  <c r="X24" i="8"/>
  <c r="BB26" i="8"/>
  <c r="BC26" i="8" s="1"/>
  <c r="AL24" i="8"/>
  <c r="AQ24" i="8"/>
  <c r="AV24" i="8"/>
  <c r="BA24" i="8"/>
  <c r="AK24" i="8"/>
  <c r="AP24" i="8"/>
  <c r="AU24" i="8"/>
  <c r="AZ24" i="8"/>
  <c r="F24" i="8"/>
  <c r="AF26" i="8"/>
  <c r="AF24" i="8" s="1"/>
  <c r="G24" i="8"/>
  <c r="AG26" i="8"/>
  <c r="AG24" i="8" s="1"/>
  <c r="H24" i="8"/>
  <c r="AH26" i="8"/>
  <c r="AH24" i="8" s="1"/>
  <c r="AJ18" i="8"/>
  <c r="AO18" i="8"/>
  <c r="AT18" i="8"/>
  <c r="AY18" i="8"/>
  <c r="AX15" i="8"/>
  <c r="AS15" i="8"/>
  <c r="AI15" i="8"/>
  <c r="AX12" i="8"/>
  <c r="M11" i="9" s="1"/>
  <c r="AS12" i="8"/>
  <c r="J11" i="9" s="1"/>
  <c r="AN12" i="8"/>
  <c r="G11" i="9" s="1"/>
  <c r="D11" i="9"/>
  <c r="E18" i="8"/>
  <c r="AE21" i="8"/>
  <c r="AH21" i="8"/>
  <c r="AH18" i="8" s="1"/>
  <c r="H18" i="8"/>
  <c r="L18" i="8"/>
  <c r="AM21" i="8"/>
  <c r="AM18" i="8" s="1"/>
  <c r="P18" i="8"/>
  <c r="AR21" i="8"/>
  <c r="AR18" i="8" s="1"/>
  <c r="T18" i="8"/>
  <c r="AW21" i="8"/>
  <c r="AW18" i="8" s="1"/>
  <c r="BB21" i="8"/>
  <c r="BB18" i="8" s="1"/>
  <c r="X18" i="8"/>
  <c r="AF21" i="8"/>
  <c r="AF18" i="8" s="1"/>
  <c r="F18" i="8"/>
  <c r="AK21" i="8"/>
  <c r="AK18" i="8" s="1"/>
  <c r="J18" i="8"/>
  <c r="AP21" i="8"/>
  <c r="AP18" i="8" s="1"/>
  <c r="N18" i="8"/>
  <c r="AU21" i="8"/>
  <c r="AU18" i="8" s="1"/>
  <c r="R18" i="8"/>
  <c r="AZ21" i="8"/>
  <c r="AZ18" i="8" s="1"/>
  <c r="V18" i="8"/>
  <c r="AB26" i="8"/>
  <c r="AB24" i="8" s="1"/>
  <c r="AA26" i="8"/>
  <c r="AA24" i="8" s="1"/>
  <c r="Z26" i="8"/>
  <c r="AC26" i="8"/>
  <c r="AC24" i="8" s="1"/>
  <c r="BC17" i="8"/>
  <c r="BC16" i="8"/>
  <c r="BC15" i="8"/>
  <c r="BC12" i="8"/>
  <c r="P11" i="9" s="1"/>
  <c r="BC11" i="8"/>
  <c r="BC10" i="8"/>
  <c r="AJ11" i="8"/>
  <c r="AN11" i="8" s="1"/>
  <c r="I6" i="8"/>
  <c r="D6" i="7"/>
  <c r="D25" i="7"/>
  <c r="D10" i="3"/>
  <c r="E10" i="3" s="1"/>
  <c r="Y10" i="8"/>
  <c r="C25" i="7"/>
  <c r="C5" i="7"/>
  <c r="C8" i="7" s="1"/>
  <c r="D14" i="3"/>
  <c r="Y14" i="8"/>
  <c r="AJ14" i="8" s="1"/>
  <c r="B25" i="6"/>
  <c r="B28" i="7"/>
  <c r="F5" i="7"/>
  <c r="F8" i="7" s="1"/>
  <c r="F25" i="7"/>
  <c r="E19" i="3"/>
  <c r="I13" i="8"/>
  <c r="AD12" i="8"/>
  <c r="M5" i="9"/>
  <c r="K5" i="9"/>
  <c r="H10" i="9"/>
  <c r="AA7" i="8"/>
  <c r="AA6" i="8" s="1"/>
  <c r="AC7" i="8"/>
  <c r="AC6" i="8" s="1"/>
  <c r="AA16" i="8"/>
  <c r="AA13" i="8" s="1"/>
  <c r="AC16" i="8"/>
  <c r="AC13" i="8" s="1"/>
  <c r="AZ14" i="8"/>
  <c r="AZ13" i="8" s="1"/>
  <c r="V13" i="8"/>
  <c r="R13" i="8"/>
  <c r="AU14" i="8"/>
  <c r="AU13" i="8" s="1"/>
  <c r="AP14" i="8"/>
  <c r="AP13" i="8" s="1"/>
  <c r="N13" i="8"/>
  <c r="AK14" i="8"/>
  <c r="J13" i="8"/>
  <c r="AE14" i="8"/>
  <c r="E13" i="8"/>
  <c r="AY14" i="8"/>
  <c r="U13" i="8"/>
  <c r="AT14" i="8"/>
  <c r="Q13" i="8"/>
  <c r="AO14" i="8"/>
  <c r="M13" i="8"/>
  <c r="AH14" i="8"/>
  <c r="AH13" i="8" s="1"/>
  <c r="H13" i="8"/>
  <c r="AX10" i="8"/>
  <c r="AS10" i="8"/>
  <c r="BC9" i="8"/>
  <c r="AX9" i="8"/>
  <c r="AS9" i="8"/>
  <c r="AN9" i="8"/>
  <c r="AI9" i="8"/>
  <c r="BC8" i="8"/>
  <c r="AX8" i="8"/>
  <c r="AI8" i="8"/>
  <c r="AZ7" i="8"/>
  <c r="AZ6" i="8" s="1"/>
  <c r="AZ5" i="8" s="1"/>
  <c r="V6" i="8"/>
  <c r="AU7" i="8"/>
  <c r="AU6" i="8" s="1"/>
  <c r="R6" i="8"/>
  <c r="AP7" i="8"/>
  <c r="N6" i="8"/>
  <c r="BA7" i="8"/>
  <c r="BA6" i="8" s="1"/>
  <c r="W6" i="8"/>
  <c r="AV7" i="8"/>
  <c r="AV6" i="8" s="1"/>
  <c r="S6" i="8"/>
  <c r="O6" i="8"/>
  <c r="AQ7" i="8"/>
  <c r="J6" i="8"/>
  <c r="AE7" i="8"/>
  <c r="E6" i="8"/>
  <c r="E32" i="7"/>
  <c r="D26" i="3"/>
  <c r="E26" i="3" s="1"/>
  <c r="D8" i="3"/>
  <c r="E8" i="3" s="1"/>
  <c r="Y8" i="8"/>
  <c r="AK8" i="8" s="1"/>
  <c r="A13" i="5"/>
  <c r="G22" i="7"/>
  <c r="B5" i="7"/>
  <c r="E15" i="7"/>
  <c r="D7" i="3"/>
  <c r="Y7" i="8"/>
  <c r="D16" i="3"/>
  <c r="E16" i="3" s="1"/>
  <c r="Y16" i="8"/>
  <c r="AL16" i="8" s="1"/>
  <c r="G25" i="5"/>
  <c r="A10" i="13"/>
  <c r="D20" i="3" s="1"/>
  <c r="E20" i="3" s="1"/>
  <c r="D24" i="3"/>
  <c r="E25" i="3"/>
  <c r="E24" i="3" s="1"/>
  <c r="D8" i="7"/>
  <c r="B25" i="13"/>
  <c r="B24" i="7"/>
  <c r="Z7" i="8"/>
  <c r="AB7" i="8"/>
  <c r="AB6" i="8" s="1"/>
  <c r="L6" i="8"/>
  <c r="AB16" i="8"/>
  <c r="AB13" i="8" s="1"/>
  <c r="BB14" i="8"/>
  <c r="BB13" i="8" s="1"/>
  <c r="X13" i="8"/>
  <c r="T13" i="8"/>
  <c r="AW14" i="8"/>
  <c r="AW13" i="8" s="1"/>
  <c r="AR14" i="8"/>
  <c r="AR13" i="8" s="1"/>
  <c r="P13" i="8"/>
  <c r="AM14" i="8"/>
  <c r="L13" i="8"/>
  <c r="AG14" i="8"/>
  <c r="AG13" i="8" s="1"/>
  <c r="G13" i="8"/>
  <c r="BA14" i="8"/>
  <c r="BA13" i="8" s="1"/>
  <c r="W13" i="8"/>
  <c r="AV14" i="8"/>
  <c r="AV13" i="8" s="1"/>
  <c r="S13" i="8"/>
  <c r="AQ14" i="8"/>
  <c r="AQ13" i="8" s="1"/>
  <c r="O13" i="8"/>
  <c r="AL14" i="8"/>
  <c r="K13" i="8"/>
  <c r="AF14" i="8"/>
  <c r="AF13" i="8" s="1"/>
  <c r="F13" i="8"/>
  <c r="AP8" i="8"/>
  <c r="AM8" i="8"/>
  <c r="AQ8" i="8"/>
  <c r="AL8" i="8"/>
  <c r="BB7" i="8"/>
  <c r="BB6" i="8" s="1"/>
  <c r="X6" i="8"/>
  <c r="AW7" i="8"/>
  <c r="AW6" i="8" s="1"/>
  <c r="T6" i="8"/>
  <c r="AR7" i="8"/>
  <c r="P6" i="8"/>
  <c r="K6" i="8"/>
  <c r="AF7" i="8"/>
  <c r="AF6" i="8" s="1"/>
  <c r="F6" i="8"/>
  <c r="AY7" i="8"/>
  <c r="U6" i="8"/>
  <c r="Q6" i="8"/>
  <c r="AT7" i="8"/>
  <c r="M6" i="8"/>
  <c r="AO7" i="8"/>
  <c r="G6" i="8"/>
  <c r="AH6" i="8"/>
  <c r="H6" i="8"/>
  <c r="AD16" i="8"/>
  <c r="AD13" i="8" s="1"/>
  <c r="Q21" i="9" l="1"/>
  <c r="Q17" i="9" s="1"/>
  <c r="J10" i="9"/>
  <c r="Q10" i="9"/>
  <c r="S11" i="9"/>
  <c r="E5" i="9"/>
  <c r="E4" i="9" s="1"/>
  <c r="G10" i="9"/>
  <c r="G5" i="9" s="1"/>
  <c r="G4" i="9" s="1"/>
  <c r="AM16" i="8"/>
  <c r="AK16" i="8"/>
  <c r="AJ16" i="8"/>
  <c r="AN16" i="8" s="1"/>
  <c r="BB24" i="8"/>
  <c r="BB5" i="8" s="1"/>
  <c r="BC24" i="8"/>
  <c r="AH5" i="8"/>
  <c r="AG6" i="8"/>
  <c r="AG5" i="8" s="1"/>
  <c r="AF5" i="8"/>
  <c r="AS24" i="8"/>
  <c r="AI25" i="8"/>
  <c r="AN24" i="8"/>
  <c r="BC21" i="8"/>
  <c r="BC18" i="8" s="1"/>
  <c r="AX21" i="8"/>
  <c r="AX18" i="8" s="1"/>
  <c r="AS21" i="8"/>
  <c r="AS18" i="8" s="1"/>
  <c r="AN21" i="8"/>
  <c r="AN18" i="8" s="1"/>
  <c r="AE18" i="8"/>
  <c r="AI21" i="8"/>
  <c r="AI18" i="8" s="1"/>
  <c r="AW5" i="8"/>
  <c r="T14" i="9"/>
  <c r="D5" i="9"/>
  <c r="T11" i="9"/>
  <c r="Z24" i="8"/>
  <c r="AD26" i="8"/>
  <c r="AD24" i="8" s="1"/>
  <c r="AU5" i="8"/>
  <c r="BC7" i="8"/>
  <c r="AY6" i="8"/>
  <c r="AL6" i="8"/>
  <c r="AM6" i="8"/>
  <c r="G24" i="7"/>
  <c r="B7" i="7"/>
  <c r="G7" i="7" s="1"/>
  <c r="D15" i="7"/>
  <c r="D15" i="3"/>
  <c r="E15" i="3" s="1"/>
  <c r="Y15" i="8"/>
  <c r="AI6" i="8"/>
  <c r="AE6" i="8"/>
  <c r="AK6" i="8"/>
  <c r="AV5" i="8"/>
  <c r="BA5" i="8"/>
  <c r="AP6" i="8"/>
  <c r="AP5" i="8" s="1"/>
  <c r="AJ8" i="8"/>
  <c r="AN8" i="8" s="1"/>
  <c r="AR8" i="8"/>
  <c r="AR6" i="8" s="1"/>
  <c r="AR5" i="8" s="1"/>
  <c r="D18" i="3"/>
  <c r="F15" i="7"/>
  <c r="C15" i="7"/>
  <c r="D32" i="7"/>
  <c r="AS7" i="8"/>
  <c r="AX7" i="8"/>
  <c r="AX6" i="8" s="1"/>
  <c r="AT6" i="8"/>
  <c r="AB5" i="8"/>
  <c r="AD7" i="8"/>
  <c r="AD6" i="8" s="1"/>
  <c r="AD5" i="8" s="1"/>
  <c r="Z6" i="8"/>
  <c r="Z5" i="8" s="1"/>
  <c r="B25" i="5"/>
  <c r="B23" i="7"/>
  <c r="E7" i="3"/>
  <c r="E6" i="3" s="1"/>
  <c r="D6" i="3"/>
  <c r="G5" i="7"/>
  <c r="AE26" i="8"/>
  <c r="AE24" i="8" s="1"/>
  <c r="AQ6" i="8"/>
  <c r="AQ5" i="8" s="1"/>
  <c r="AO8" i="8"/>
  <c r="AS8" i="8" s="1"/>
  <c r="T7" i="9"/>
  <c r="AO13" i="8"/>
  <c r="AS14" i="8"/>
  <c r="AX14" i="8"/>
  <c r="AT13" i="8"/>
  <c r="BC14" i="8"/>
  <c r="AY13" i="8"/>
  <c r="AI14" i="8"/>
  <c r="AI13" i="8" s="1"/>
  <c r="AE13" i="8"/>
  <c r="AN14" i="8"/>
  <c r="AC5" i="8"/>
  <c r="AA5" i="8"/>
  <c r="H5" i="9"/>
  <c r="H4" i="9" s="1"/>
  <c r="J5" i="9"/>
  <c r="E18" i="3"/>
  <c r="F32" i="7"/>
  <c r="B30" i="7"/>
  <c r="G28" i="7"/>
  <c r="B11" i="7"/>
  <c r="D13" i="3"/>
  <c r="E14" i="3"/>
  <c r="E13" i="3" s="1"/>
  <c r="C32" i="7"/>
  <c r="S10" i="9" l="1"/>
  <c r="T10" i="9" s="1"/>
  <c r="Y18" i="8"/>
  <c r="AK15" i="8"/>
  <c r="AK13" i="8" s="1"/>
  <c r="AL15" i="8"/>
  <c r="AL13" i="8" s="1"/>
  <c r="AL5" i="8" s="1"/>
  <c r="AJ15" i="8"/>
  <c r="AM15" i="8"/>
  <c r="AM13" i="8" s="1"/>
  <c r="AM5" i="8"/>
  <c r="G11" i="7"/>
  <c r="B13" i="7"/>
  <c r="AS13" i="8"/>
  <c r="D5" i="3"/>
  <c r="D27" i="3" s="1"/>
  <c r="G23" i="7"/>
  <c r="B6" i="7"/>
  <c r="B25" i="7"/>
  <c r="AS6" i="8"/>
  <c r="AK5" i="8"/>
  <c r="AY5" i="8"/>
  <c r="AJ6" i="8"/>
  <c r="G30" i="7"/>
  <c r="BC13" i="8"/>
  <c r="AX13" i="8"/>
  <c r="AX5" i="8" s="1"/>
  <c r="AI26" i="8"/>
  <c r="E5" i="3"/>
  <c r="E27" i="3" s="1"/>
  <c r="D10" i="10"/>
  <c r="AT5" i="8"/>
  <c r="AO6" i="8"/>
  <c r="AO5" i="8" s="1"/>
  <c r="AE5" i="8"/>
  <c r="BC6" i="8"/>
  <c r="AN6" i="8"/>
  <c r="Y6" i="8" l="1"/>
  <c r="AJ13" i="8"/>
  <c r="AN15" i="8"/>
  <c r="AN13" i="8" s="1"/>
  <c r="AJ5" i="8"/>
  <c r="AI24" i="8"/>
  <c r="Y24" i="8" s="1"/>
  <c r="Y13" i="8"/>
  <c r="AN5" i="8"/>
  <c r="BC5" i="8"/>
  <c r="AS5" i="8"/>
  <c r="D8" i="10"/>
  <c r="D27" i="10"/>
  <c r="N12" i="9"/>
  <c r="P12" i="9"/>
  <c r="G31" i="7"/>
  <c r="D31" i="7"/>
  <c r="F31" i="7"/>
  <c r="C31" i="7"/>
  <c r="E31" i="7"/>
  <c r="B32" i="7"/>
  <c r="H23" i="7"/>
  <c r="G25" i="7"/>
  <c r="B31" i="7"/>
  <c r="G13" i="7"/>
  <c r="H11" i="7"/>
  <c r="H13" i="7" s="1"/>
  <c r="H28" i="7"/>
  <c r="H30" i="7" s="1"/>
  <c r="G6" i="7"/>
  <c r="B8" i="7"/>
  <c r="J12" i="9"/>
  <c r="J4" i="9" s="1"/>
  <c r="B14" i="7"/>
  <c r="Y5" i="8" l="1"/>
  <c r="AD3" i="8" s="1"/>
  <c r="AI5" i="8"/>
  <c r="B15" i="7"/>
  <c r="G14" i="7"/>
  <c r="E14" i="7"/>
  <c r="D14" i="7"/>
  <c r="F14" i="7"/>
  <c r="C14" i="7"/>
  <c r="G26" i="7"/>
  <c r="H25" i="7"/>
  <c r="G32" i="7"/>
  <c r="E26" i="7"/>
  <c r="H22" i="7"/>
  <c r="D26" i="7"/>
  <c r="F26" i="7"/>
  <c r="C26" i="7"/>
  <c r="H24" i="7"/>
  <c r="B26" i="7"/>
  <c r="H31" i="7"/>
  <c r="D12" i="10"/>
  <c r="G8" i="10" s="1"/>
  <c r="F8" i="10"/>
  <c r="D25" i="10"/>
  <c r="G8" i="7"/>
  <c r="B9" i="7" s="1"/>
  <c r="B33" i="7"/>
  <c r="H6" i="7" l="1"/>
  <c r="G25" i="10"/>
  <c r="F12" i="10"/>
  <c r="G11" i="10"/>
  <c r="G9" i="10"/>
  <c r="G12" i="10"/>
  <c r="G4" i="10"/>
  <c r="B13" i="10"/>
  <c r="C13" i="10"/>
  <c r="G10" i="10"/>
  <c r="G15" i="7"/>
  <c r="G9" i="7"/>
  <c r="E9" i="7"/>
  <c r="D9" i="7"/>
  <c r="F9" i="7"/>
  <c r="C9" i="7"/>
  <c r="H5" i="7"/>
  <c r="H8" i="7" s="1"/>
  <c r="H7" i="7"/>
  <c r="G33" i="7"/>
  <c r="E33" i="7"/>
  <c r="C33" i="7"/>
  <c r="F33" i="7"/>
  <c r="D33" i="7"/>
  <c r="H14" i="7"/>
  <c r="B16" i="7"/>
  <c r="G16" i="7" l="1"/>
  <c r="E16" i="7"/>
  <c r="F16" i="7"/>
  <c r="C16" i="7"/>
  <c r="D16" i="7"/>
  <c r="G29" i="10"/>
  <c r="G26" i="10"/>
  <c r="G21" i="10"/>
  <c r="G28" i="10"/>
  <c r="C30" i="10"/>
  <c r="B30" i="10"/>
  <c r="G27" i="10"/>
  <c r="C5" i="9"/>
  <c r="C4" i="9" s="1"/>
  <c r="R5" i="9"/>
  <c r="R4" i="9" s="1"/>
  <c r="B5" i="9"/>
  <c r="N5" i="9"/>
  <c r="N4" i="9" s="1"/>
  <c r="Q5" i="9"/>
  <c r="P6" i="9"/>
  <c r="P5" i="9" l="1"/>
  <c r="P4" i="9" s="1"/>
  <c r="S6" i="9"/>
  <c r="S5" i="9" s="1"/>
  <c r="K12" i="9"/>
  <c r="K4" i="9" s="1"/>
  <c r="M13" i="9"/>
  <c r="S13" i="9" s="1"/>
  <c r="Q13" i="9"/>
  <c r="Q12" i="9" s="1"/>
  <c r="T6" i="9" l="1"/>
  <c r="T5" i="9" s="1"/>
  <c r="T13" i="9"/>
  <c r="S12" i="9"/>
  <c r="M12" i="9"/>
  <c r="M4" i="9" s="1"/>
  <c r="B23" i="9"/>
  <c r="B4" i="9" s="1"/>
  <c r="Q23" i="9"/>
  <c r="Q4" i="9" s="1"/>
  <c r="D25" i="9"/>
  <c r="D23" i="9" l="1"/>
  <c r="D4" i="9" s="1"/>
  <c r="S25" i="9"/>
  <c r="S23" i="9" s="1"/>
  <c r="S4" i="9" s="1"/>
  <c r="T25" i="9" l="1"/>
  <c r="T23" i="9" s="1"/>
  <c r="T4" i="9" s="1"/>
</calcChain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Arial"/>
            <family val="2"/>
          </rPr>
          <t>NÃO INCLUIR OU EXCLUIR LINHAS NAS PLANILHAS. ESSAS AÇÕES PODEM QUEBRAR TODOS OS VÍNCULOS DE CÁLCULO AUTOMÁTICO</t>
        </r>
      </text>
    </comment>
    <comment ref="E4" authorId="0">
      <text>
        <r>
          <rPr>
            <sz val="10"/>
            <rFont val="Arial"/>
            <family val="2"/>
          </rPr>
          <t>Antes de iniciar o preenchimento desta planilha  a equipe de projeto deve definir e preencher as planilhas (22A, 22B, 22C e 22D) dos “Parâmetros de Custos”, que irão nortear as equipes na alocação dos recursos do Projeto</t>
        </r>
      </text>
    </comment>
    <comment ref="F4" authorId="0">
      <text>
        <r>
          <rPr>
            <sz val="10"/>
            <rFont val="Arial"/>
            <family val="2"/>
          </rPr>
          <t>Esta coluna só deve ser preenchida durante a elaboração do Projeto, após a elaboração do Marco de Resultados do Projeto.</t>
        </r>
      </text>
    </comment>
    <comment ref="B6" authorId="0">
      <text>
        <r>
          <rPr>
            <sz val="10"/>
            <rFont val="Arial"/>
            <family val="2"/>
          </rPr>
          <t xml:space="preserve">Nesta planilha devem ser descritos os PRODUTOS que serão desenvolvidas no âmbito do Projeto Estadual. O PRODUTO deve ser descrito como uma "ação concluída": Modelo de gestão por resultados definido aprovado, divulgado e implantado. 
</t>
        </r>
      </text>
    </comment>
    <comment ref="F6" authorId="0">
      <text>
        <r>
          <rPr>
            <sz val="10"/>
            <rFont val="Arial"/>
            <family val="2"/>
          </rPr>
          <t>Nesta coluna devem ser indicados os produtos com ionício de execução programada para os primeiros 18 meses de execução do Projeto, de acordo com o Cronograma Físico da planilha 18.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X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  <comment ref="X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X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  <comment ref="X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X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X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sharedStrings.xml><?xml version="1.0" encoding="utf-8"?>
<sst xmlns="http://schemas.openxmlformats.org/spreadsheetml/2006/main" count="759" uniqueCount="364">
  <si>
    <t>1.5.2. Realizar Coffee Break para reuniões dos Foros</t>
  </si>
  <si>
    <r>
      <t xml:space="preserve">1.5.2. Serviços: </t>
    </r>
    <r>
      <rPr>
        <sz val="8"/>
        <rFont val="Arial"/>
        <family val="2"/>
      </rPr>
      <t>Coffee Break para reuniões dos Foros</t>
    </r>
  </si>
  <si>
    <r>
      <t xml:space="preserve">1.5.3. Bens: </t>
    </r>
    <r>
      <rPr>
        <sz val="8"/>
        <rFont val="Arial"/>
        <family val="2"/>
      </rPr>
      <t>Adquirir material de escritório para registro de atas dos Foros</t>
    </r>
  </si>
  <si>
    <t>1.5.3. Adquirir material de escritório para registro de atas dos Foros</t>
  </si>
  <si>
    <r>
      <t xml:space="preserve">4.2.9. Consultoria: </t>
    </r>
    <r>
      <rPr>
        <sz val="8"/>
        <rFont val="Arial"/>
        <family val="2"/>
      </rPr>
      <t>Elaboração das avaliações econômica ex-post, final e PCR</t>
    </r>
  </si>
  <si>
    <t>Consultoria para elaboração do Projeto Executivo e Estudos</t>
  </si>
  <si>
    <t>Verificar com Marília</t>
  </si>
  <si>
    <t>Ano 1/14</t>
  </si>
  <si>
    <t>Ano 2/15</t>
  </si>
  <si>
    <t>Ano 3/16</t>
  </si>
  <si>
    <t>Ano 4/17</t>
  </si>
  <si>
    <t>Ano 5/18</t>
  </si>
  <si>
    <t>1.1 Modelo de planejamento e gestão integrada orientada para resultados da segurança pública, incluindo a modernização das tecnologias de informação sobre o crime, apoio para a análise e investigação criminal, implementado (Sistema de Gestão de Segurança Pública com Indicadores e Metas; Procedimentos Operativos Padrão - POP; Planos Operacionais; Plano Estratégico)</t>
  </si>
  <si>
    <t>Data Início</t>
    <phoneticPr fontId="34" type="noConversion"/>
  </si>
  <si>
    <t>Implantação do sistema de monitoramento físico e financeiro</t>
  </si>
  <si>
    <t>20 eventos e seminários de avaliação e disseminação de melhores práticas (4 por ano)</t>
  </si>
  <si>
    <t>A.2.5. Pesquisas de vitimização</t>
  </si>
  <si>
    <t>A.2.6. Pesquisas sobre a efetividade da Polícia Comunitária e dos Foros Comunitários de Segurança</t>
  </si>
  <si>
    <t>A.2.7. Consultorias para as avaliações de impacto</t>
  </si>
  <si>
    <t>A.2.9. Consultorias para as avaliações econômica ex-post, final e PCR</t>
  </si>
  <si>
    <t>Consultorias para as avaliações econômica ex-post, final e PCR</t>
  </si>
  <si>
    <t>A.2.8. Consultoria para a avaliação intermediária</t>
  </si>
  <si>
    <t>Consultoria para a avaliação intermediária</t>
  </si>
  <si>
    <t>Consultorias para as avaliações de impacto</t>
  </si>
  <si>
    <t>2 pesquisas de vitimização</t>
  </si>
  <si>
    <t>2 pesquisas sobre a efectividade da Polícia Comunitária e dos Foros Comunitários</t>
  </si>
  <si>
    <r>
      <t xml:space="preserve">3.3.1. Obras: </t>
    </r>
    <r>
      <rPr>
        <sz val="8"/>
        <color indexed="8"/>
        <rFont val="Arial"/>
        <family val="2"/>
      </rPr>
      <t xml:space="preserve">Adequações físicas (CAIS) </t>
    </r>
  </si>
  <si>
    <r>
      <t>4.1.9. Consultoria:</t>
    </r>
    <r>
      <rPr>
        <sz val="8"/>
        <rFont val="Arial"/>
        <family val="2"/>
      </rPr>
      <t xml:space="preserve"> Estratégia de Comunicação e divulgação</t>
    </r>
  </si>
  <si>
    <r>
      <t xml:space="preserve">4.2.5. Consultoria: </t>
    </r>
    <r>
      <rPr>
        <sz val="8"/>
        <rFont val="Arial"/>
        <family val="2"/>
      </rPr>
      <t>Pesquisas de vitimização</t>
    </r>
  </si>
  <si>
    <r>
      <t xml:space="preserve">4.2.6. Consultoria: </t>
    </r>
    <r>
      <rPr>
        <sz val="8"/>
        <rFont val="Arial"/>
        <family val="2"/>
      </rPr>
      <t>pesquisas sobre a efetividade da Polícia Comunitária e dos Foros Comunitários de Segurança</t>
    </r>
  </si>
  <si>
    <r>
      <t xml:space="preserve">4.2.7. Consultoria: </t>
    </r>
    <r>
      <rPr>
        <sz val="8"/>
        <rFont val="Arial"/>
        <family val="2"/>
      </rPr>
      <t>Avaliações de impacto</t>
    </r>
  </si>
  <si>
    <r>
      <t xml:space="preserve">4.2.8. Consultoria: </t>
    </r>
    <r>
      <rPr>
        <sz val="8"/>
        <rFont val="Arial"/>
        <family val="2"/>
      </rPr>
      <t>Elaboração da Avaliação Intermediária</t>
    </r>
  </si>
  <si>
    <t>A.2.1. Contratar consultoria para definir e implantar sistemática de monitoramento das ações do Programa</t>
  </si>
  <si>
    <t>Consultoria para definir e implantar sistemática de monitoramento das ações do Programa</t>
  </si>
  <si>
    <r>
      <t xml:space="preserve">4.2.1. Consultoria: </t>
    </r>
    <r>
      <rPr>
        <sz val="8"/>
        <rFont val="Arial"/>
        <family val="2"/>
      </rPr>
      <t>Definição e implantação de sistematica de monitoramento das ações do Programa</t>
    </r>
  </si>
  <si>
    <r>
      <t xml:space="preserve">4.2.2. Deslocamentos: </t>
    </r>
    <r>
      <rPr>
        <sz val="8"/>
        <rFont val="Arial"/>
        <family val="2"/>
      </rPr>
      <t>diárias e passagens para supervisão</t>
    </r>
  </si>
  <si>
    <r>
      <t xml:space="preserve">4.2.3. Sistemas: </t>
    </r>
    <r>
      <rPr>
        <sz val="8"/>
        <rFont val="Arial"/>
        <family val="2"/>
      </rPr>
      <t>sistema de monitoramento físico e financeiro</t>
    </r>
  </si>
  <si>
    <r>
      <t xml:space="preserve">4.2.4. Serviços: </t>
    </r>
    <r>
      <rPr>
        <sz val="8"/>
        <rFont val="Arial"/>
        <family val="2"/>
      </rPr>
      <t>Eventos e seminários de avaliação e disseminação de melhores práticas</t>
    </r>
  </si>
  <si>
    <r>
      <t xml:space="preserve">1.6.1. Consultoria: </t>
    </r>
    <r>
      <rPr>
        <sz val="8"/>
        <rFont val="Arial"/>
        <family val="2"/>
      </rPr>
      <t xml:space="preserve">Certificação e treinamento para melhorar os sistemas de controle externo e interno das policias nos territórios do programa pelo UNODC.  </t>
    </r>
  </si>
  <si>
    <r>
      <t xml:space="preserve">1.5.1. Consultoria: </t>
    </r>
    <r>
      <rPr>
        <sz val="8"/>
        <rFont val="Arial"/>
        <family val="2"/>
      </rPr>
      <t>Elaboração do Plano de Trabalho para os Foros e do Procedimento Operacional Padrão para as reuniões</t>
    </r>
  </si>
  <si>
    <r>
      <t xml:space="preserve">3.4.2. Capacitação: </t>
    </r>
    <r>
      <rPr>
        <sz val="8"/>
        <rFont val="Arial"/>
        <family val="2"/>
      </rPr>
      <t>Oficinas de esporte, cultura, formação, mediação etc.</t>
    </r>
  </si>
  <si>
    <t>CP/ LPN</t>
  </si>
  <si>
    <r>
      <t xml:space="preserve">4.1.2. Capacitação: </t>
    </r>
    <r>
      <rPr>
        <sz val="8"/>
        <rFont val="Arial"/>
        <family val="2"/>
      </rPr>
      <t>Contratação de vagas em cursos existentes no mercado/ Capacitações diversas da equipe da UGP</t>
    </r>
  </si>
  <si>
    <t xml:space="preserve">Inscrição / 
CP </t>
  </si>
  <si>
    <t>TOTAL 3</t>
  </si>
  <si>
    <t>4. OBRAS</t>
  </si>
  <si>
    <r>
      <t xml:space="preserve">1.2.2. Obras: </t>
    </r>
    <r>
      <rPr>
        <sz val="8"/>
        <rFont val="Arial"/>
        <family val="2"/>
      </rPr>
      <t>Construção do Centro de Perícia Técnico-Científica de ES</t>
    </r>
  </si>
  <si>
    <t>LPN</t>
  </si>
  <si>
    <r>
      <t xml:space="preserve">2.2.2. Obras: </t>
    </r>
    <r>
      <rPr>
        <sz val="8"/>
        <rFont val="Arial"/>
        <family val="2"/>
      </rPr>
      <t>Construção da Estação Conhecimento</t>
    </r>
  </si>
  <si>
    <r>
      <t>2.3.2. Obra:</t>
    </r>
    <r>
      <rPr>
        <sz val="8"/>
        <rFont val="Arial"/>
        <family val="2"/>
      </rPr>
      <t xml:space="preserve"> Construir  2 CAPS</t>
    </r>
  </si>
  <si>
    <r>
      <t xml:space="preserve">4.1.7. Obras: </t>
    </r>
    <r>
      <rPr>
        <sz val="8"/>
        <rFont val="Arial"/>
        <family val="2"/>
      </rPr>
      <t>Adequação fisica (UGP)</t>
    </r>
  </si>
  <si>
    <t>TOTAL 4</t>
  </si>
  <si>
    <t>Aquisição de equipamentos da Estação Conhecimento</t>
  </si>
  <si>
    <t>Gestão e Monitoramento do Programa</t>
  </si>
  <si>
    <t>Imprevistos</t>
  </si>
  <si>
    <t>A.1.9. Estratégia de comunicação e divulgação</t>
  </si>
  <si>
    <t>Estratégia de comunicação e divulgação</t>
  </si>
  <si>
    <t>1.5.1. Elaborar Plano de Trabalho dos Foros e Procedimento Operacional Padrão para suas reuniões</t>
  </si>
  <si>
    <t xml:space="preserve">1.6.1 Certificação  e treinamento para melhorar os sistemas de controle externo e interno das policias nos territórios do programa pelo UNODC.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</si>
  <si>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Coffee Break para 840 reuniões de 14 foros realizadas mensalmente ao longo de 5 anos</t>
  </si>
  <si>
    <t>Consultoria para elaborar um Plano de Trabalho para os Foros e um Procedimento Operacional Padrão para as reuniões</t>
  </si>
  <si>
    <t>1 kit com computador, impressora e modem para cada Foro</t>
  </si>
  <si>
    <t>A.2. Sistemática de Monitoramento e Avaliação do Programa</t>
  </si>
  <si>
    <t>A.2.2. Diárias e passagem para supervisão</t>
  </si>
  <si>
    <t>A.2.3. Implantação do sistema de monitoramento físico e financeiro</t>
  </si>
  <si>
    <t>A.2.4. Eventos e seminários de avaliação e disseminação de melhores práticas</t>
  </si>
  <si>
    <t>Diárias e passagens para supervisão</t>
  </si>
  <si>
    <r>
      <t xml:space="preserve">1.4.3. Aquisição de viaturas para motopatrulhamento comunitário: </t>
    </r>
    <r>
      <rPr>
        <sz val="8"/>
        <rFont val="Arial"/>
        <family val="2"/>
      </rPr>
      <t>222 veículos do tipo motocicleta (250 a 300 cc), adaptadas e equipadas, para atendimento dos 05 anos do projeto  (implementação e substituição).</t>
    </r>
  </si>
  <si>
    <r>
      <t xml:space="preserve">1.4.4. Aquisição de Equipamentos de Comunicação: </t>
    </r>
    <r>
      <rPr>
        <sz val="8"/>
        <rFont val="Arial"/>
        <family val="2"/>
      </rPr>
      <t xml:space="preserve">235 rádios transceptores portáteis, para atendimento dos 05 anos do projeto. </t>
    </r>
  </si>
  <si>
    <r>
      <t xml:space="preserve">1.4.5.  Aquisição de Postos (Bases) Móveis Comunitárias: </t>
    </r>
    <r>
      <rPr>
        <sz val="8"/>
        <rFont val="Arial"/>
        <family val="2"/>
      </rPr>
      <t>16 veículos tipo furgão, adaptado e equipado (sendo 02 reservas), para atendimento dos 05 anos do projeto.</t>
    </r>
  </si>
  <si>
    <r>
      <t xml:space="preserve">1.4.6. Aquisição de Bicilcetas para ciclopatrulhamento comunitário: </t>
    </r>
    <r>
      <rPr>
        <sz val="8"/>
        <rFont val="Arial"/>
        <family val="2"/>
      </rPr>
      <t>184 bicicletas tipo montain bike, adaptadas, para atendimento dos 05 anos do projeto.</t>
    </r>
  </si>
  <si>
    <r>
      <t xml:space="preserve">2.1.2. Bolsas </t>
    </r>
    <r>
      <rPr>
        <sz val="8"/>
        <rFont val="Arial"/>
        <family val="2"/>
      </rPr>
      <t xml:space="preserve">para os Jovens </t>
    </r>
  </si>
  <si>
    <r>
      <t xml:space="preserve">2.2.3. Bens: </t>
    </r>
    <r>
      <rPr>
        <sz val="8"/>
        <rFont val="Arial"/>
        <family val="2"/>
      </rPr>
      <t>Aquisição de equipamemtos da Estação Conhecimento</t>
    </r>
  </si>
  <si>
    <r>
      <t xml:space="preserve">3.3.2. Serviços: </t>
    </r>
    <r>
      <rPr>
        <sz val="8"/>
        <color indexed="8"/>
        <rFont val="Arial"/>
        <family val="2"/>
      </rPr>
      <t>Aluguel de imovel</t>
    </r>
  </si>
  <si>
    <r>
      <t xml:space="preserve">3.3.3. Pessoal: </t>
    </r>
    <r>
      <rPr>
        <sz val="8"/>
        <color indexed="8"/>
        <rFont val="Arial"/>
        <family val="2"/>
      </rPr>
      <t>Disponibilização de pessoal</t>
    </r>
  </si>
  <si>
    <r>
      <t>3.3.4. Bens:</t>
    </r>
    <r>
      <rPr>
        <sz val="8"/>
        <rFont val="Arial"/>
        <family val="2"/>
      </rPr>
      <t xml:space="preserve"> Mobiliário e informática</t>
    </r>
  </si>
  <si>
    <r>
      <t xml:space="preserve">3.3.5. Bens: </t>
    </r>
    <r>
      <rPr>
        <sz val="8"/>
        <rFont val="Arial"/>
        <family val="2"/>
      </rPr>
      <t>Material de consumo</t>
    </r>
  </si>
  <si>
    <r>
      <t xml:space="preserve">3.5.1. Bens: </t>
    </r>
    <r>
      <rPr>
        <sz val="8"/>
        <color indexed="8"/>
        <rFont val="Arial"/>
        <family val="2"/>
      </rPr>
      <t>Equipamento de videomonitoramento para unidades socieducativas e Central</t>
    </r>
  </si>
  <si>
    <r>
      <t xml:space="preserve">4.1.3. Deslocamentos: </t>
    </r>
    <r>
      <rPr>
        <sz val="8"/>
        <rFont val="Arial"/>
        <family val="2"/>
      </rPr>
      <t xml:space="preserve"> Deslocamentos diversos da equipe da UGP</t>
    </r>
  </si>
  <si>
    <r>
      <t xml:space="preserve">4.1.4. Equipamentos e Softwares: </t>
    </r>
    <r>
      <rPr>
        <sz val="8"/>
        <rFont val="Arial"/>
        <family val="2"/>
      </rPr>
      <t xml:space="preserve">Aquisição de Hardware e Software </t>
    </r>
  </si>
  <si>
    <r>
      <t xml:space="preserve">4.1.5. Bens: </t>
    </r>
    <r>
      <rPr>
        <sz val="8"/>
        <rFont val="Arial"/>
        <family val="2"/>
      </rPr>
      <t>Aquisição de moveis</t>
    </r>
  </si>
  <si>
    <r>
      <t xml:space="preserve">4.1.6. Bens/Materiais Graficos: </t>
    </r>
    <r>
      <rPr>
        <sz val="8"/>
        <rFont val="Arial"/>
        <family val="2"/>
      </rPr>
      <t>Aquisição de materiais p/ divulgação etc.</t>
    </r>
  </si>
  <si>
    <r>
      <t xml:space="preserve">4.1.8.  Serviços: </t>
    </r>
    <r>
      <rPr>
        <sz val="8"/>
        <rFont val="Arial"/>
        <family val="2"/>
      </rPr>
      <t>Empresa para organização de eventos etc.</t>
    </r>
  </si>
  <si>
    <t>TOTAL 2</t>
  </si>
  <si>
    <t>3. CAPACITAÇÃO</t>
  </si>
  <si>
    <r>
      <t xml:space="preserve">1.3.1. Capacitação: </t>
    </r>
    <r>
      <rPr>
        <sz val="8"/>
        <rFont val="Arial"/>
        <family val="2"/>
      </rPr>
      <t>Cursos diversos - Policia/Efetivo Comunitária capacitada</t>
    </r>
  </si>
  <si>
    <r>
      <t xml:space="preserve">2.3.4. Capacitação: </t>
    </r>
    <r>
      <rPr>
        <sz val="8"/>
        <rFont val="Arial"/>
        <family val="2"/>
      </rPr>
      <t xml:space="preserve">Realização de Oficinas Terapêuticas nos Caps </t>
    </r>
  </si>
  <si>
    <t>CP</t>
  </si>
  <si>
    <r>
      <t xml:space="preserve">2.3.5. Capacitação: </t>
    </r>
    <r>
      <rPr>
        <sz val="8"/>
        <rFont val="Arial"/>
        <family val="2"/>
      </rPr>
      <t>Realização de cursos de qualificação profissional nas áreas de Captação de Recursos, Redução de danos e atenção psicosocial</t>
    </r>
  </si>
  <si>
    <t>CD</t>
  </si>
  <si>
    <t>3 anos</t>
  </si>
  <si>
    <r>
      <t xml:space="preserve">3.1.1. Capacitação: </t>
    </r>
    <r>
      <rPr>
        <sz val="8"/>
        <rFont val="Arial"/>
        <family val="2"/>
      </rPr>
      <t>Elaboração e implementação de plano de formação contínuo para servidores do IASES</t>
    </r>
  </si>
  <si>
    <r>
      <t xml:space="preserve">3.4.1. Cursos profissionalizantes: </t>
    </r>
    <r>
      <rPr>
        <sz val="8"/>
        <color indexed="8"/>
        <rFont val="Arial"/>
        <family val="2"/>
      </rPr>
      <t>Turmas internas e inserção de adolescentes internados e egressos em turmas externas</t>
    </r>
  </si>
  <si>
    <t xml:space="preserve"> TR ou especificações técnicas prontas</t>
  </si>
  <si>
    <t>Não-objeção do BID (TR/Edital)</t>
  </si>
  <si>
    <t>Montagem do processo licitatório</t>
  </si>
  <si>
    <t>Tramitação na PGE</t>
  </si>
  <si>
    <t>Publicação do Edital</t>
  </si>
  <si>
    <t>Abertura da Licitação</t>
  </si>
  <si>
    <t>Tramitação do processo licitatório</t>
  </si>
  <si>
    <t>Adjudicação e assinatura do contrato</t>
  </si>
  <si>
    <t>Emissão de ordem de serviço</t>
  </si>
  <si>
    <t>PRAZO DE EXECUÇÃO DO CONTRATO</t>
  </si>
  <si>
    <t xml:space="preserve">Termino do Contrato </t>
  </si>
  <si>
    <r>
      <t xml:space="preserve">1.1.1. Consultoria: </t>
    </r>
    <r>
      <rPr>
        <sz val="8"/>
        <rFont val="Arial"/>
        <family val="2"/>
      </rPr>
      <t>Elaboração do Modelo de planejamento e gestão integrada orientada para resultados da segurança pública</t>
    </r>
  </si>
  <si>
    <t>Legislação Local</t>
  </si>
  <si>
    <t>Ex-post</t>
  </si>
  <si>
    <t>2 anos</t>
  </si>
  <si>
    <t>Ago-16</t>
  </si>
  <si>
    <r>
      <t xml:space="preserve">1.1.2. Consultoria: </t>
    </r>
    <r>
      <rPr>
        <sz val="8"/>
        <rFont val="Arial"/>
        <family val="2"/>
      </rPr>
      <t>Sistema de Gestão de Segurança Pública com Indicadores e Metas; Procedimentos Operativos Padrão - POP; Planos Operaciona; Plano Estratégico da Policia Militar, Policia Civil e Policia Técnico Científica</t>
    </r>
  </si>
  <si>
    <t>SBQC</t>
  </si>
  <si>
    <t>Ex-ante</t>
  </si>
  <si>
    <t>Dez-17</t>
  </si>
  <si>
    <r>
      <t xml:space="preserve">1.2.1. Consultoria: </t>
    </r>
    <r>
      <rPr>
        <sz val="8"/>
        <rFont val="Arial"/>
        <family val="2"/>
      </rPr>
      <t xml:space="preserve">Elaboração de Projeto Executivo e Estudos </t>
    </r>
  </si>
  <si>
    <t>Dez-15</t>
  </si>
  <si>
    <r>
      <t xml:space="preserve">2.1.1. Consultoria: </t>
    </r>
    <r>
      <rPr>
        <sz val="8"/>
        <rFont val="Arial"/>
        <family val="2"/>
      </rPr>
      <t>Centros contratados e implantados</t>
    </r>
  </si>
  <si>
    <r>
      <t xml:space="preserve">2.2.1. Consultoria: </t>
    </r>
    <r>
      <rPr>
        <sz val="8"/>
        <rFont val="Arial"/>
        <family val="2"/>
      </rPr>
      <t xml:space="preserve">Elaboração de Projeto Executivo e Estudos </t>
    </r>
  </si>
  <si>
    <r>
      <t xml:space="preserve">2.3.1. Consultoria: </t>
    </r>
    <r>
      <rPr>
        <sz val="8"/>
        <rFont val="Arial"/>
        <family val="2"/>
      </rPr>
      <t xml:space="preserve">Elaboração de Projeto Executivo e Estudos </t>
    </r>
  </si>
  <si>
    <t>Dez-16</t>
  </si>
  <si>
    <r>
      <t xml:space="preserve">2.4.1. Consultoria: </t>
    </r>
    <r>
      <rPr>
        <sz val="8"/>
        <rFont val="Arial"/>
        <family val="2"/>
      </rPr>
      <t>88 Coordenadores contratados</t>
    </r>
  </si>
  <si>
    <r>
      <t xml:space="preserve">3.2.1. Consultoria: </t>
    </r>
    <r>
      <rPr>
        <sz val="8"/>
        <rFont val="Arial"/>
        <family val="2"/>
      </rPr>
      <t>Adequação do SIASES,  construção de novos módulos e capacitação do uso do SIASES</t>
    </r>
  </si>
  <si>
    <r>
      <t xml:space="preserve">3.3.6. Consultoria: </t>
    </r>
    <r>
      <rPr>
        <sz val="8"/>
        <rFont val="Arial"/>
        <family val="2"/>
      </rPr>
      <t>Coating p/ inserção laboral de egressos</t>
    </r>
  </si>
  <si>
    <r>
      <t xml:space="preserve">4.1.1. Consultoria: </t>
    </r>
    <r>
      <rPr>
        <sz val="8"/>
        <rFont val="Arial"/>
        <family val="2"/>
      </rPr>
      <t xml:space="preserve">Apoio Técnico ao Gerenciamento das ações do Programa </t>
    </r>
  </si>
  <si>
    <t>SQC</t>
  </si>
  <si>
    <t>Dez-19</t>
  </si>
  <si>
    <t>TOTAL 1</t>
  </si>
  <si>
    <t>2. AQUISIÇÃO DE BENS E SERVIÇOS (Q NÃO DE CONSULTORIA)</t>
  </si>
  <si>
    <r>
      <t xml:space="preserve">1.4.1. Aquisição de viaturas para radiopatrulhamento comunitário: </t>
    </r>
    <r>
      <rPr>
        <sz val="8"/>
        <rFont val="Arial"/>
        <family val="2"/>
      </rPr>
      <t>102 veículos do tipo Station Wagon, adaptadas e equipadas, para atendimento dos 05 anos do projeto (implementação e substituição).</t>
    </r>
  </si>
  <si>
    <t>PE / ATA</t>
  </si>
  <si>
    <t>Dez-18</t>
  </si>
  <si>
    <t>Diversas aquisições/Ano</t>
  </si>
  <si>
    <r>
      <t xml:space="preserve">1.4.2. Aquisição de viaturas para radiopatrulhamento comunitário: </t>
    </r>
    <r>
      <rPr>
        <sz val="8"/>
        <rFont val="Arial"/>
        <family val="2"/>
      </rPr>
      <t>102 veículos do tipo Camionetes 4x4, adaptadas e equipadas, para atendimento dos 05 anos do projeto (implementação e substituição).</t>
    </r>
  </si>
  <si>
    <t>1.1. Modelo de planejamento e gestão integrada orientada para resultados da segurança pública, incluindo a modernização das tecnologias de informação sobre o crime, apoio para a análise e investigação criminal, implementado</t>
  </si>
  <si>
    <t>1.2. Centro que integre a Perícia Técnico-Científica do Espírito Santo construído</t>
  </si>
  <si>
    <t>1.3. Efetivo de policiamento comunitário capacitado</t>
  </si>
  <si>
    <t>1.4. Equipes de policiais militares capacitados e equipados para a execuçao do policiamento comunitário</t>
  </si>
  <si>
    <t xml:space="preserve">1.6. Certificação do adequado funcionamento do controle externo e interno das polícias nos territórios do Programa </t>
  </si>
  <si>
    <t>1.5. Foros Comunitários de Segurança Pública implantados e operando nos territórios do Programa</t>
  </si>
  <si>
    <t>A.1. Estruturação da Unidade de Gestão do Programa</t>
  </si>
  <si>
    <t>A.1.1. Realizar apoio técnico ao gerenciamento das ações do Programa</t>
  </si>
  <si>
    <t>A.1.2. Contratar vagas em cursos existentes no mercado/capacitação diversas da equipe</t>
  </si>
  <si>
    <t>A.1.3. Deslocamentos diversos da equipe da UGP</t>
  </si>
  <si>
    <t>A.1.4. Adquirir hardware e software</t>
  </si>
  <si>
    <t>A.1.5. Adquirir mobiliário</t>
  </si>
  <si>
    <t>A.1.6. Adquirir materiais para divulgação</t>
  </si>
  <si>
    <t>A.1.7. Adequação de espaços físicos</t>
  </si>
  <si>
    <t>A.1.8. Organizar eventos relativos ao Programa</t>
  </si>
  <si>
    <t>2.1. Centros de Cidadania (CC) para práticas esportivas, culturais, recreativas, de educação supletiva e formação para o trabalho implantadas</t>
  </si>
  <si>
    <t>2.4. Ações voltadas ao sistema educativo que promovam a permanência dos jovens na escola e a conclusão do Ensino Fundamental e Ensino Médio implantadas</t>
  </si>
  <si>
    <t>Contratação dos serviços de UNODC para cerificação duas vezes por ano e melhorar os sistemas de controle externo e interno das polícia nos territórios do Programa</t>
  </si>
  <si>
    <r>
      <t xml:space="preserve">BANCO INTERAMERICANO DE DESENVOLVIMENTO
</t>
    </r>
    <r>
      <rPr>
        <b/>
        <i/>
        <u/>
        <sz val="14"/>
        <color indexed="8"/>
        <rFont val="Arial"/>
        <family val="2"/>
      </rPr>
      <t>Programa Estado Presente</t>
    </r>
  </si>
  <si>
    <t>BR-L1387</t>
  </si>
  <si>
    <t>PLANO DE AQUISIÇÕES (PA)</t>
  </si>
  <si>
    <t>id.</t>
  </si>
  <si>
    <t>Comp.</t>
  </si>
  <si>
    <t>DESCRIÇÃO DO CONTRATO
AÇÃO PROPOSTA</t>
  </si>
  <si>
    <t>CUSTO ESTIMADO 
R$</t>
  </si>
  <si>
    <t>CUSTO ESTIMADO
US$</t>
  </si>
  <si>
    <t>FONTE</t>
  </si>
  <si>
    <t>MÉTODO</t>
  </si>
  <si>
    <t>REVISÃO</t>
  </si>
  <si>
    <t>DATAS ESTIMADAS</t>
  </si>
  <si>
    <t>COMENTÁRIO</t>
  </si>
  <si>
    <t>3.2.1. Realizar adequação do SIASES, construir novos módulos e capacitar para o uso do SIASES</t>
  </si>
  <si>
    <t>Consultoria para a adequaçào do SIASES, construção de novos módulos e capacitação para o uso do SIASES</t>
  </si>
  <si>
    <t>3.3.1. Adequar o espaço físico</t>
  </si>
  <si>
    <t>3.3.6. Realizar coaching para inserção laboral de egressos</t>
  </si>
  <si>
    <t>Adequação do espaço físico</t>
  </si>
  <si>
    <t>Aluguel do imóvel</t>
  </si>
  <si>
    <t>Disponibilização de pessoal</t>
  </si>
  <si>
    <t>Aquisição de mobiliário e equipamento de informática</t>
  </si>
  <si>
    <t>3.3.4. Adquirir mobiliário e equipamento de informática</t>
  </si>
  <si>
    <t>3.3.3. Disponibilizar pessoal para trabalhar no CAIS</t>
  </si>
  <si>
    <t>3.3.2. Alugar imóvel</t>
  </si>
  <si>
    <t>3.3.5. Adquirir material de consumo</t>
  </si>
  <si>
    <t>Aquisição de material de consumo</t>
  </si>
  <si>
    <t>Coaching para inserção laboral de egressos</t>
  </si>
  <si>
    <t>3.4.1. Realizar cursos profissionalizantes com turmas internas para internados e turmas externas para internados e egressos</t>
  </si>
  <si>
    <t>3.4.2. Realizar capacitações esportivas, culturais, de formação profissional e mediação de conflitos, entre outros.</t>
  </si>
  <si>
    <t>Cursos profissionalizantes para turmas internas e inserção de adolescentes internados e egressos em turmas externas</t>
  </si>
  <si>
    <t>Capacitaçào com oficinas de esporte, cultura, formação, mediação, etc.</t>
  </si>
  <si>
    <t>Equipamento de videomonitoramento para unidades socioeducativas e central</t>
  </si>
  <si>
    <t>Apoio técnico ao gerenciamento das ações do Programa</t>
  </si>
  <si>
    <r>
      <t xml:space="preserve">LINHA BASE: </t>
    </r>
    <r>
      <rPr>
        <sz val="8"/>
        <color indexed="8"/>
        <rFont val="Arial"/>
        <family val="2"/>
      </rPr>
      <t xml:space="preserve">Dotar o escritório de projetos de condições para o acompanhamento e avaliação do andamento do projeto     
</t>
    </r>
    <r>
      <rPr>
        <b/>
        <sz val="8"/>
        <color indexed="8"/>
        <rFont val="Arial"/>
        <family val="2"/>
      </rPr>
      <t>META</t>
    </r>
    <r>
      <rPr>
        <sz val="8"/>
        <color indexed="8"/>
        <rFont val="Arial"/>
        <family val="2"/>
      </rPr>
      <t xml:space="preserve">:                          </t>
    </r>
  </si>
  <si>
    <t>LINHA BASE:
META:</t>
  </si>
  <si>
    <t>Contratação de vagas em cursos existentes no mercado/ Capacitações diversas da equipe da UGP</t>
  </si>
  <si>
    <t>Deslocamentos diversos da equipe da UGP</t>
  </si>
  <si>
    <t>Aquisição de hardware e software</t>
  </si>
  <si>
    <t>Bens, Equipamento e Sistemas de Informação</t>
  </si>
  <si>
    <t>Aquisição de móveis</t>
  </si>
  <si>
    <t>Aquisição de materiais p/ divulgação</t>
  </si>
  <si>
    <t>Adequação física</t>
  </si>
  <si>
    <t>Empresa para organização de eventos</t>
  </si>
  <si>
    <r>
      <t>LINHA BASE:</t>
    </r>
    <r>
      <rPr>
        <sz val="8"/>
        <color indexed="8"/>
        <rFont val="Arial"/>
        <family val="2"/>
      </rPr>
      <t xml:space="preserve"> Há CAPS-ad implantados nos municípios do Programa exceto em Guarapari e Cariacica</t>
    </r>
    <r>
      <rPr>
        <b/>
        <sz val="8"/>
        <color indexed="8"/>
        <rFont val="Arial"/>
        <family val="2"/>
      </rPr>
      <t xml:space="preserve">
METAS: </t>
    </r>
    <r>
      <rPr>
        <sz val="8"/>
        <color indexed="8"/>
        <rFont val="Arial"/>
        <family val="2"/>
      </rPr>
      <t>CAPS-ad implantados em todos os municípios do Programa</t>
    </r>
  </si>
  <si>
    <t>2.3.3. Capacitar para a realização oficinas terapêuticas nos CAPS</t>
  </si>
  <si>
    <t>2.3.4. Realizar cursos de qualificação profissional nas áreas de Captação de Recursos, redução de danos e atenção psicossocial</t>
  </si>
  <si>
    <t>Realização de Oficinas Terapêuticas nos CAPS</t>
  </si>
  <si>
    <t>Elaboração de Projeto Executivo e Estudos</t>
  </si>
  <si>
    <t>Construção de 2 CAPS-ad (em Guarapari e Cariacica)</t>
  </si>
  <si>
    <t>Realizaçao de cursos de qualificação profissional nas áreas de captação de recursos, redução de danos e atenção psicossocial</t>
  </si>
  <si>
    <t>2.4. Ações voltadas ao sistema educativo que promovam a permanência dos jovens na escola e a conclusão do Ensino Fundamental e Ensino Médio implantadas (Coordenadores de Pais)</t>
  </si>
  <si>
    <t>2.2. Estação de Conhecimento implantado</t>
  </si>
  <si>
    <t>2.1. 14 Centros de Cidadania (CC) para práticas esportivas, culturais, recreativas, de educação supletiva e formação para o trabalho implantadas</t>
  </si>
  <si>
    <r>
      <t xml:space="preserve">LINHA BASE:
METAS: </t>
    </r>
    <r>
      <rPr>
        <sz val="8"/>
        <color indexed="8"/>
        <rFont val="Arial"/>
        <family val="2"/>
      </rPr>
      <t>88 escolas com Coordenadores de Pais (44 Ensino Fundamental e 44 Ensino Médio)</t>
    </r>
  </si>
  <si>
    <t>2.4.1. Contratar consultoria para 88 Coordenadores de Pais</t>
  </si>
  <si>
    <t>88 Coordenadores de Pais contratados</t>
  </si>
  <si>
    <t>3.1. Plano de formação contínua para servidores do IASES, implantado</t>
  </si>
  <si>
    <t>3.2. Modernização do sistema de gestão de dados do IASES, implementada</t>
  </si>
  <si>
    <t>3.3. Centro de Atenção e Inclusão Social (CAIS) de apio à reintegração de jovens egressos das unidades socioeducativas do IASES, implantado</t>
  </si>
  <si>
    <t>3.4. Jovens internados atendidos com serviços de esporte, lazer, cultura, formação profissional, capacitação laboral, etc.</t>
  </si>
  <si>
    <t>3.5. Sistema de videomonitoramento implantado nas unidades do IASES</t>
  </si>
  <si>
    <t>3.5.1. Adquirir equipamento de videomonitoramento para unidades socioeducativas e central</t>
  </si>
  <si>
    <t xml:space="preserve">3.1.1. Elaborar e implementar o plano de formação
</t>
  </si>
  <si>
    <t xml:space="preserve">Elaboração e implementação do plano de formação contínua </t>
  </si>
  <si>
    <t>Aquisição de viaturas para radiopatrulhamento comunitário: 102 veículos do tipo Station Wagon, adaptadas e equipadas, para atendimento dos 05 anos do projeto (implementação e substituição).</t>
  </si>
  <si>
    <t>Aquisição de viaturas para radiopatrulhamento comunitário: 102 veículos do tipo Camionetes 4x4, adaptadas e equipadas, para atendimento dos 05 anos do projeto (implementação e substituição).</t>
  </si>
  <si>
    <t>Aquisição de viaturas para motopatrulhamento comunitário: 222 veículos do tipo motocicleta (250 a 300 cc), adaptadas e equipadas, para atendimento dos 05 anos do projeto  (implementação e substituição).</t>
  </si>
  <si>
    <t xml:space="preserve">Aquisição de Equipamentos de Comunicação: 235 rádios transceptores portáteis, para atendimento dos 05 anos do projeto. </t>
  </si>
  <si>
    <t>Aquisição de Postos (Bases) Móveis Comunitárias: 16 veículos tipo furgão, adaptado e equipado (sendo 02 reservas), para atendimento dos 05 anos do projeto.</t>
  </si>
  <si>
    <t>Aquisição de Bicilcetas para ciclopatrulhamento comunitário: 184 bicicletas tipo montain bike, adaptadas, para atendimento dos 05 anos do projeto.</t>
  </si>
  <si>
    <t>1.5 14 Foros Comunitários de Segurança Pública implantados e operando nos aglomerados de bairros alvos do Programa</t>
  </si>
  <si>
    <t>2.1.2. Oferecer bolsas aos jovens promotores dos CC</t>
  </si>
  <si>
    <r>
      <t xml:space="preserve">LINHA BASE: </t>
    </r>
    <r>
      <rPr>
        <sz val="8"/>
        <color indexed="8"/>
        <rFont val="Arial"/>
        <family val="2"/>
      </rPr>
      <t>Não há centros similares nos territórios do Programa</t>
    </r>
    <r>
      <rPr>
        <b/>
        <sz val="8"/>
        <color indexed="8"/>
        <rFont val="Arial"/>
        <family val="2"/>
        <charset val="1"/>
      </rPr>
      <t xml:space="preserve">
METAS: </t>
    </r>
    <r>
      <rPr>
        <sz val="8"/>
        <color indexed="8"/>
        <rFont val="Arial"/>
        <family val="2"/>
      </rPr>
      <t>Implantar 14 CC para jovens</t>
    </r>
  </si>
  <si>
    <t>Convênios/Deslocamento</t>
  </si>
  <si>
    <t>Serviços Técnicos que não Consultoria</t>
  </si>
  <si>
    <t>2.1.1. Contratar ente para gestão dos CC</t>
  </si>
  <si>
    <t>Contratação de consultoria para a implementação e gestão dos CC</t>
  </si>
  <si>
    <t>2.2.1. Elaborar o Projeto Executivo e Estudos</t>
  </si>
  <si>
    <t>2.2.2. Construir a Estação de Conhecimento</t>
  </si>
  <si>
    <t>2.2.3. Adquirir equipamentos</t>
  </si>
  <si>
    <r>
      <rPr>
        <b/>
        <sz val="8"/>
        <rFont val="Arial"/>
        <family val="2"/>
      </rPr>
      <t xml:space="preserve">LINHA BASE: </t>
    </r>
    <r>
      <rPr>
        <b/>
        <sz val="8"/>
        <color indexed="8"/>
        <rFont val="Arial"/>
        <family val="2"/>
      </rPr>
      <t xml:space="preserve">
METAS:</t>
    </r>
  </si>
  <si>
    <t>Construção da Estação de Conhecimento</t>
  </si>
  <si>
    <t>2.3. Cobertura de serviços de assistência a dependentes de álcool e drogas, ampliada</t>
  </si>
  <si>
    <t>2.3.1. Elaboração/adequação de projeto executivo e estudos</t>
  </si>
  <si>
    <t>2.3.2. Construir 2 CAPS</t>
  </si>
  <si>
    <t>1.2 Centro que integre a Perícia Técnico-Científica do Espírito Santo construído</t>
  </si>
  <si>
    <r>
      <t xml:space="preserve">LINHA BASE: </t>
    </r>
    <r>
      <rPr>
        <sz val="8"/>
        <rFont val="Arial"/>
        <family val="2"/>
      </rPr>
      <t>Perícia Técnico-Científica alocada em diversos edifícios</t>
    </r>
    <r>
      <rPr>
        <sz val="8"/>
        <rFont val="Arial"/>
        <family val="2"/>
        <charset val="1"/>
      </rPr>
      <t xml:space="preserve">
</t>
    </r>
    <r>
      <rPr>
        <b/>
        <sz val="8"/>
        <rFont val="Arial"/>
        <family val="2"/>
        <charset val="1"/>
      </rPr>
      <t xml:space="preserve">
METAS: </t>
    </r>
    <r>
      <rPr>
        <sz val="8"/>
        <rFont val="Arial"/>
        <family val="2"/>
      </rPr>
      <t>Perícia Técnico-Científica instalada e funcionando a partir de um único edifício</t>
    </r>
    <r>
      <rPr>
        <b/>
        <sz val="8"/>
        <rFont val="Arial"/>
        <family val="2"/>
        <charset val="1"/>
      </rPr>
      <t xml:space="preserve">
</t>
    </r>
  </si>
  <si>
    <t>1.2.1 Elaborar o Projeto Executivo e Estudos</t>
  </si>
  <si>
    <t>Contratação de consultoria para a elaboraçào de Projeto Executivo e Estudos</t>
  </si>
  <si>
    <t>1.2.2 Construir o Centro</t>
  </si>
  <si>
    <t>Capacitação em cursos diversos</t>
  </si>
  <si>
    <t>1.3.1 Capacitar os efetivos policiais em cursos de atendimento comunitário, direitos humanos, mediação, resolução de conflitos, análise criminal e outros</t>
  </si>
  <si>
    <t>1.4 Equipes de policiais militares capacitados e equipados para a execuçao do policiamento comunitário, visando administrar e prevenir conflitos e relacionar-se com a comunidade, principalmente com a população jovem, nos aglomerados definidos pelo Programa</t>
  </si>
  <si>
    <t>1.3 Efetivo de policiamento comunitário capacitado</t>
  </si>
  <si>
    <t>1.4.1. Aquisição de viaturas para radiopatrulhamento comunitário: 102 veículos do tipo Station Wagon, adaptadas e equipadas, para atendimento dos 05 anos do projeto (implementação e substituição).</t>
  </si>
  <si>
    <t>1.4.2. Aquisição de viaturas para radiopatrulhamento comunitário: 102 veículos do tipo Camionetes 4x4, adaptadas e equipadas, para atendimento dos 05 anos do projeto (implementação e substituição).</t>
  </si>
  <si>
    <t>1.4.3. Aquisição de viaturas para motopatrulhamento comunitário: 222 veículos do tipo motocicleta (250 a 300 cc), adaptadas e equipadas, para atendimento dos 05 anos do projeto  (implementação e substituição).</t>
  </si>
  <si>
    <t xml:space="preserve">1.4.4. Aquisição de Equipamentos de Comunicação: 235 rádios transceptores portáteis, para atendimento dos 05 anos do projeto. </t>
  </si>
  <si>
    <t>1.4.5.  Aquisição de Postos (Bases) Móveis Comunitárias: 16 veículos tipo furgão, adaptado e equipado (sendo 02 reservas), para atendimento dos 05 anos do projeto.</t>
  </si>
  <si>
    <t>1.4.6. Aquisição de Bicilcetas para ciclopatrulhamento comunitário: 184 bicicletas tipo montain bike, adaptadas, para atendimento dos 05 anos do projeto.</t>
  </si>
  <si>
    <t>V- PRODUTOS, ATIVIDADES E RECURSOS</t>
  </si>
  <si>
    <t>Produtos</t>
  </si>
  <si>
    <t>Atividades</t>
  </si>
  <si>
    <t>Meta e Linha de Base</t>
  </si>
  <si>
    <t>Capacitação</t>
  </si>
  <si>
    <t>Consultoria</t>
  </si>
  <si>
    <t>Bens e Equipamentos</t>
  </si>
  <si>
    <t>Serviços Técnicos que nâo Consultoria</t>
  </si>
  <si>
    <t>Obras</t>
  </si>
  <si>
    <t>Especificação</t>
  </si>
  <si>
    <t>Qt. Part.</t>
  </si>
  <si>
    <t>Unitário</t>
  </si>
  <si>
    <t>Total</t>
  </si>
  <si>
    <t>Área</t>
  </si>
  <si>
    <t>Dias</t>
  </si>
  <si>
    <t>Tipo</t>
  </si>
  <si>
    <t>Qt.</t>
  </si>
  <si>
    <t>Descrição</t>
  </si>
  <si>
    <t>ÍNDICE</t>
  </si>
  <si>
    <t>Planilha</t>
  </si>
  <si>
    <t>Assunto</t>
  </si>
  <si>
    <t>Capa</t>
  </si>
  <si>
    <t>Índice</t>
  </si>
  <si>
    <t>Componentes e Produtos</t>
  </si>
  <si>
    <t xml:space="preserve">COMPONENTE 1 </t>
  </si>
  <si>
    <t>COMPONENTE 2</t>
  </si>
  <si>
    <t>ADM</t>
  </si>
  <si>
    <t>Consolidação por Tipo de Recurso</t>
  </si>
  <si>
    <t>Cronograma Físico e Financeiro</t>
  </si>
  <si>
    <t>Orçamento Global</t>
  </si>
  <si>
    <t xml:space="preserve">Plano de Aquisições - 18 meses </t>
  </si>
  <si>
    <t>Taxa de Câmbio:</t>
  </si>
  <si>
    <t xml:space="preserve">1 US$ </t>
  </si>
  <si>
    <t>IV- COMPONENTES E PRODUTOS</t>
  </si>
  <si>
    <t>COMPONENTES</t>
  </si>
  <si>
    <t>PRODUTOS</t>
  </si>
  <si>
    <t>Prior.</t>
  </si>
  <si>
    <t>US$</t>
  </si>
  <si>
    <t>R$</t>
  </si>
  <si>
    <t>POA/PA</t>
  </si>
  <si>
    <t>Líder</t>
  </si>
  <si>
    <t>Coordenadoria</t>
  </si>
  <si>
    <t>Ramal</t>
  </si>
  <si>
    <t>E-mail</t>
  </si>
  <si>
    <t>CUSTOS DIRETOS</t>
  </si>
  <si>
    <t>PLANO DE AÇÃO E DE INVESTIMENTOS (PAI)
PLANO DE EXECUÇÃO (PEP)
PLANO OPERACIONAL (POA)
PLANO DE AQUISIÇÕES (PA)</t>
  </si>
  <si>
    <t>Administração</t>
  </si>
  <si>
    <t>LINHA BASE:
METAS:</t>
  </si>
  <si>
    <t>Construção do Centro de Perícia Técnico-Científica no município de Serra</t>
  </si>
  <si>
    <r>
      <t xml:space="preserve">LINHA BASE: </t>
    </r>
    <r>
      <rPr>
        <sz val="8"/>
        <rFont val="Arial"/>
        <family val="2"/>
      </rPr>
      <t>Modelo de Gestão</t>
    </r>
    <r>
      <rPr>
        <sz val="8"/>
        <rFont val="Arial"/>
        <family val="2"/>
        <charset val="1"/>
      </rPr>
      <t xml:space="preserve">
</t>
    </r>
    <r>
      <rPr>
        <b/>
        <sz val="8"/>
        <rFont val="Arial"/>
        <family val="2"/>
        <charset val="1"/>
      </rPr>
      <t xml:space="preserve">METAS: </t>
    </r>
    <r>
      <rPr>
        <sz val="8"/>
        <rFont val="Arial"/>
        <family val="2"/>
      </rPr>
      <t>Modelo de planejamento e gestão integrada e orientada para resultados da segurança pública implementado</t>
    </r>
  </si>
  <si>
    <t>Contratação de Consultoria para elaborar o modelo de planejamento e gestão integrada orientada para resultados da segurança pública</t>
  </si>
  <si>
    <t>1.1.1. Elaborar o Modelo de planejamento e gestão integrada orientada para resultados da segurança pública</t>
  </si>
  <si>
    <t>Contratação de Consultoria para desenvolver o Sistema de Gestão de Segurança Pública com Indicadores e Metas; Procedimentos Operativos Padrão - POP; Planos Operacionais; Plano Estratégico da Policia Militar, Policia Civil e Policia Técnico Científica</t>
  </si>
  <si>
    <t>1.1.2. Desenvolver o Sistema de Gestão de Segurança Pública com Indicadores e Metas; Procedimentos Operativos Padrão - POP; Planos Operacionais; Plano Estratégico da Policia Militar, Policia Civil e Policia Técnico Científica</t>
  </si>
  <si>
    <r>
      <t>LINHA DE BASE:</t>
    </r>
    <r>
      <rPr>
        <b/>
        <sz val="8"/>
        <rFont val="Arial"/>
        <family val="2"/>
      </rPr>
      <t xml:space="preserve">   
METAS:</t>
    </r>
    <r>
      <rPr>
        <sz val="8"/>
        <rFont val="Arial"/>
        <family val="2"/>
      </rPr>
      <t xml:space="preserve"> </t>
    </r>
    <phoneticPr fontId="34" type="noConversion"/>
  </si>
  <si>
    <t xml:space="preserve">LINHA DE BASE:   
METAS: </t>
  </si>
  <si>
    <t>COMPONENTE 3</t>
  </si>
  <si>
    <t>Plano de Execução do Programa (PEP) e Plano Operativo Anual (POA)</t>
  </si>
  <si>
    <t>X- ORÇAMENTO GLOBAL (US$)</t>
  </si>
  <si>
    <t>X - ORÇAMENTO GLOBAL (R$)</t>
  </si>
  <si>
    <t>PROGRAMA DE SEGURANÇA CIDADÃ NO ESPÍRITO SANTO</t>
  </si>
  <si>
    <t>SECRETARIA DE ESTADO EXTRAORDINÁRIA DE AÇÕES ESTRATÉGICAS - SEAE</t>
  </si>
  <si>
    <t>COMPONENTE 1: MELHORA DA EFETIVIDADE POLICIAL PARA A PREVENÇÃO, CONTROLE E INVESTIGAÇÃO DO CRIME</t>
  </si>
  <si>
    <t>COMPONENTE 2: PREVENÇÃO SOCIAL DA VIOLÊNCIA PARA A POPULAÇÃO JOVEM</t>
  </si>
  <si>
    <t>COMPONENTE 3: MODERNIZAÇÃO DO PROCESSO DE RESSOCIALIZAÇÃO</t>
  </si>
  <si>
    <t>Convênios/Dislocamento</t>
  </si>
  <si>
    <t xml:space="preserve">1.6 Certificação do adequado funcionamento do controle externo e interno das policias nos territórios do Programa </t>
  </si>
  <si>
    <t>TOTAL</t>
  </si>
  <si>
    <t>Deslocamentos</t>
  </si>
  <si>
    <t>VI- CONSOLIDAÇÃO POR TIPO DE RECURSO (R$)</t>
  </si>
  <si>
    <t>ESTA PLANILHA NÃO DEVE SER PREENCHIDA. CONSOLIDA OS RECURSOS DOS COMPONENTES E SUBCOMPONENTES.</t>
  </si>
  <si>
    <t xml:space="preserve">COMPONENTE </t>
  </si>
  <si>
    <t>Equip e Sistemas de Informação</t>
  </si>
  <si>
    <t>%</t>
  </si>
  <si>
    <t>SUBTOTAL CUSTOS DIRETOS</t>
  </si>
  <si>
    <t xml:space="preserve">% </t>
  </si>
  <si>
    <t>SUBTOTAL ADMINISTRAÇÃO</t>
  </si>
  <si>
    <t>TOTAL GERAL</t>
  </si>
  <si>
    <t>VI - CONSOLIDAÇÃO POR TIPO DE RECURSO (US$)</t>
  </si>
  <si>
    <t xml:space="preserve">1 US$ = </t>
  </si>
  <si>
    <t>Valores em US$</t>
  </si>
  <si>
    <t>COMPONENTE / SUBCOMPONENTE</t>
  </si>
  <si>
    <t>VII- CRONOGRAMA FÍSICO E FINANCEIRO</t>
  </si>
  <si>
    <t>Início do Projeto:</t>
  </si>
  <si>
    <t>Duração (meses)</t>
  </si>
  <si>
    <t>Data Término</t>
  </si>
  <si>
    <t>Valor</t>
  </si>
  <si>
    <t>Ano 1</t>
  </si>
  <si>
    <t>Ano 2</t>
  </si>
  <si>
    <t>Ano 3</t>
  </si>
  <si>
    <t>Ano 4</t>
  </si>
  <si>
    <t>Ano 5</t>
  </si>
  <si>
    <t>Produto</t>
  </si>
  <si>
    <t>VIII- DISTRIBUIÇÃO POR FONTE</t>
  </si>
  <si>
    <t>COMPONENTES E PRODUTOS</t>
  </si>
  <si>
    <t>BID</t>
  </si>
  <si>
    <t>Local</t>
  </si>
  <si>
    <t>CUSTOS TOTAIS (DIRETOS+ADM)</t>
  </si>
  <si>
    <t>ITENS</t>
  </si>
  <si>
    <t>Programação Desembolso</t>
  </si>
  <si>
    <t>Diferença</t>
  </si>
  <si>
    <t>A. Administração</t>
  </si>
  <si>
    <t>A3 - Equipe de Projeto</t>
  </si>
  <si>
    <t>B. Custos Diretos</t>
  </si>
  <si>
    <t>TOTAL DO PROJETO</t>
  </si>
  <si>
    <t>1 US$ =</t>
  </si>
  <si>
    <t>1. SERVIÇOS DE CONSULTORIA</t>
  </si>
  <si>
    <t>Bolsas para Monitores Jovens</t>
  </si>
  <si>
    <t>Total..........</t>
  </si>
  <si>
    <t>Valores em R$</t>
  </si>
  <si>
    <t>ADMINISTRAÇÃO</t>
  </si>
  <si>
    <t>3.3. Centro de Atenção e Inclusão Social (CAIS) de apoio à reintegração de jovens egressos das unidades socioeducativas do IASES, implantado</t>
  </si>
  <si>
    <t>ABRIL DE 2014</t>
  </si>
  <si>
    <r>
      <rPr>
        <b/>
        <i/>
        <sz val="12"/>
        <color indexed="8"/>
        <rFont val="Arial"/>
        <family val="2"/>
      </rPr>
      <t>Versão:</t>
    </r>
    <r>
      <rPr>
        <sz val="12"/>
        <color indexed="8"/>
        <rFont val="Arial"/>
        <family val="2"/>
      </rPr>
      <t xml:space="preserve"> POD, Abril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</si>
</sst>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(* #,##0.00_);_(* \(#,##0.00\);_(* &quot;-&quot;??_);_(@_)"/>
    <numFmt numFmtId="164" formatCode="#,##0.00\ ;&quot; (&quot;#,##0.00\);&quot; -&quot;#\ ;@\ "/>
    <numFmt numFmtId="165" formatCode="mm/yy"/>
    <numFmt numFmtId="166" formatCode="&quot;R$ &quot;#,##0.00"/>
    <numFmt numFmtId="167" formatCode="#,##0\ ;&quot; (&quot;#,##0\);&quot; -&quot;#\ ;@\ "/>
    <numFmt numFmtId="168" formatCode="#,##0.00\ ;\-#,##0.00\ ;&quot; -&quot;#\ ;@\ "/>
    <numFmt numFmtId="169" formatCode="#,##0.0\ ;&quot; (&quot;#,##0.0\);&quot; -&quot;#\ ;@\ "/>
    <numFmt numFmtId="170" formatCode="#,##0.00000"/>
    <numFmt numFmtId="171" formatCode="&quot;R$ &quot;#,##0.00\ ;[Red]&quot;(R$ &quot;#,##0.00\)"/>
    <numFmt numFmtId="172" formatCode="d/m/yyyy"/>
    <numFmt numFmtId="173" formatCode="dd/mm/yy"/>
    <numFmt numFmtId="174" formatCode="mmm\-yy;@"/>
    <numFmt numFmtId="175" formatCode="#,##0.000\ ;&quot; (&quot;#,##0.000\);&quot; -&quot;#\ ;@\ "/>
    <numFmt numFmtId="176" formatCode="#,##0.00000000\ ;&quot; (&quot;#,##0.00000000\);&quot; -&quot;#\ ;@\ "/>
    <numFmt numFmtId="177" formatCode="#,##0.00\ ;&quot; (&quot;#,##0.00\);&quot; -&quot;#.00\ ;@\ "/>
    <numFmt numFmtId="178" formatCode="[$-416]mmm\-yy;@"/>
    <numFmt numFmtId="179" formatCode="_(* #,##0_);_(* \(#,##0\);_(* &quot;-&quot;??_);_(@_)"/>
    <numFmt numFmtId="180" formatCode="#,##0.00\ ;&quot; (&quot;#,##0.00\);&quot; -&quot;#.0\ ;@\ "/>
    <numFmt numFmtId="181" formatCode="0.00000000"/>
    <numFmt numFmtId="182" formatCode="0.0%"/>
  </numFmts>
  <fonts count="4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b/>
      <sz val="14"/>
      <color indexed="48"/>
      <name val="Arial"/>
      <family val="2"/>
    </font>
    <font>
      <sz val="10"/>
      <color indexed="4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9"/>
      <color indexed="12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8"/>
      <color indexed="8"/>
      <name val="Arial"/>
      <family val="2"/>
      <charset val="1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indexed="8"/>
      <name val="Arial"/>
      <family val="2"/>
      <charset val="1"/>
    </font>
    <font>
      <sz val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rgb="FF00B050"/>
      <name val="Arial"/>
      <family val="2"/>
      <charset val="1"/>
    </font>
    <font>
      <sz val="8"/>
      <name val="Verdana"/>
      <family val="2"/>
    </font>
    <font>
      <b/>
      <sz val="8"/>
      <name val="Arial"/>
      <family val="2"/>
      <charset val="1"/>
    </font>
    <font>
      <b/>
      <sz val="14"/>
      <color indexed="8"/>
      <name val="Arial"/>
      <family val="2"/>
    </font>
    <font>
      <b/>
      <i/>
      <u/>
      <sz val="14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Arial"/>
      <family val="2"/>
    </font>
    <font>
      <sz val="10"/>
      <color theme="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45"/>
      </patternFill>
    </fill>
    <fill>
      <patternFill patternType="solid">
        <fgColor indexed="47"/>
        <bgColor indexed="45"/>
      </patternFill>
    </fill>
    <fill>
      <patternFill patternType="solid">
        <fgColor indexed="44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4"/>
        <bgColor indexed="44"/>
      </patternFill>
    </fill>
    <fill>
      <patternFill patternType="solid">
        <fgColor indexed="46"/>
        <bgColor indexed="4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31"/>
      </patternFill>
    </fill>
  </fills>
  <borders count="27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3"/>
      </right>
      <top style="medium">
        <color indexed="64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medium">
        <color indexed="64"/>
      </top>
      <bottom style="hair">
        <color indexed="63"/>
      </bottom>
      <diagonal/>
    </border>
    <border>
      <left style="hair">
        <color indexed="63"/>
      </left>
      <right style="medium">
        <color indexed="64"/>
      </right>
      <top style="medium">
        <color indexed="64"/>
      </top>
      <bottom style="hair">
        <color indexed="63"/>
      </bottom>
      <diagonal/>
    </border>
    <border>
      <left style="hair">
        <color indexed="63"/>
      </left>
      <right style="medium">
        <color indexed="64"/>
      </right>
      <top style="hair">
        <color indexed="63"/>
      </top>
      <bottom style="hair">
        <color indexed="63"/>
      </bottom>
      <diagonal/>
    </border>
    <border>
      <left/>
      <right style="hair">
        <color indexed="63"/>
      </right>
      <top style="hair">
        <color indexed="63"/>
      </top>
      <bottom style="medium">
        <color indexed="64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medium">
        <color indexed="64"/>
      </bottom>
      <diagonal/>
    </border>
    <border>
      <left style="hair">
        <color indexed="63"/>
      </left>
      <right style="medium">
        <color indexed="64"/>
      </right>
      <top style="hair">
        <color indexed="63"/>
      </top>
      <bottom style="medium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3"/>
      </top>
      <bottom style="thin">
        <color indexed="8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3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3"/>
      </top>
      <bottom style="medium">
        <color indexed="63"/>
      </bottom>
      <diagonal/>
    </border>
    <border>
      <left style="thin">
        <color indexed="8"/>
      </left>
      <right style="medium">
        <color indexed="64"/>
      </right>
      <top style="medium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hair">
        <color indexed="63"/>
      </left>
      <right style="hair">
        <color indexed="63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3"/>
      </left>
      <right/>
      <top style="hair">
        <color indexed="63"/>
      </top>
      <bottom style="hair">
        <color indexed="63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8"/>
      </top>
      <bottom style="hair">
        <color auto="1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164" fontId="31" fillId="0" borderId="0"/>
    <xf numFmtId="0" fontId="15" fillId="0" borderId="0"/>
    <xf numFmtId="9" fontId="31" fillId="0" borderId="0"/>
    <xf numFmtId="164" fontId="31" fillId="0" borderId="0"/>
    <xf numFmtId="0" fontId="31" fillId="0" borderId="0"/>
    <xf numFmtId="0" fontId="1" fillId="0" borderId="0"/>
    <xf numFmtId="0" fontId="31" fillId="0" borderId="0"/>
    <xf numFmtId="43" fontId="31" fillId="0" borderId="0" applyFill="0" applyBorder="0" applyAlignment="0" applyProtection="0"/>
    <xf numFmtId="43" fontId="31" fillId="0" borderId="0" applyFill="0" applyBorder="0" applyAlignment="0" applyProtection="0"/>
  </cellStyleXfs>
  <cellXfs count="1137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2" xfId="0" applyFont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center" vertical="top"/>
    </xf>
    <xf numFmtId="0" fontId="8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0" fillId="0" borderId="0" xfId="0" applyFont="1"/>
    <xf numFmtId="0" fontId="10" fillId="0" borderId="0" xfId="0" applyFont="1"/>
    <xf numFmtId="0" fontId="0" fillId="0" borderId="0" xfId="0" applyFont="1" applyAlignment="1">
      <alignment horizontal="center"/>
    </xf>
    <xf numFmtId="164" fontId="31" fillId="0" borderId="0" xfId="1" applyFill="1" applyBorder="1" applyAlignment="1" applyProtection="1"/>
    <xf numFmtId="0" fontId="11" fillId="0" borderId="5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164" fontId="11" fillId="0" borderId="6" xfId="1" applyFont="1" applyFill="1" applyBorder="1" applyAlignment="1" applyProtection="1">
      <alignment horizontal="center" vertical="center" wrapText="1"/>
    </xf>
    <xf numFmtId="166" fontId="11" fillId="0" borderId="6" xfId="1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horizontal="center"/>
    </xf>
    <xf numFmtId="0" fontId="12" fillId="0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164" fontId="0" fillId="0" borderId="0" xfId="1" applyFont="1" applyFill="1" applyBorder="1" applyAlignment="1" applyProtection="1"/>
    <xf numFmtId="0" fontId="13" fillId="0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0" fillId="0" borderId="0" xfId="0" applyFont="1" applyBorder="1"/>
    <xf numFmtId="167" fontId="2" fillId="3" borderId="9" xfId="1" applyNumberFormat="1" applyFont="1" applyFill="1" applyBorder="1" applyAlignment="1" applyProtection="1"/>
    <xf numFmtId="0" fontId="2" fillId="2" borderId="10" xfId="0" applyFont="1" applyFill="1" applyBorder="1" applyAlignment="1">
      <alignment vertical="top" wrapText="1"/>
    </xf>
    <xf numFmtId="0" fontId="0" fillId="0" borderId="0" xfId="0" applyFont="1" applyBorder="1" applyAlignment="1"/>
    <xf numFmtId="0" fontId="2" fillId="5" borderId="14" xfId="0" applyFont="1" applyFill="1" applyBorder="1" applyAlignment="1">
      <alignment horizontal="center"/>
    </xf>
    <xf numFmtId="164" fontId="2" fillId="5" borderId="15" xfId="1" applyFont="1" applyFill="1" applyBorder="1" applyAlignment="1" applyProtection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0" fillId="0" borderId="18" xfId="0" applyFont="1" applyBorder="1"/>
    <xf numFmtId="167" fontId="0" fillId="6" borderId="18" xfId="1" applyNumberFormat="1" applyFont="1" applyFill="1" applyBorder="1" applyAlignment="1" applyProtection="1"/>
    <xf numFmtId="167" fontId="0" fillId="6" borderId="20" xfId="1" applyNumberFormat="1" applyFont="1" applyFill="1" applyBorder="1" applyAlignment="1" applyProtection="1"/>
    <xf numFmtId="167" fontId="0" fillId="6" borderId="3" xfId="1" applyNumberFormat="1" applyFont="1" applyFill="1" applyBorder="1" applyAlignment="1" applyProtection="1"/>
    <xf numFmtId="167" fontId="0" fillId="6" borderId="21" xfId="1" applyNumberFormat="1" applyFont="1" applyFill="1" applyBorder="1" applyAlignment="1" applyProtection="1"/>
    <xf numFmtId="167" fontId="0" fillId="6" borderId="22" xfId="1" applyNumberFormat="1" applyFont="1" applyFill="1" applyBorder="1" applyAlignment="1" applyProtection="1"/>
    <xf numFmtId="167" fontId="0" fillId="2" borderId="11" xfId="1" applyNumberFormat="1" applyFont="1" applyFill="1" applyBorder="1" applyAlignment="1" applyProtection="1"/>
    <xf numFmtId="167" fontId="0" fillId="2" borderId="23" xfId="1" applyNumberFormat="1" applyFont="1" applyFill="1" applyBorder="1" applyAlignment="1" applyProtection="1">
      <alignment wrapText="1"/>
    </xf>
    <xf numFmtId="167" fontId="0" fillId="2" borderId="12" xfId="1" applyNumberFormat="1" applyFont="1" applyFill="1" applyBorder="1" applyAlignment="1" applyProtection="1"/>
    <xf numFmtId="167" fontId="0" fillId="2" borderId="13" xfId="1" applyNumberFormat="1" applyFont="1" applyFill="1" applyBorder="1" applyAlignment="1" applyProtection="1"/>
    <xf numFmtId="167" fontId="0" fillId="0" borderId="17" xfId="1" applyNumberFormat="1" applyFont="1" applyFill="1" applyBorder="1" applyAlignment="1" applyProtection="1"/>
    <xf numFmtId="167" fontId="0" fillId="0" borderId="24" xfId="1" applyNumberFormat="1" applyFont="1" applyFill="1" applyBorder="1" applyAlignment="1" applyProtection="1">
      <alignment wrapText="1"/>
    </xf>
    <xf numFmtId="0" fontId="0" fillId="0" borderId="18" xfId="1" applyNumberFormat="1" applyFont="1" applyFill="1" applyBorder="1" applyAlignment="1" applyProtection="1">
      <alignment horizontal="center"/>
    </xf>
    <xf numFmtId="167" fontId="15" fillId="0" borderId="19" xfId="2" applyNumberFormat="1" applyFill="1" applyBorder="1" applyAlignment="1" applyProtection="1"/>
    <xf numFmtId="167" fontId="0" fillId="0" borderId="18" xfId="1" applyNumberFormat="1" applyFont="1" applyFill="1" applyBorder="1" applyAlignment="1" applyProtection="1">
      <alignment horizontal="center"/>
    </xf>
    <xf numFmtId="167" fontId="0" fillId="0" borderId="18" xfId="1" applyNumberFormat="1" applyFont="1" applyFill="1" applyBorder="1" applyAlignment="1" applyProtection="1"/>
    <xf numFmtId="167" fontId="0" fillId="0" borderId="19" xfId="1" applyNumberFormat="1" applyFont="1" applyFill="1" applyBorder="1" applyAlignment="1" applyProtection="1"/>
    <xf numFmtId="3" fontId="0" fillId="0" borderId="18" xfId="1" applyNumberFormat="1" applyFont="1" applyFill="1" applyBorder="1" applyAlignment="1" applyProtection="1">
      <alignment horizontal="right"/>
    </xf>
    <xf numFmtId="0" fontId="0" fillId="0" borderId="18" xfId="1" applyNumberFormat="1" applyFont="1" applyFill="1" applyBorder="1" applyAlignment="1" applyProtection="1"/>
    <xf numFmtId="167" fontId="0" fillId="0" borderId="20" xfId="1" applyNumberFormat="1" applyFont="1" applyFill="1" applyBorder="1" applyAlignment="1" applyProtection="1"/>
    <xf numFmtId="167" fontId="0" fillId="0" borderId="3" xfId="1" applyNumberFormat="1" applyFont="1" applyFill="1" applyBorder="1" applyAlignment="1" applyProtection="1">
      <alignment wrapText="1"/>
    </xf>
    <xf numFmtId="167" fontId="0" fillId="0" borderId="21" xfId="1" applyNumberFormat="1" applyFont="1" applyFill="1" applyBorder="1" applyAlignment="1" applyProtection="1"/>
    <xf numFmtId="167" fontId="0" fillId="0" borderId="22" xfId="1" applyNumberFormat="1" applyFont="1" applyFill="1" applyBorder="1" applyAlignment="1" applyProtection="1"/>
    <xf numFmtId="167" fontId="0" fillId="6" borderId="18" xfId="1" applyNumberFormat="1" applyFont="1" applyFill="1" applyBorder="1" applyAlignment="1" applyProtection="1">
      <alignment vertical="center"/>
    </xf>
    <xf numFmtId="167" fontId="0" fillId="6" borderId="11" xfId="1" applyNumberFormat="1" applyFont="1" applyFill="1" applyBorder="1" applyAlignment="1" applyProtection="1"/>
    <xf numFmtId="167" fontId="0" fillId="6" borderId="23" xfId="1" applyNumberFormat="1" applyFont="1" applyFill="1" applyBorder="1" applyAlignment="1" applyProtection="1">
      <alignment wrapText="1"/>
    </xf>
    <xf numFmtId="167" fontId="0" fillId="6" borderId="12" xfId="1" applyNumberFormat="1" applyFont="1" applyFill="1" applyBorder="1" applyAlignment="1" applyProtection="1"/>
    <xf numFmtId="167" fontId="0" fillId="6" borderId="13" xfId="1" applyNumberFormat="1" applyFont="1" applyFill="1" applyBorder="1" applyAlignment="1" applyProtection="1"/>
    <xf numFmtId="9" fontId="0" fillId="0" borderId="0" xfId="3" applyFont="1" applyFill="1" applyBorder="1" applyAlignment="1" applyProtection="1"/>
    <xf numFmtId="3" fontId="0" fillId="0" borderId="0" xfId="0" applyNumberFormat="1" applyFont="1"/>
    <xf numFmtId="3" fontId="0" fillId="0" borderId="0" xfId="0" applyNumberFormat="1"/>
    <xf numFmtId="3" fontId="0" fillId="0" borderId="0" xfId="1" applyNumberFormat="1" applyFont="1" applyFill="1" applyBorder="1" applyAlignment="1" applyProtection="1">
      <alignment horizontal="center"/>
    </xf>
    <xf numFmtId="3" fontId="0" fillId="0" borderId="0" xfId="1" applyNumberFormat="1" applyFont="1" applyFill="1" applyBorder="1" applyAlignment="1" applyProtection="1"/>
    <xf numFmtId="3" fontId="0" fillId="0" borderId="0" xfId="0" applyNumberFormat="1" applyAlignment="1">
      <alignment wrapText="1"/>
    </xf>
    <xf numFmtId="3" fontId="16" fillId="0" borderId="5" xfId="0" applyNumberFormat="1" applyFont="1" applyFill="1" applyBorder="1" applyAlignment="1">
      <alignment horizontal="left" vertical="center"/>
    </xf>
    <xf numFmtId="3" fontId="2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/>
    </xf>
    <xf numFmtId="3" fontId="0" fillId="0" borderId="6" xfId="1" applyNumberFormat="1" applyFont="1" applyFill="1" applyBorder="1" applyAlignment="1" applyProtection="1">
      <alignment horizontal="center"/>
    </xf>
    <xf numFmtId="3" fontId="0" fillId="0" borderId="6" xfId="1" applyNumberFormat="1" applyFont="1" applyFill="1" applyBorder="1" applyAlignment="1" applyProtection="1"/>
    <xf numFmtId="3" fontId="0" fillId="0" borderId="6" xfId="0" applyNumberFormat="1" applyFont="1" applyFill="1" applyBorder="1" applyAlignment="1">
      <alignment horizontal="left"/>
    </xf>
    <xf numFmtId="3" fontId="0" fillId="0" borderId="6" xfId="1" applyNumberFormat="1" applyFont="1" applyFill="1" applyBorder="1" applyAlignment="1" applyProtection="1">
      <alignment horizontal="left"/>
    </xf>
    <xf numFmtId="3" fontId="0" fillId="0" borderId="6" xfId="0" applyNumberFormat="1" applyFont="1" applyFill="1" applyBorder="1" applyAlignment="1">
      <alignment horizontal="left" wrapText="1"/>
    </xf>
    <xf numFmtId="164" fontId="0" fillId="0" borderId="6" xfId="1" applyFont="1" applyFill="1" applyBorder="1" applyAlignment="1" applyProtection="1">
      <alignment horizontal="left"/>
    </xf>
    <xf numFmtId="3" fontId="0" fillId="0" borderId="6" xfId="0" applyNumberFormat="1" applyFill="1" applyBorder="1" applyAlignment="1">
      <alignment wrapText="1"/>
    </xf>
    <xf numFmtId="3" fontId="0" fillId="0" borderId="6" xfId="1" applyNumberFormat="1" applyFont="1" applyFill="1" applyBorder="1" applyAlignment="1" applyProtection="1">
      <alignment horizontal="center" wrapText="1"/>
    </xf>
    <xf numFmtId="3" fontId="0" fillId="0" borderId="6" xfId="1" applyNumberFormat="1" applyFont="1" applyFill="1" applyBorder="1" applyAlignment="1" applyProtection="1">
      <alignment wrapText="1"/>
    </xf>
    <xf numFmtId="164" fontId="0" fillId="0" borderId="6" xfId="1" applyFont="1" applyFill="1" applyBorder="1" applyAlignment="1" applyProtection="1">
      <alignment wrapText="1"/>
    </xf>
    <xf numFmtId="3" fontId="0" fillId="0" borderId="9" xfId="0" applyNumberFormat="1" applyFill="1" applyBorder="1" applyAlignment="1">
      <alignment wrapText="1"/>
    </xf>
    <xf numFmtId="3" fontId="0" fillId="0" borderId="9" xfId="1" applyNumberFormat="1" applyFont="1" applyFill="1" applyBorder="1" applyAlignment="1" applyProtection="1">
      <alignment horizontal="center" wrapText="1"/>
    </xf>
    <xf numFmtId="3" fontId="0" fillId="0" borderId="9" xfId="1" applyNumberFormat="1" applyFont="1" applyFill="1" applyBorder="1" applyAlignment="1" applyProtection="1">
      <alignment wrapText="1"/>
    </xf>
    <xf numFmtId="164" fontId="0" fillId="0" borderId="25" xfId="1" applyFont="1" applyFill="1" applyBorder="1" applyAlignment="1" applyProtection="1">
      <alignment wrapText="1"/>
    </xf>
    <xf numFmtId="3" fontId="0" fillId="0" borderId="0" xfId="0" applyNumberFormat="1" applyFill="1" applyAlignment="1">
      <alignment wrapText="1"/>
    </xf>
    <xf numFmtId="3" fontId="0" fillId="0" borderId="0" xfId="0" applyNumberFormat="1" applyAlignment="1">
      <alignment vertical="center"/>
    </xf>
    <xf numFmtId="3" fontId="2" fillId="4" borderId="26" xfId="0" applyNumberFormat="1" applyFont="1" applyFill="1" applyBorder="1" applyAlignment="1">
      <alignment horizontal="center" vertical="top" wrapText="1"/>
    </xf>
    <xf numFmtId="3" fontId="2" fillId="4" borderId="27" xfId="1" applyNumberFormat="1" applyFont="1" applyFill="1" applyBorder="1" applyAlignment="1" applyProtection="1">
      <alignment horizontal="center" vertical="top" wrapText="1"/>
    </xf>
    <xf numFmtId="3" fontId="2" fillId="4" borderId="28" xfId="0" applyNumberFormat="1" applyFont="1" applyFill="1" applyBorder="1" applyAlignment="1">
      <alignment horizontal="center" vertical="top" wrapText="1"/>
    </xf>
    <xf numFmtId="3" fontId="2" fillId="4" borderId="28" xfId="1" applyNumberFormat="1" applyFont="1" applyFill="1" applyBorder="1" applyAlignment="1" applyProtection="1">
      <alignment horizontal="center" vertical="top" wrapText="1"/>
    </xf>
    <xf numFmtId="167" fontId="17" fillId="0" borderId="30" xfId="1" applyNumberFormat="1" applyFont="1" applyFill="1" applyBorder="1" applyAlignment="1" applyProtection="1">
      <alignment horizontal="center" vertical="top"/>
      <protection locked="0"/>
    </xf>
    <xf numFmtId="167" fontId="17" fillId="0" borderId="30" xfId="1" applyNumberFormat="1" applyFont="1" applyFill="1" applyBorder="1" applyAlignment="1" applyProtection="1">
      <alignment vertical="top"/>
      <protection locked="0"/>
    </xf>
    <xf numFmtId="167" fontId="17" fillId="7" borderId="30" xfId="1" applyNumberFormat="1" applyFont="1" applyFill="1" applyBorder="1" applyAlignment="1" applyProtection="1">
      <alignment vertical="top"/>
    </xf>
    <xf numFmtId="3" fontId="17" fillId="0" borderId="30" xfId="0" applyNumberFormat="1" applyFont="1" applyBorder="1" applyAlignment="1" applyProtection="1">
      <alignment vertical="top" wrapText="1"/>
      <protection locked="0"/>
    </xf>
    <xf numFmtId="3" fontId="17" fillId="0" borderId="30" xfId="1" applyNumberFormat="1" applyFont="1" applyFill="1" applyBorder="1" applyAlignment="1" applyProtection="1">
      <alignment horizontal="center" vertical="top"/>
      <protection locked="0"/>
    </xf>
    <xf numFmtId="3" fontId="17" fillId="0" borderId="30" xfId="1" applyNumberFormat="1" applyFont="1" applyFill="1" applyBorder="1" applyAlignment="1" applyProtection="1">
      <alignment vertical="top"/>
      <protection locked="0"/>
    </xf>
    <xf numFmtId="3" fontId="17" fillId="0" borderId="30" xfId="0" applyNumberFormat="1" applyFont="1" applyBorder="1" applyAlignment="1" applyProtection="1">
      <alignment vertical="top"/>
      <protection locked="0"/>
    </xf>
    <xf numFmtId="0" fontId="17" fillId="0" borderId="30" xfId="0" applyFont="1" applyBorder="1" applyAlignment="1">
      <alignment horizontal="justify" vertical="center" wrapText="1"/>
    </xf>
    <xf numFmtId="4" fontId="17" fillId="0" borderId="30" xfId="0" applyNumberFormat="1" applyFont="1" applyBorder="1" applyAlignment="1">
      <alignment horizontal="center" vertical="center"/>
    </xf>
    <xf numFmtId="4" fontId="17" fillId="7" borderId="30" xfId="0" applyNumberFormat="1" applyFont="1" applyFill="1" applyBorder="1" applyAlignment="1">
      <alignment horizontal="center" vertical="center"/>
    </xf>
    <xf numFmtId="167" fontId="19" fillId="7" borderId="30" xfId="1" applyNumberFormat="1" applyFont="1" applyFill="1" applyBorder="1" applyAlignment="1" applyProtection="1">
      <alignment vertical="top"/>
    </xf>
    <xf numFmtId="3" fontId="17" fillId="0" borderId="30" xfId="1" applyNumberFormat="1" applyFont="1" applyFill="1" applyBorder="1" applyAlignment="1" applyProtection="1">
      <alignment horizontal="center" vertical="top" wrapText="1"/>
      <protection locked="0"/>
    </xf>
    <xf numFmtId="3" fontId="17" fillId="0" borderId="30" xfId="4" applyNumberFormat="1" applyFont="1" applyFill="1" applyBorder="1" applyAlignment="1" applyProtection="1">
      <alignment vertical="top"/>
      <protection locked="0"/>
    </xf>
    <xf numFmtId="3" fontId="17" fillId="0" borderId="30" xfId="0" applyNumberFormat="1" applyFont="1" applyFill="1" applyBorder="1" applyAlignment="1">
      <alignment wrapText="1"/>
    </xf>
    <xf numFmtId="3" fontId="17" fillId="0" borderId="30" xfId="1" applyNumberFormat="1" applyFont="1" applyFill="1" applyBorder="1" applyAlignment="1" applyProtection="1">
      <alignment horizontal="center"/>
    </xf>
    <xf numFmtId="3" fontId="17" fillId="0" borderId="30" xfId="1" applyNumberFormat="1" applyFont="1" applyFill="1" applyBorder="1" applyAlignment="1" applyProtection="1"/>
    <xf numFmtId="3" fontId="17" fillId="0" borderId="30" xfId="0" applyNumberFormat="1" applyFont="1" applyBorder="1" applyAlignment="1">
      <alignment horizontal="left" vertical="top" wrapText="1"/>
    </xf>
    <xf numFmtId="3" fontId="17" fillId="0" borderId="30" xfId="1" applyNumberFormat="1" applyFont="1" applyFill="1" applyBorder="1" applyAlignment="1" applyProtection="1">
      <alignment horizontal="center" vertical="top" wrapText="1"/>
    </xf>
    <xf numFmtId="3" fontId="17" fillId="0" borderId="30" xfId="1" applyNumberFormat="1" applyFont="1" applyFill="1" applyBorder="1" applyAlignment="1" applyProtection="1">
      <alignment horizontal="right" vertical="top" wrapText="1"/>
    </xf>
    <xf numFmtId="169" fontId="17" fillId="0" borderId="30" xfId="1" applyNumberFormat="1" applyFont="1" applyFill="1" applyBorder="1" applyAlignment="1" applyProtection="1">
      <alignment vertical="top"/>
      <protection locked="0"/>
    </xf>
    <xf numFmtId="3" fontId="17" fillId="0" borderId="30" xfId="0" applyNumberFormat="1" applyFont="1" applyFill="1" applyBorder="1" applyAlignment="1" applyProtection="1">
      <alignment vertical="top" wrapText="1"/>
      <protection locked="0"/>
    </xf>
    <xf numFmtId="3" fontId="17" fillId="0" borderId="30" xfId="0" applyNumberFormat="1" applyFont="1" applyFill="1" applyBorder="1" applyAlignment="1">
      <alignment horizontal="left" vertical="top" wrapText="1"/>
    </xf>
    <xf numFmtId="3" fontId="17" fillId="0" borderId="30" xfId="1" applyNumberFormat="1" applyFont="1" applyFill="1" applyBorder="1" applyAlignment="1" applyProtection="1">
      <alignment horizontal="center" vertical="top"/>
    </xf>
    <xf numFmtId="3" fontId="17" fillId="0" borderId="30" xfId="1" applyNumberFormat="1" applyFont="1" applyFill="1" applyBorder="1" applyAlignment="1" applyProtection="1">
      <alignment horizontal="right" vertical="top"/>
    </xf>
    <xf numFmtId="3" fontId="17" fillId="0" borderId="32" xfId="1" applyNumberFormat="1" applyFont="1" applyFill="1" applyBorder="1" applyAlignment="1" applyProtection="1">
      <alignment horizontal="center" vertical="top" wrapText="1"/>
      <protection locked="0"/>
    </xf>
    <xf numFmtId="3" fontId="17" fillId="0" borderId="32" xfId="1" applyNumberFormat="1" applyFont="1" applyFill="1" applyBorder="1" applyAlignment="1" applyProtection="1">
      <alignment vertical="top"/>
      <protection locked="0"/>
    </xf>
    <xf numFmtId="3" fontId="17" fillId="0" borderId="32" xfId="0" applyNumberFormat="1" applyFont="1" applyFill="1" applyBorder="1" applyAlignment="1" applyProtection="1">
      <alignment vertical="top" wrapText="1"/>
      <protection locked="0"/>
    </xf>
    <xf numFmtId="3" fontId="17" fillId="0" borderId="32" xfId="1" applyNumberFormat="1" applyFont="1" applyFill="1" applyBorder="1" applyAlignment="1" applyProtection="1">
      <alignment horizontal="center" vertical="top"/>
      <protection locked="0"/>
    </xf>
    <xf numFmtId="169" fontId="17" fillId="0" borderId="32" xfId="1" applyNumberFormat="1" applyFont="1" applyFill="1" applyBorder="1" applyAlignment="1" applyProtection="1">
      <alignment vertical="top"/>
      <protection locked="0"/>
    </xf>
    <xf numFmtId="3" fontId="17" fillId="0" borderId="35" xfId="1" applyNumberFormat="1" applyFont="1" applyFill="1" applyBorder="1" applyAlignment="1" applyProtection="1">
      <alignment horizontal="center" vertical="top"/>
      <protection locked="0"/>
    </xf>
    <xf numFmtId="3" fontId="17" fillId="0" borderId="35" xfId="0" applyNumberFormat="1" applyFont="1" applyBorder="1" applyAlignment="1" applyProtection="1">
      <alignment vertical="top" wrapText="1"/>
      <protection locked="0"/>
    </xf>
    <xf numFmtId="3" fontId="17" fillId="0" borderId="35" xfId="1" applyNumberFormat="1" applyFont="1" applyFill="1" applyBorder="1" applyAlignment="1" applyProtection="1">
      <alignment vertical="top"/>
      <protection locked="0"/>
    </xf>
    <xf numFmtId="167" fontId="17" fillId="7" borderId="35" xfId="1" applyNumberFormat="1" applyFont="1" applyFill="1" applyBorder="1" applyAlignment="1" applyProtection="1">
      <alignment vertical="top"/>
    </xf>
    <xf numFmtId="167" fontId="18" fillId="2" borderId="39" xfId="1" applyNumberFormat="1" applyFont="1" applyFill="1" applyBorder="1" applyAlignment="1" applyProtection="1">
      <alignment vertical="top"/>
    </xf>
    <xf numFmtId="167" fontId="18" fillId="2" borderId="40" xfId="1" applyNumberFormat="1" applyFont="1" applyFill="1" applyBorder="1" applyAlignment="1" applyProtection="1">
      <alignment vertical="top"/>
    </xf>
    <xf numFmtId="167" fontId="25" fillId="7" borderId="40" xfId="1" applyNumberFormat="1" applyFont="1" applyFill="1" applyBorder="1" applyAlignment="1" applyProtection="1">
      <alignment vertical="top"/>
    </xf>
    <xf numFmtId="3" fontId="2" fillId="0" borderId="0" xfId="0" applyNumberFormat="1" applyFont="1"/>
    <xf numFmtId="170" fontId="0" fillId="0" borderId="0" xfId="0" applyNumberFormat="1"/>
    <xf numFmtId="4" fontId="0" fillId="0" borderId="0" xfId="0" applyNumberFormat="1"/>
    <xf numFmtId="4" fontId="17" fillId="0" borderId="30" xfId="1" applyNumberFormat="1" applyFont="1" applyFill="1" applyBorder="1" applyAlignment="1" applyProtection="1">
      <alignment vertical="top"/>
      <protection locked="0"/>
    </xf>
    <xf numFmtId="167" fontId="17" fillId="7" borderId="30" xfId="1" applyNumberFormat="1" applyFont="1" applyFill="1" applyBorder="1" applyAlignment="1" applyProtection="1">
      <alignment horizontal="right" vertical="top"/>
    </xf>
    <xf numFmtId="169" fontId="17" fillId="0" borderId="30" xfId="1" applyNumberFormat="1" applyFont="1" applyFill="1" applyBorder="1" applyAlignment="1" applyProtection="1">
      <alignment horizontal="center" vertical="top"/>
      <protection locked="0"/>
    </xf>
    <xf numFmtId="3" fontId="17" fillId="0" borderId="30" xfId="4" applyNumberFormat="1" applyFont="1" applyFill="1" applyBorder="1" applyAlignment="1" applyProtection="1">
      <alignment horizontal="center" vertical="top"/>
      <protection locked="0"/>
    </xf>
    <xf numFmtId="3" fontId="25" fillId="2" borderId="6" xfId="1" applyNumberFormat="1" applyFont="1" applyFill="1" applyBorder="1" applyAlignment="1" applyProtection="1">
      <alignment vertical="top" wrapText="1"/>
    </xf>
    <xf numFmtId="3" fontId="25" fillId="2" borderId="6" xfId="1" applyNumberFormat="1" applyFont="1" applyFill="1" applyBorder="1" applyAlignment="1" applyProtection="1">
      <alignment horizontal="center" vertical="top"/>
    </xf>
    <xf numFmtId="3" fontId="25" fillId="2" borderId="6" xfId="1" applyNumberFormat="1" applyFont="1" applyFill="1" applyBorder="1" applyAlignment="1" applyProtection="1">
      <alignment vertical="top"/>
    </xf>
    <xf numFmtId="167" fontId="25" fillId="2" borderId="7" xfId="1" applyNumberFormat="1" applyFont="1" applyFill="1" applyBorder="1" applyAlignment="1" applyProtection="1">
      <alignment vertical="top"/>
    </xf>
    <xf numFmtId="3" fontId="25" fillId="2" borderId="5" xfId="1" applyNumberFormat="1" applyFont="1" applyFill="1" applyBorder="1" applyAlignment="1" applyProtection="1">
      <alignment vertical="top"/>
    </xf>
    <xf numFmtId="3" fontId="25" fillId="2" borderId="5" xfId="1" applyNumberFormat="1" applyFont="1" applyFill="1" applyBorder="1" applyAlignment="1" applyProtection="1">
      <alignment vertical="top" wrapText="1"/>
    </xf>
    <xf numFmtId="167" fontId="0" fillId="0" borderId="0" xfId="1" applyNumberFormat="1" applyFont="1" applyFill="1" applyBorder="1" applyAlignment="1" applyProtection="1"/>
    <xf numFmtId="167" fontId="0" fillId="0" borderId="0" xfId="1" applyNumberFormat="1" applyFont="1" applyFill="1" applyBorder="1" applyAlignment="1" applyProtection="1">
      <alignment horizontal="center"/>
    </xf>
    <xf numFmtId="164" fontId="0" fillId="0" borderId="0" xfId="1" applyNumberFormat="1" applyFont="1" applyFill="1" applyBorder="1" applyAlignment="1" applyProtection="1"/>
    <xf numFmtId="0" fontId="16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67" fontId="0" fillId="0" borderId="6" xfId="1" applyNumberFormat="1" applyFont="1" applyFill="1" applyBorder="1" applyAlignment="1" applyProtection="1"/>
    <xf numFmtId="164" fontId="0" fillId="0" borderId="6" xfId="1" applyFont="1" applyFill="1" applyBorder="1" applyAlignment="1" applyProtection="1"/>
    <xf numFmtId="0" fontId="0" fillId="0" borderId="6" xfId="0" applyFont="1" applyFill="1" applyBorder="1" applyAlignment="1">
      <alignment horizontal="left"/>
    </xf>
    <xf numFmtId="167" fontId="0" fillId="0" borderId="6" xfId="1" applyNumberFormat="1" applyFont="1" applyFill="1" applyBorder="1" applyAlignment="1" applyProtection="1">
      <alignment horizontal="center"/>
    </xf>
    <xf numFmtId="164" fontId="0" fillId="0" borderId="6" xfId="1" applyNumberFormat="1" applyFont="1" applyFill="1" applyBorder="1" applyAlignment="1" applyProtection="1">
      <alignment horizontal="left"/>
    </xf>
    <xf numFmtId="167" fontId="0" fillId="0" borderId="6" xfId="1" applyNumberFormat="1" applyFont="1" applyFill="1" applyBorder="1" applyAlignment="1" applyProtection="1">
      <alignment horizontal="left"/>
    </xf>
    <xf numFmtId="164" fontId="0" fillId="0" borderId="7" xfId="1" applyFont="1" applyFill="1" applyBorder="1" applyAlignment="1" applyProtection="1">
      <alignment horizontal="left"/>
    </xf>
    <xf numFmtId="0" fontId="2" fillId="0" borderId="4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wrapText="1"/>
    </xf>
    <xf numFmtId="167" fontId="0" fillId="0" borderId="9" xfId="1" applyNumberFormat="1" applyFont="1" applyFill="1" applyBorder="1" applyAlignment="1" applyProtection="1">
      <alignment wrapText="1"/>
    </xf>
    <xf numFmtId="164" fontId="0" fillId="0" borderId="9" xfId="1" applyFont="1" applyFill="1" applyBorder="1" applyAlignment="1" applyProtection="1">
      <alignment wrapText="1"/>
    </xf>
    <xf numFmtId="167" fontId="0" fillId="0" borderId="9" xfId="1" applyNumberFormat="1" applyFont="1" applyFill="1" applyBorder="1" applyAlignment="1" applyProtection="1">
      <alignment horizontal="center" wrapText="1"/>
    </xf>
    <xf numFmtId="164" fontId="0" fillId="0" borderId="9" xfId="1" applyNumberFormat="1" applyFont="1" applyFill="1" applyBorder="1" applyAlignment="1" applyProtection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10" fontId="0" fillId="0" borderId="0" xfId="3" applyNumberFormat="1" applyFont="1" applyFill="1" applyBorder="1" applyAlignment="1" applyProtection="1"/>
    <xf numFmtId="0" fontId="0" fillId="0" borderId="0" xfId="0" applyProtection="1"/>
    <xf numFmtId="0" fontId="0" fillId="0" borderId="0" xfId="0" applyFont="1" applyProtection="1"/>
    <xf numFmtId="0" fontId="0" fillId="0" borderId="0" xfId="0" applyAlignment="1" applyProtection="1">
      <alignment horizontal="left"/>
    </xf>
    <xf numFmtId="164" fontId="0" fillId="0" borderId="0" xfId="0" applyNumberFormat="1" applyProtection="1"/>
    <xf numFmtId="164" fontId="2" fillId="0" borderId="0" xfId="0" applyNumberFormat="1" applyFont="1" applyProtection="1"/>
    <xf numFmtId="0" fontId="2" fillId="0" borderId="0" xfId="0" applyFont="1" applyProtection="1"/>
    <xf numFmtId="0" fontId="2" fillId="10" borderId="15" xfId="0" applyFont="1" applyFill="1" applyBorder="1" applyAlignment="1" applyProtection="1">
      <alignment horizontal="center" vertical="center" wrapText="1"/>
    </xf>
    <xf numFmtId="167" fontId="0" fillId="0" borderId="0" xfId="0" applyNumberFormat="1" applyProtection="1"/>
    <xf numFmtId="167" fontId="0" fillId="0" borderId="0" xfId="0" applyNumberFormat="1" applyFont="1" applyProtection="1"/>
    <xf numFmtId="0" fontId="16" fillId="0" borderId="44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0" fillId="0" borderId="9" xfId="0" applyBorder="1" applyAlignment="1">
      <alignment horizontal="left"/>
    </xf>
    <xf numFmtId="0" fontId="0" fillId="0" borderId="9" xfId="0" applyBorder="1" applyAlignment="1"/>
    <xf numFmtId="0" fontId="0" fillId="0" borderId="25" xfId="0" applyNumberFormat="1" applyBorder="1" applyAlignment="1"/>
    <xf numFmtId="0" fontId="0" fillId="0" borderId="44" xfId="0" applyBorder="1" applyAlignment="1">
      <alignment horizontal="left"/>
    </xf>
    <xf numFmtId="0" fontId="0" fillId="0" borderId="25" xfId="0" applyBorder="1" applyAlignment="1"/>
    <xf numFmtId="0" fontId="11" fillId="0" borderId="45" xfId="0" applyFont="1" applyFill="1" applyBorder="1" applyAlignment="1">
      <alignment horizontal="right" vertical="top"/>
    </xf>
    <xf numFmtId="0" fontId="2" fillId="0" borderId="46" xfId="0" applyFont="1" applyFill="1" applyBorder="1" applyAlignment="1">
      <alignment horizontal="left" vertical="top"/>
    </xf>
    <xf numFmtId="0" fontId="11" fillId="0" borderId="46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7" xfId="0" applyBorder="1" applyAlignment="1">
      <alignment horizontal="left" vertical="top"/>
    </xf>
    <xf numFmtId="0" fontId="11" fillId="0" borderId="45" xfId="0" applyFont="1" applyFill="1" applyBorder="1" applyAlignment="1">
      <alignment horizontal="left" vertical="top"/>
    </xf>
    <xf numFmtId="0" fontId="11" fillId="0" borderId="47" xfId="0" applyFont="1" applyFill="1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6" xfId="0" applyBorder="1"/>
    <xf numFmtId="0" fontId="0" fillId="0" borderId="47" xfId="0" applyBorder="1"/>
    <xf numFmtId="0" fontId="2" fillId="4" borderId="18" xfId="0" applyFont="1" applyFill="1" applyBorder="1" applyAlignment="1">
      <alignment horizontal="center" vertical="top" wrapText="1"/>
    </xf>
    <xf numFmtId="0" fontId="2" fillId="11" borderId="19" xfId="0" applyFont="1" applyFill="1" applyBorder="1" applyAlignment="1">
      <alignment horizontal="center" vertical="top" wrapText="1"/>
    </xf>
    <xf numFmtId="0" fontId="2" fillId="12" borderId="17" xfId="0" applyFont="1" applyFill="1" applyBorder="1" applyAlignment="1">
      <alignment horizontal="center" vertical="top" wrapText="1"/>
    </xf>
    <xf numFmtId="10" fontId="2" fillId="12" borderId="19" xfId="3" applyNumberFormat="1" applyFont="1" applyFill="1" applyBorder="1" applyAlignment="1" applyProtection="1">
      <alignment horizontal="center" vertical="top" wrapText="1"/>
    </xf>
    <xf numFmtId="0" fontId="2" fillId="12" borderId="18" xfId="0" applyFont="1" applyFill="1" applyBorder="1" applyAlignment="1">
      <alignment horizontal="center" vertical="top" wrapText="1"/>
    </xf>
    <xf numFmtId="0" fontId="2" fillId="12" borderId="19" xfId="0" applyFont="1" applyFill="1" applyBorder="1" applyAlignment="1">
      <alignment horizontal="center" vertical="top" wrapText="1"/>
    </xf>
    <xf numFmtId="0" fontId="2" fillId="12" borderId="24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center" vertical="top" wrapText="1"/>
    </xf>
    <xf numFmtId="0" fontId="2" fillId="6" borderId="18" xfId="0" applyFont="1" applyFill="1" applyBorder="1" applyAlignment="1">
      <alignment horizontal="center" vertical="top" wrapText="1"/>
    </xf>
    <xf numFmtId="173" fontId="2" fillId="6" borderId="18" xfId="0" applyNumberFormat="1" applyFont="1" applyFill="1" applyBorder="1" applyAlignment="1">
      <alignment horizontal="center" vertical="top" wrapText="1"/>
    </xf>
    <xf numFmtId="164" fontId="2" fillId="13" borderId="19" xfId="0" applyNumberFormat="1" applyFont="1" applyFill="1" applyBorder="1" applyAlignment="1">
      <alignment horizontal="left" vertical="top"/>
    </xf>
    <xf numFmtId="0" fontId="2" fillId="2" borderId="18" xfId="0" applyFont="1" applyFill="1" applyBorder="1" applyAlignment="1">
      <alignment horizontal="center" vertical="center"/>
    </xf>
    <xf numFmtId="164" fontId="2" fillId="2" borderId="48" xfId="1" applyFont="1" applyFill="1" applyBorder="1" applyAlignment="1" applyProtection="1">
      <alignment horizontal="center" vertical="center"/>
    </xf>
    <xf numFmtId="174" fontId="0" fillId="6" borderId="18" xfId="1" applyNumberFormat="1" applyFont="1" applyFill="1" applyBorder="1" applyAlignment="1" applyProtection="1">
      <alignment horizontal="center" vertical="top" wrapText="1"/>
    </xf>
    <xf numFmtId="0" fontId="2" fillId="6" borderId="18" xfId="0" applyFont="1" applyFill="1" applyBorder="1" applyAlignment="1">
      <alignment horizontal="center" vertical="center"/>
    </xf>
    <xf numFmtId="164" fontId="0" fillId="11" borderId="19" xfId="0" applyNumberFormat="1" applyFont="1" applyFill="1" applyBorder="1" applyAlignment="1">
      <alignment horizontal="center" vertical="center"/>
    </xf>
    <xf numFmtId="164" fontId="31" fillId="10" borderId="48" xfId="1" applyFill="1" applyBorder="1" applyAlignment="1" applyProtection="1">
      <alignment horizontal="center" vertical="center"/>
    </xf>
    <xf numFmtId="164" fontId="31" fillId="10" borderId="17" xfId="1" applyFill="1" applyBorder="1" applyAlignment="1" applyProtection="1">
      <alignment horizontal="center" vertical="center"/>
    </xf>
    <xf numFmtId="164" fontId="31" fillId="2" borderId="19" xfId="1" applyFill="1" applyBorder="1" applyAlignment="1" applyProtection="1">
      <alignment horizontal="center" vertical="center"/>
    </xf>
    <xf numFmtId="3" fontId="0" fillId="0" borderId="17" xfId="0" applyNumberFormat="1" applyFont="1" applyBorder="1" applyAlignment="1">
      <alignment horizontal="left" vertical="top" wrapText="1"/>
    </xf>
    <xf numFmtId="164" fontId="2" fillId="2" borderId="48" xfId="0" applyNumberFormat="1" applyFont="1" applyFill="1" applyBorder="1" applyAlignment="1">
      <alignment horizontal="center" vertical="center"/>
    </xf>
    <xf numFmtId="164" fontId="2" fillId="2" borderId="48" xfId="1" applyFont="1" applyFill="1" applyBorder="1" applyAlignment="1" applyProtection="1">
      <alignment horizontal="center" vertical="center" wrapText="1"/>
    </xf>
    <xf numFmtId="4" fontId="29" fillId="15" borderId="48" xfId="0" applyNumberFormat="1" applyFont="1" applyFill="1" applyBorder="1" applyAlignment="1">
      <alignment horizontal="center" vertical="center"/>
    </xf>
    <xf numFmtId="164" fontId="31" fillId="10" borderId="49" xfId="1" applyFill="1" applyBorder="1" applyAlignment="1" applyProtection="1">
      <alignment horizontal="center" vertical="center"/>
    </xf>
    <xf numFmtId="0" fontId="0" fillId="0" borderId="0" xfId="0" applyNumberFormat="1" applyFont="1"/>
    <xf numFmtId="164" fontId="0" fillId="0" borderId="0" xfId="0" applyNumberFormat="1"/>
    <xf numFmtId="168" fontId="0" fillId="0" borderId="0" xfId="0" applyNumberFormat="1"/>
    <xf numFmtId="0" fontId="0" fillId="0" borderId="0" xfId="0" applyNumberFormat="1"/>
    <xf numFmtId="173" fontId="0" fillId="0" borderId="0" xfId="0" applyNumberFormat="1" applyFont="1"/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top"/>
    </xf>
    <xf numFmtId="0" fontId="16" fillId="0" borderId="44" xfId="0" applyFont="1" applyBorder="1" applyAlignment="1" applyProtection="1">
      <alignment vertical="center" wrapText="1"/>
    </xf>
    <xf numFmtId="0" fontId="0" fillId="0" borderId="9" xfId="0" applyBorder="1" applyProtection="1"/>
    <xf numFmtId="0" fontId="0" fillId="0" borderId="25" xfId="0" applyBorder="1" applyProtection="1"/>
    <xf numFmtId="0" fontId="2" fillId="10" borderId="27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11" borderId="27" xfId="0" applyFont="1" applyFill="1" applyBorder="1" applyAlignment="1" applyProtection="1">
      <alignment horizontal="center"/>
    </xf>
    <xf numFmtId="0" fontId="2" fillId="11" borderId="29" xfId="0" applyFont="1" applyFill="1" applyBorder="1" applyAlignment="1" applyProtection="1">
      <alignment horizontal="center"/>
    </xf>
    <xf numFmtId="167" fontId="0" fillId="0" borderId="0" xfId="0" applyNumberFormat="1" applyAlignment="1" applyProtection="1">
      <alignment vertical="top"/>
    </xf>
    <xf numFmtId="0" fontId="2" fillId="0" borderId="14" xfId="0" applyFont="1" applyFill="1" applyBorder="1" applyAlignment="1" applyProtection="1">
      <alignment horizontal="left" vertical="center" wrapText="1"/>
    </xf>
    <xf numFmtId="167" fontId="0" fillId="0" borderId="15" xfId="1" applyNumberFormat="1" applyFont="1" applyFill="1" applyBorder="1" applyAlignment="1" applyProtection="1">
      <alignment horizontal="center"/>
    </xf>
    <xf numFmtId="164" fontId="2" fillId="0" borderId="50" xfId="0" applyNumberFormat="1" applyFont="1" applyFill="1" applyBorder="1" applyAlignment="1" applyProtection="1">
      <alignment horizontal="center"/>
    </xf>
    <xf numFmtId="167" fontId="0" fillId="0" borderId="0" xfId="0" applyNumberFormat="1" applyFill="1" applyAlignment="1" applyProtection="1">
      <alignment vertical="top"/>
    </xf>
    <xf numFmtId="0" fontId="0" fillId="0" borderId="0" xfId="0" applyFill="1" applyProtection="1"/>
    <xf numFmtId="167" fontId="2" fillId="0" borderId="0" xfId="0" applyNumberFormat="1" applyFont="1" applyAlignment="1" applyProtection="1">
      <alignment vertical="top"/>
    </xf>
    <xf numFmtId="0" fontId="2" fillId="14" borderId="17" xfId="0" applyFont="1" applyFill="1" applyBorder="1" applyAlignment="1" applyProtection="1">
      <alignment horizontal="left" vertical="top" wrapText="1"/>
    </xf>
    <xf numFmtId="167" fontId="0" fillId="14" borderId="18" xfId="1" applyNumberFormat="1" applyFont="1" applyFill="1" applyBorder="1" applyAlignment="1" applyProtection="1">
      <alignment vertical="center"/>
    </xf>
    <xf numFmtId="167" fontId="0" fillId="14" borderId="19" xfId="1" applyNumberFormat="1" applyFont="1" applyFill="1" applyBorder="1" applyAlignment="1" applyProtection="1">
      <alignment vertical="center"/>
    </xf>
    <xf numFmtId="167" fontId="0" fillId="14" borderId="51" xfId="1" applyNumberFormat="1" applyFont="1" applyFill="1" applyBorder="1" applyAlignment="1" applyProtection="1">
      <alignment vertical="center"/>
    </xf>
    <xf numFmtId="175" fontId="2" fillId="0" borderId="0" xfId="0" applyNumberFormat="1" applyFont="1" applyAlignment="1" applyProtection="1">
      <alignment vertical="top"/>
    </xf>
    <xf numFmtId="0" fontId="0" fillId="0" borderId="17" xfId="0" applyFont="1" applyBorder="1" applyAlignment="1" applyProtection="1">
      <alignment horizontal="left" vertical="top" wrapText="1"/>
    </xf>
    <xf numFmtId="167" fontId="0" fillId="4" borderId="18" xfId="1" applyNumberFormat="1" applyFont="1" applyFill="1" applyBorder="1" applyAlignment="1" applyProtection="1">
      <alignment vertical="center"/>
    </xf>
    <xf numFmtId="167" fontId="0" fillId="0" borderId="18" xfId="1" applyNumberFormat="1" applyFont="1" applyFill="1" applyBorder="1" applyAlignment="1" applyProtection="1">
      <alignment vertical="center"/>
      <protection locked="0"/>
    </xf>
    <xf numFmtId="167" fontId="0" fillId="2" borderId="19" xfId="1" applyNumberFormat="1" applyFont="1" applyFill="1" applyBorder="1" applyAlignment="1" applyProtection="1">
      <alignment vertical="center"/>
    </xf>
    <xf numFmtId="167" fontId="2" fillId="0" borderId="0" xfId="0" applyNumberFormat="1" applyFont="1" applyProtection="1"/>
    <xf numFmtId="167" fontId="0" fillId="0" borderId="0" xfId="1" applyNumberFormat="1" applyFont="1" applyFill="1" applyBorder="1" applyAlignment="1" applyProtection="1">
      <alignment vertical="top"/>
    </xf>
    <xf numFmtId="164" fontId="0" fillId="0" borderId="0" xfId="1" applyFont="1" applyFill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167" fontId="0" fillId="6" borderId="19" xfId="1" applyNumberFormat="1" applyFont="1" applyFill="1" applyBorder="1" applyAlignment="1" applyProtection="1">
      <alignment vertical="center"/>
    </xf>
    <xf numFmtId="164" fontId="2" fillId="6" borderId="52" xfId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top"/>
    </xf>
    <xf numFmtId="164" fontId="2" fillId="0" borderId="0" xfId="0" applyNumberFormat="1" applyFont="1" applyFill="1" applyBorder="1" applyProtection="1"/>
    <xf numFmtId="0" fontId="0" fillId="0" borderId="0" xfId="0" applyFont="1" applyBorder="1" applyProtection="1"/>
    <xf numFmtId="4" fontId="30" fillId="0" borderId="53" xfId="0" applyNumberFormat="1" applyFont="1" applyBorder="1" applyAlignment="1" applyProtection="1">
      <alignment horizontal="right" vertical="center"/>
    </xf>
    <xf numFmtId="167" fontId="11" fillId="0" borderId="53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176" fontId="31" fillId="0" borderId="0" xfId="1" applyNumberFormat="1" applyFill="1" applyBorder="1" applyAlignment="1" applyProtection="1"/>
    <xf numFmtId="164" fontId="0" fillId="0" borderId="0" xfId="0" applyNumberFormat="1" applyFont="1" applyBorder="1" applyProtection="1"/>
    <xf numFmtId="0" fontId="2" fillId="0" borderId="0" xfId="0" applyFont="1" applyFill="1" applyBorder="1" applyAlignment="1" applyProtection="1">
      <alignment horizontal="left" vertical="top" wrapText="1"/>
    </xf>
    <xf numFmtId="167" fontId="2" fillId="0" borderId="0" xfId="3" applyNumberFormat="1" applyFont="1" applyFill="1" applyBorder="1" applyAlignment="1" applyProtection="1">
      <alignment horizontal="center" vertical="center"/>
    </xf>
    <xf numFmtId="167" fontId="0" fillId="0" borderId="0" xfId="0" applyNumberFormat="1" applyFont="1" applyBorder="1" applyProtection="1"/>
    <xf numFmtId="2" fontId="0" fillId="0" borderId="0" xfId="0" applyNumberFormat="1" applyFont="1" applyBorder="1" applyProtection="1"/>
    <xf numFmtId="167" fontId="2" fillId="8" borderId="18" xfId="1" applyNumberFormat="1" applyFont="1" applyFill="1" applyBorder="1" applyAlignment="1" applyProtection="1">
      <alignment horizontal="center" vertical="center" wrapText="1"/>
    </xf>
    <xf numFmtId="167" fontId="2" fillId="8" borderId="34" xfId="1" applyNumberFormat="1" applyFont="1" applyFill="1" applyBorder="1" applyAlignment="1" applyProtection="1">
      <alignment horizontal="center" vertical="center" wrapText="1"/>
    </xf>
    <xf numFmtId="167" fontId="2" fillId="0" borderId="18" xfId="1" applyNumberFormat="1" applyFont="1" applyFill="1" applyBorder="1" applyAlignment="1" applyProtection="1">
      <alignment horizontal="center" vertical="center" wrapText="1"/>
    </xf>
    <xf numFmtId="167" fontId="2" fillId="0" borderId="34" xfId="1" applyNumberFormat="1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>
      <alignment vertical="top" wrapText="1"/>
    </xf>
    <xf numFmtId="0" fontId="0" fillId="0" borderId="58" xfId="0" applyFont="1" applyFill="1" applyBorder="1" applyAlignment="1" applyProtection="1">
      <alignment horizontal="center" vertical="center" wrapText="1"/>
      <protection locked="0"/>
    </xf>
    <xf numFmtId="167" fontId="0" fillId="0" borderId="18" xfId="1" applyNumberFormat="1" applyFont="1" applyFill="1" applyBorder="1" applyAlignment="1" applyProtection="1">
      <alignment horizontal="center" vertical="center" wrapText="1"/>
    </xf>
    <xf numFmtId="10" fontId="2" fillId="0" borderId="31" xfId="3" applyNumberFormat="1" applyFont="1" applyFill="1" applyBorder="1" applyAlignment="1" applyProtection="1">
      <alignment horizontal="center"/>
    </xf>
    <xf numFmtId="10" fontId="2" fillId="0" borderId="4" xfId="3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7" fontId="31" fillId="0" borderId="18" xfId="1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Alignment="1" applyProtection="1">
      <alignment horizontal="center"/>
    </xf>
    <xf numFmtId="167" fontId="2" fillId="9" borderId="18" xfId="1" applyNumberFormat="1" applyFont="1" applyFill="1" applyBorder="1" applyAlignment="1" applyProtection="1">
      <alignment horizontal="center" vertical="top" wrapText="1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167" fontId="31" fillId="8" borderId="18" xfId="1" applyNumberFormat="1" applyFont="1" applyFill="1" applyBorder="1" applyAlignment="1" applyProtection="1">
      <alignment horizontal="center" vertical="center" wrapText="1"/>
    </xf>
    <xf numFmtId="10" fontId="2" fillId="8" borderId="31" xfId="3" applyNumberFormat="1" applyFont="1" applyFill="1" applyBorder="1" applyAlignment="1" applyProtection="1">
      <alignment horizontal="center"/>
    </xf>
    <xf numFmtId="164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164" fontId="31" fillId="10" borderId="55" xfId="1" applyFill="1" applyBorder="1" applyAlignment="1" applyProtection="1">
      <alignment horizontal="center" vertical="center"/>
    </xf>
    <xf numFmtId="164" fontId="31" fillId="2" borderId="56" xfId="1" applyFill="1" applyBorder="1" applyAlignment="1" applyProtection="1">
      <alignment horizontal="center" vertical="center"/>
    </xf>
    <xf numFmtId="164" fontId="0" fillId="11" borderId="43" xfId="0" applyNumberFormat="1" applyFont="1" applyFill="1" applyBorder="1" applyAlignment="1">
      <alignment horizontal="center" vertical="center"/>
    </xf>
    <xf numFmtId="3" fontId="0" fillId="0" borderId="17" xfId="0" applyNumberFormat="1" applyFont="1" applyBorder="1" applyAlignment="1" applyProtection="1">
      <alignment horizontal="left" vertical="top" wrapText="1"/>
    </xf>
    <xf numFmtId="167" fontId="2" fillId="2" borderId="18" xfId="1" applyNumberFormat="1" applyFont="1" applyFill="1" applyBorder="1" applyAlignment="1" applyProtection="1">
      <alignment horizontal="center" vertical="center" wrapText="1"/>
    </xf>
    <xf numFmtId="0" fontId="0" fillId="0" borderId="58" xfId="0" applyFont="1" applyBorder="1" applyAlignment="1">
      <alignment vertical="center"/>
    </xf>
    <xf numFmtId="4" fontId="0" fillId="0" borderId="58" xfId="1" applyNumberFormat="1" applyFont="1" applyFill="1" applyBorder="1" applyAlignment="1" applyProtection="1">
      <alignment vertical="center"/>
    </xf>
    <xf numFmtId="4" fontId="0" fillId="0" borderId="58" xfId="1" applyNumberFormat="1" applyFont="1" applyFill="1" applyBorder="1" applyAlignment="1" applyProtection="1">
      <alignment horizontal="right" vertical="center" wrapText="1"/>
    </xf>
    <xf numFmtId="4" fontId="18" fillId="0" borderId="58" xfId="1" applyNumberFormat="1" applyFont="1" applyFill="1" applyBorder="1" applyAlignment="1" applyProtection="1">
      <alignment horizontal="right" vertical="top" wrapText="1"/>
    </xf>
    <xf numFmtId="0" fontId="2" fillId="17" borderId="58" xfId="0" applyFont="1" applyFill="1" applyBorder="1" applyAlignment="1">
      <alignment vertical="center" wrapText="1"/>
    </xf>
    <xf numFmtId="0" fontId="0" fillId="17" borderId="58" xfId="0" applyFont="1" applyFill="1" applyBorder="1" applyAlignment="1">
      <alignment vertical="center"/>
    </xf>
    <xf numFmtId="167" fontId="2" fillId="7" borderId="58" xfId="1" applyNumberFormat="1" applyFont="1" applyFill="1" applyBorder="1" applyAlignment="1" applyProtection="1">
      <alignment vertical="center"/>
    </xf>
    <xf numFmtId="167" fontId="2" fillId="17" borderId="58" xfId="1" applyNumberFormat="1" applyFont="1" applyFill="1" applyBorder="1" applyAlignment="1" applyProtection="1">
      <alignment vertical="center"/>
    </xf>
    <xf numFmtId="0" fontId="0" fillId="8" borderId="58" xfId="0" applyFont="1" applyFill="1" applyBorder="1" applyAlignment="1">
      <alignment vertical="center"/>
    </xf>
    <xf numFmtId="168" fontId="0" fillId="0" borderId="58" xfId="1" applyNumberFormat="1" applyFont="1" applyFill="1" applyBorder="1" applyAlignment="1" applyProtection="1">
      <alignment vertical="center"/>
    </xf>
    <xf numFmtId="168" fontId="0" fillId="8" borderId="58" xfId="1" applyNumberFormat="1" applyFont="1" applyFill="1" applyBorder="1" applyAlignment="1" applyProtection="1">
      <alignment vertical="center"/>
    </xf>
    <xf numFmtId="0" fontId="2" fillId="6" borderId="58" xfId="0" applyFont="1" applyFill="1" applyBorder="1" applyAlignment="1">
      <alignment vertical="center" wrapText="1"/>
    </xf>
    <xf numFmtId="0" fontId="0" fillId="0" borderId="67" xfId="0" applyFont="1" applyBorder="1" applyAlignment="1" applyProtection="1">
      <alignment horizontal="center" vertical="center" wrapText="1"/>
      <protection locked="0"/>
    </xf>
    <xf numFmtId="0" fontId="14" fillId="17" borderId="66" xfId="0" applyFont="1" applyFill="1" applyBorder="1" applyAlignment="1">
      <alignment vertical="top" wrapText="1"/>
    </xf>
    <xf numFmtId="0" fontId="0" fillId="17" borderId="67" xfId="0" applyFont="1" applyFill="1" applyBorder="1" applyAlignment="1" applyProtection="1">
      <alignment horizontal="center" vertical="center" wrapText="1"/>
      <protection locked="0"/>
    </xf>
    <xf numFmtId="0" fontId="0" fillId="0" borderId="67" xfId="0" applyFont="1" applyFill="1" applyBorder="1" applyAlignment="1" applyProtection="1">
      <alignment horizontal="center" vertical="center" wrapText="1"/>
      <protection locked="0"/>
    </xf>
    <xf numFmtId="0" fontId="14" fillId="6" borderId="66" xfId="0" applyFont="1" applyFill="1" applyBorder="1" applyAlignment="1">
      <alignment vertical="top" wrapText="1"/>
    </xf>
    <xf numFmtId="0" fontId="2" fillId="6" borderId="67" xfId="0" applyFont="1" applyFill="1" applyBorder="1" applyAlignment="1">
      <alignment vertical="center" wrapText="1"/>
    </xf>
    <xf numFmtId="167" fontId="0" fillId="2" borderId="24" xfId="1" applyNumberFormat="1" applyFont="1" applyFill="1" applyBorder="1" applyAlignment="1" applyProtection="1">
      <alignment horizontal="center" wrapText="1"/>
    </xf>
    <xf numFmtId="167" fontId="0" fillId="2" borderId="3" xfId="1" applyNumberFormat="1" applyFont="1" applyFill="1" applyBorder="1" applyAlignment="1" applyProtection="1">
      <alignment horizontal="center" wrapText="1"/>
    </xf>
    <xf numFmtId="4" fontId="30" fillId="0" borderId="24" xfId="0" applyNumberFormat="1" applyFont="1" applyBorder="1" applyProtection="1"/>
    <xf numFmtId="167" fontId="11" fillId="0" borderId="24" xfId="0" applyNumberFormat="1" applyFont="1" applyBorder="1" applyProtection="1"/>
    <xf numFmtId="0" fontId="11" fillId="0" borderId="71" xfId="0" applyFont="1" applyFill="1" applyBorder="1" applyAlignment="1" applyProtection="1">
      <alignment vertical="center"/>
    </xf>
    <xf numFmtId="0" fontId="11" fillId="10" borderId="72" xfId="0" applyFont="1" applyFill="1" applyBorder="1" applyAlignment="1" applyProtection="1">
      <alignment horizontal="center" vertical="center"/>
    </xf>
    <xf numFmtId="0" fontId="11" fillId="10" borderId="72" xfId="0" applyFont="1" applyFill="1" applyBorder="1" applyAlignment="1" applyProtection="1">
      <alignment horizontal="right" vertical="center"/>
    </xf>
    <xf numFmtId="0" fontId="16" fillId="0" borderId="71" xfId="0" applyFont="1" applyFill="1" applyBorder="1" applyAlignment="1" applyProtection="1">
      <alignment vertical="center"/>
    </xf>
    <xf numFmtId="3" fontId="0" fillId="0" borderId="0" xfId="0" applyNumberFormat="1" applyFont="1" applyProtection="1"/>
    <xf numFmtId="0" fontId="10" fillId="8" borderId="66" xfId="0" applyFont="1" applyFill="1" applyBorder="1" applyAlignment="1">
      <alignment vertical="top" wrapText="1"/>
    </xf>
    <xf numFmtId="0" fontId="10" fillId="8" borderId="80" xfId="0" applyFont="1" applyFill="1" applyBorder="1" applyAlignment="1">
      <alignment vertical="top" wrapText="1"/>
    </xf>
    <xf numFmtId="0" fontId="10" fillId="0" borderId="66" xfId="0" applyFont="1" applyFill="1" applyBorder="1" applyAlignment="1">
      <alignment wrapText="1"/>
    </xf>
    <xf numFmtId="0" fontId="10" fillId="0" borderId="66" xfId="0" applyFont="1" applyFill="1" applyBorder="1" applyAlignment="1">
      <alignment horizontal="left" vertical="center" wrapText="1"/>
    </xf>
    <xf numFmtId="0" fontId="2" fillId="2" borderId="64" xfId="0" applyFont="1" applyFill="1" applyBorder="1" applyAlignment="1">
      <alignment vertical="top" wrapText="1"/>
    </xf>
    <xf numFmtId="0" fontId="0" fillId="0" borderId="59" xfId="0" applyFont="1" applyBorder="1"/>
    <xf numFmtId="167" fontId="2" fillId="2" borderId="31" xfId="1" applyNumberFormat="1" applyFont="1" applyFill="1" applyBorder="1" applyAlignment="1" applyProtection="1"/>
    <xf numFmtId="0" fontId="14" fillId="4" borderId="85" xfId="0" applyFont="1" applyFill="1" applyBorder="1" applyAlignment="1">
      <alignment vertical="top" wrapText="1"/>
    </xf>
    <xf numFmtId="0" fontId="2" fillId="4" borderId="86" xfId="0" applyFont="1" applyFill="1" applyBorder="1" applyAlignment="1">
      <alignment horizontal="center" vertical="top" wrapText="1"/>
    </xf>
    <xf numFmtId="0" fontId="0" fillId="0" borderId="86" xfId="0" applyFont="1" applyBorder="1"/>
    <xf numFmtId="164" fontId="2" fillId="4" borderId="86" xfId="1" applyFont="1" applyFill="1" applyBorder="1" applyAlignment="1" applyProtection="1">
      <alignment horizontal="center"/>
    </xf>
    <xf numFmtId="0" fontId="11" fillId="4" borderId="87" xfId="0" applyFont="1" applyFill="1" applyBorder="1" applyAlignment="1">
      <alignment horizontal="center" vertical="top" wrapText="1"/>
    </xf>
    <xf numFmtId="0" fontId="14" fillId="6" borderId="88" xfId="0" applyFont="1" applyFill="1" applyBorder="1" applyAlignment="1">
      <alignment vertical="top" wrapText="1"/>
    </xf>
    <xf numFmtId="0" fontId="2" fillId="6" borderId="89" xfId="0" applyFont="1" applyFill="1" applyBorder="1" applyAlignment="1">
      <alignment vertical="top" wrapText="1"/>
    </xf>
    <xf numFmtId="0" fontId="14" fillId="2" borderId="90" xfId="0" applyFont="1" applyFill="1" applyBorder="1" applyAlignment="1">
      <alignment vertical="top" wrapText="1"/>
    </xf>
    <xf numFmtId="0" fontId="2" fillId="2" borderId="91" xfId="0" applyFont="1" applyFill="1" applyBorder="1" applyAlignment="1">
      <alignment vertical="top" wrapText="1"/>
    </xf>
    <xf numFmtId="0" fontId="10" fillId="0" borderId="66" xfId="2" applyNumberFormat="1" applyFont="1" applyFill="1" applyBorder="1" applyAlignment="1" applyProtection="1">
      <alignment wrapText="1"/>
    </xf>
    <xf numFmtId="0" fontId="0" fillId="0" borderId="66" xfId="0" applyFill="1" applyBorder="1" applyAlignment="1" applyProtection="1">
      <alignment horizontal="left" vertical="center" wrapText="1"/>
      <protection locked="0"/>
    </xf>
    <xf numFmtId="3" fontId="23" fillId="2" borderId="76" xfId="0" applyNumberFormat="1" applyFont="1" applyFill="1" applyBorder="1" applyAlignment="1">
      <alignment horizontal="right" vertical="top" wrapText="1"/>
    </xf>
    <xf numFmtId="167" fontId="24" fillId="2" borderId="61" xfId="1" applyNumberFormat="1" applyFont="1" applyFill="1" applyBorder="1" applyAlignment="1" applyProtection="1">
      <alignment vertical="top"/>
    </xf>
    <xf numFmtId="167" fontId="17" fillId="0" borderId="35" xfId="1" applyNumberFormat="1" applyFont="1" applyFill="1" applyBorder="1" applyAlignment="1" applyProtection="1">
      <alignment horizontal="center" vertical="top"/>
      <protection locked="0"/>
    </xf>
    <xf numFmtId="3" fontId="17" fillId="0" borderId="35" xfId="4" applyNumberFormat="1" applyFont="1" applyFill="1" applyBorder="1" applyAlignment="1" applyProtection="1">
      <alignment vertical="top"/>
      <protection locked="0"/>
    </xf>
    <xf numFmtId="167" fontId="17" fillId="0" borderId="97" xfId="1" applyNumberFormat="1" applyFont="1" applyFill="1" applyBorder="1" applyAlignment="1" applyProtection="1">
      <alignment horizontal="center" vertical="top"/>
      <protection locked="0"/>
    </xf>
    <xf numFmtId="3" fontId="17" fillId="0" borderId="97" xfId="4" applyNumberFormat="1" applyFont="1" applyFill="1" applyBorder="1" applyAlignment="1" applyProtection="1">
      <alignment vertical="top"/>
      <protection locked="0"/>
    </xf>
    <xf numFmtId="3" fontId="17" fillId="0" borderId="97" xfId="1" applyNumberFormat="1" applyFont="1" applyFill="1" applyBorder="1" applyAlignment="1" applyProtection="1">
      <alignment horizontal="center" vertical="top" wrapText="1"/>
    </xf>
    <xf numFmtId="3" fontId="17" fillId="0" borderId="97" xfId="1" applyNumberFormat="1" applyFont="1" applyFill="1" applyBorder="1" applyAlignment="1" applyProtection="1">
      <alignment horizontal="right" vertical="top" wrapText="1"/>
    </xf>
    <xf numFmtId="3" fontId="17" fillId="0" borderId="97" xfId="1" applyNumberFormat="1" applyFont="1" applyFill="1" applyBorder="1" applyAlignment="1" applyProtection="1">
      <alignment horizontal="center" vertical="top"/>
      <protection locked="0"/>
    </xf>
    <xf numFmtId="167" fontId="17" fillId="7" borderId="100" xfId="1" applyNumberFormat="1" applyFont="1" applyFill="1" applyBorder="1" applyAlignment="1" applyProtection="1">
      <alignment vertical="top"/>
    </xf>
    <xf numFmtId="3" fontId="17" fillId="0" borderId="102" xfId="0" applyNumberFormat="1" applyFont="1" applyFill="1" applyBorder="1" applyAlignment="1" applyProtection="1">
      <alignment vertical="top" wrapText="1"/>
      <protection locked="0"/>
    </xf>
    <xf numFmtId="3" fontId="2" fillId="4" borderId="42" xfId="0" applyNumberFormat="1" applyFont="1" applyFill="1" applyBorder="1" applyAlignment="1">
      <alignment horizontal="center" vertical="top" wrapText="1"/>
    </xf>
    <xf numFmtId="3" fontId="2" fillId="4" borderId="31" xfId="1" applyNumberFormat="1" applyFont="1" applyFill="1" applyBorder="1" applyAlignment="1" applyProtection="1">
      <alignment horizontal="center" vertical="top" wrapText="1"/>
    </xf>
    <xf numFmtId="3" fontId="2" fillId="4" borderId="4" xfId="0" applyNumberFormat="1" applyFont="1" applyFill="1" applyBorder="1" applyAlignment="1">
      <alignment horizontal="center" vertical="top" wrapText="1"/>
    </xf>
    <xf numFmtId="3" fontId="2" fillId="4" borderId="4" xfId="1" applyNumberFormat="1" applyFont="1" applyFill="1" applyBorder="1" applyAlignment="1" applyProtection="1">
      <alignment horizontal="center" vertical="top" wrapText="1"/>
    </xf>
    <xf numFmtId="3" fontId="2" fillId="4" borderId="43" xfId="1" applyNumberFormat="1" applyFont="1" applyFill="1" applyBorder="1" applyAlignment="1" applyProtection="1">
      <alignment horizontal="center" vertical="top" wrapText="1"/>
    </xf>
    <xf numFmtId="167" fontId="17" fillId="0" borderId="97" xfId="1" applyNumberFormat="1" applyFont="1" applyFill="1" applyBorder="1" applyAlignment="1" applyProtection="1">
      <alignment vertical="top"/>
      <protection locked="0"/>
    </xf>
    <xf numFmtId="3" fontId="17" fillId="0" borderId="97" xfId="1" applyNumberFormat="1" applyFont="1" applyFill="1" applyBorder="1" applyAlignment="1" applyProtection="1">
      <alignment vertical="top"/>
      <protection locked="0"/>
    </xf>
    <xf numFmtId="3" fontId="22" fillId="0" borderId="101" xfId="0" applyNumberFormat="1" applyFont="1" applyFill="1" applyBorder="1" applyAlignment="1" applyProtection="1">
      <alignment vertical="top" wrapText="1"/>
      <protection locked="0"/>
    </xf>
    <xf numFmtId="167" fontId="22" fillId="0" borderId="97" xfId="1" applyNumberFormat="1" applyFont="1" applyFill="1" applyBorder="1" applyAlignment="1" applyProtection="1">
      <alignment horizontal="center" vertical="top"/>
      <protection locked="0"/>
    </xf>
    <xf numFmtId="167" fontId="22" fillId="0" borderId="97" xfId="1" applyNumberFormat="1" applyFont="1" applyFill="1" applyBorder="1" applyAlignment="1" applyProtection="1">
      <alignment vertical="top"/>
      <protection locked="0"/>
    </xf>
    <xf numFmtId="167" fontId="22" fillId="0" borderId="30" xfId="1" applyNumberFormat="1" applyFont="1" applyFill="1" applyBorder="1" applyAlignment="1" applyProtection="1">
      <alignment horizontal="center" vertical="top"/>
      <protection locked="0"/>
    </xf>
    <xf numFmtId="167" fontId="22" fillId="0" borderId="30" xfId="1" applyNumberFormat="1" applyFont="1" applyFill="1" applyBorder="1" applyAlignment="1" applyProtection="1">
      <alignment vertical="top"/>
      <protection locked="0"/>
    </xf>
    <xf numFmtId="3" fontId="22" fillId="0" borderId="30" xfId="1" applyNumberFormat="1" applyFont="1" applyFill="1" applyBorder="1" applyAlignment="1" applyProtection="1">
      <alignment horizontal="center" vertical="top" wrapText="1"/>
      <protection locked="0"/>
    </xf>
    <xf numFmtId="3" fontId="22" fillId="0" borderId="30" xfId="1" applyNumberFormat="1" applyFont="1" applyFill="1" applyBorder="1" applyAlignment="1" applyProtection="1">
      <alignment vertical="top"/>
      <protection locked="0"/>
    </xf>
    <xf numFmtId="167" fontId="0" fillId="20" borderId="18" xfId="1" applyNumberFormat="1" applyFont="1" applyFill="1" applyBorder="1" applyAlignment="1" applyProtection="1">
      <alignment vertical="center"/>
    </xf>
    <xf numFmtId="3" fontId="17" fillId="0" borderId="64" xfId="0" applyNumberFormat="1" applyFont="1" applyBorder="1" applyAlignment="1" applyProtection="1">
      <alignment horizontal="left" vertical="top" wrapText="1"/>
      <protection locked="0"/>
    </xf>
    <xf numFmtId="3" fontId="17" fillId="0" borderId="77" xfId="0" applyNumberFormat="1" applyFont="1" applyBorder="1" applyAlignment="1" applyProtection="1">
      <alignment horizontal="left" vertical="top" wrapText="1"/>
      <protection locked="0"/>
    </xf>
    <xf numFmtId="3" fontId="17" fillId="0" borderId="78" xfId="0" applyNumberFormat="1" applyFont="1" applyBorder="1" applyAlignment="1" applyProtection="1">
      <alignment horizontal="left" vertical="top" wrapText="1"/>
      <protection locked="0"/>
    </xf>
    <xf numFmtId="3" fontId="17" fillId="0" borderId="21" xfId="0" applyNumberFormat="1" applyFont="1" applyBorder="1" applyAlignment="1" applyProtection="1">
      <alignment vertical="top" wrapText="1"/>
      <protection locked="0"/>
    </xf>
    <xf numFmtId="3" fontId="17" fillId="0" borderId="107" xfId="0" applyNumberFormat="1" applyFont="1" applyBorder="1" applyAlignment="1" applyProtection="1">
      <alignment vertical="top" wrapText="1"/>
      <protection locked="0"/>
    </xf>
    <xf numFmtId="3" fontId="17" fillId="0" borderId="60" xfId="4" applyNumberFormat="1" applyFont="1" applyFill="1" applyBorder="1" applyAlignment="1" applyProtection="1">
      <alignment horizontal="center" vertical="top"/>
      <protection locked="0"/>
    </xf>
    <xf numFmtId="3" fontId="17" fillId="0" borderId="60" xfId="4" applyNumberFormat="1" applyFont="1" applyFill="1" applyBorder="1" applyAlignment="1" applyProtection="1">
      <alignment vertical="top"/>
      <protection locked="0"/>
    </xf>
    <xf numFmtId="3" fontId="17" fillId="0" borderId="97" xfId="1" applyNumberFormat="1" applyFont="1" applyFill="1" applyBorder="1" applyAlignment="1" applyProtection="1">
      <alignment horizontal="center" vertical="top"/>
    </xf>
    <xf numFmtId="3" fontId="17" fillId="0" borderId="97" xfId="1" applyNumberFormat="1" applyFont="1" applyFill="1" applyBorder="1" applyAlignment="1" applyProtection="1">
      <alignment horizontal="right" vertical="top"/>
    </xf>
    <xf numFmtId="3" fontId="17" fillId="0" borderId="99" xfId="0" applyNumberFormat="1" applyFont="1" applyFill="1" applyBorder="1" applyAlignment="1" applyProtection="1">
      <alignment vertical="top" wrapText="1"/>
      <protection locked="0"/>
    </xf>
    <xf numFmtId="3" fontId="17" fillId="0" borderId="99" xfId="0" applyNumberFormat="1" applyFont="1" applyBorder="1" applyAlignment="1" applyProtection="1">
      <alignment vertical="top" wrapText="1"/>
      <protection locked="0"/>
    </xf>
    <xf numFmtId="3" fontId="17" fillId="0" borderId="102" xfId="4" applyNumberFormat="1" applyFont="1" applyFill="1" applyBorder="1" applyAlignment="1" applyProtection="1">
      <alignment horizontal="center" vertical="top"/>
      <protection locked="0"/>
    </xf>
    <xf numFmtId="3" fontId="17" fillId="0" borderId="102" xfId="4" applyNumberFormat="1" applyFont="1" applyFill="1" applyBorder="1" applyAlignment="1" applyProtection="1">
      <alignment vertical="top"/>
      <protection locked="0"/>
    </xf>
    <xf numFmtId="164" fontId="0" fillId="11" borderId="43" xfId="0" applyNumberFormat="1" applyFont="1" applyFill="1" applyBorder="1" applyAlignment="1">
      <alignment horizontal="center" vertical="center"/>
    </xf>
    <xf numFmtId="3" fontId="0" fillId="0" borderId="17" xfId="0" applyNumberFormat="1" applyFont="1" applyBorder="1" applyAlignment="1">
      <alignment horizontal="left" vertical="top" wrapText="1"/>
    </xf>
    <xf numFmtId="167" fontId="22" fillId="0" borderId="109" xfId="1" applyNumberFormat="1" applyFont="1" applyFill="1" applyBorder="1" applyAlignment="1" applyProtection="1">
      <alignment horizontal="center" vertical="top"/>
      <protection locked="0"/>
    </xf>
    <xf numFmtId="3" fontId="24" fillId="0" borderId="104" xfId="0" applyNumberFormat="1" applyFont="1" applyFill="1" applyBorder="1"/>
    <xf numFmtId="3" fontId="22" fillId="0" borderId="110" xfId="0" applyNumberFormat="1" applyFont="1" applyFill="1" applyBorder="1" applyAlignment="1" applyProtection="1">
      <alignment vertical="top" wrapText="1"/>
      <protection locked="0"/>
    </xf>
    <xf numFmtId="3" fontId="22" fillId="0" borderId="97" xfId="0" applyNumberFormat="1" applyFont="1" applyFill="1" applyBorder="1" applyAlignment="1" applyProtection="1">
      <alignment vertical="top" wrapText="1"/>
      <protection locked="0"/>
    </xf>
    <xf numFmtId="3" fontId="0" fillId="0" borderId="105" xfId="0" applyNumberFormat="1" applyFill="1" applyBorder="1"/>
    <xf numFmtId="4" fontId="17" fillId="0" borderId="97" xfId="0" applyNumberFormat="1" applyFont="1" applyFill="1" applyBorder="1" applyAlignment="1">
      <alignment horizontal="center" vertical="center"/>
    </xf>
    <xf numFmtId="3" fontId="17" fillId="0" borderId="97" xfId="0" applyNumberFormat="1" applyFont="1" applyFill="1" applyBorder="1" applyAlignment="1" applyProtection="1">
      <alignment vertical="top" wrapText="1"/>
      <protection locked="0"/>
    </xf>
    <xf numFmtId="3" fontId="22" fillId="0" borderId="77" xfId="0" applyNumberFormat="1" applyFont="1" applyFill="1" applyBorder="1" applyAlignment="1" applyProtection="1">
      <alignment horizontal="left" vertical="top" wrapText="1"/>
      <protection locked="0"/>
    </xf>
    <xf numFmtId="3" fontId="22" fillId="0" borderId="99" xfId="0" applyNumberFormat="1" applyFont="1" applyFill="1" applyBorder="1" applyAlignment="1" applyProtection="1">
      <alignment vertical="top" wrapText="1"/>
      <protection locked="0"/>
    </xf>
    <xf numFmtId="3" fontId="22" fillId="0" borderId="111" xfId="0" applyNumberFormat="1" applyFont="1" applyFill="1" applyBorder="1" applyAlignment="1" applyProtection="1">
      <alignment horizontal="left" vertical="top" wrapText="1"/>
      <protection locked="0"/>
    </xf>
    <xf numFmtId="3" fontId="17" fillId="0" borderId="30" xfId="0" applyNumberFormat="1" applyFont="1" applyFill="1" applyBorder="1" applyAlignment="1" applyProtection="1">
      <alignment vertical="top"/>
      <protection locked="0"/>
    </xf>
    <xf numFmtId="3" fontId="22" fillId="0" borderId="35" xfId="0" applyNumberFormat="1" applyFont="1" applyFill="1" applyBorder="1" applyAlignment="1" applyProtection="1">
      <alignment vertical="top" wrapText="1"/>
      <protection locked="0"/>
    </xf>
    <xf numFmtId="0" fontId="17" fillId="0" borderId="30" xfId="0" applyFont="1" applyFill="1" applyBorder="1" applyAlignment="1">
      <alignment horizontal="justify" vertical="center" wrapText="1"/>
    </xf>
    <xf numFmtId="3" fontId="22" fillId="0" borderId="30" xfId="0" applyNumberFormat="1" applyFont="1" applyFill="1" applyBorder="1" applyAlignment="1" applyProtection="1">
      <alignment vertical="top" wrapText="1"/>
      <protection locked="0"/>
    </xf>
    <xf numFmtId="0" fontId="22" fillId="0" borderId="30" xfId="0" applyFont="1" applyFill="1" applyBorder="1" applyAlignment="1">
      <alignment horizontal="justify" vertical="center" wrapText="1"/>
    </xf>
    <xf numFmtId="3" fontId="22" fillId="0" borderId="77" xfId="0" applyNumberFormat="1" applyFont="1" applyFill="1" applyBorder="1" applyAlignment="1" applyProtection="1">
      <alignment vertical="top" wrapText="1"/>
      <protection locked="0"/>
    </xf>
    <xf numFmtId="3" fontId="22" fillId="0" borderId="30" xfId="0" applyNumberFormat="1" applyFont="1" applyFill="1" applyBorder="1" applyAlignment="1" applyProtection="1">
      <alignment vertical="top"/>
      <protection locked="0"/>
    </xf>
    <xf numFmtId="3" fontId="22" fillId="0" borderId="101" xfId="0" applyNumberFormat="1" applyFont="1" applyFill="1" applyBorder="1" applyAlignment="1" applyProtection="1">
      <alignment horizontal="left" vertical="top" wrapText="1"/>
      <protection locked="0"/>
    </xf>
    <xf numFmtId="3" fontId="17" fillId="0" borderId="102" xfId="0" applyNumberFormat="1" applyFont="1" applyFill="1" applyBorder="1" applyAlignment="1" applyProtection="1">
      <alignment horizontal="left" vertical="top" wrapText="1"/>
      <protection locked="0"/>
    </xf>
    <xf numFmtId="3" fontId="22" fillId="0" borderId="102" xfId="0" applyNumberFormat="1" applyFont="1" applyFill="1" applyBorder="1" applyAlignment="1" applyProtection="1">
      <alignment horizontal="left" vertical="top" wrapText="1"/>
      <protection locked="0"/>
    </xf>
    <xf numFmtId="4" fontId="17" fillId="0" borderId="35" xfId="0" applyNumberFormat="1" applyFont="1" applyBorder="1" applyAlignment="1">
      <alignment horizontal="center" vertical="center"/>
    </xf>
    <xf numFmtId="167" fontId="17" fillId="0" borderId="113" xfId="1" applyNumberFormat="1" applyFont="1" applyFill="1" applyBorder="1" applyAlignment="1" applyProtection="1">
      <alignment horizontal="center" vertical="top"/>
      <protection locked="0"/>
    </xf>
    <xf numFmtId="3" fontId="17" fillId="0" borderId="113" xfId="4" applyNumberFormat="1" applyFont="1" applyFill="1" applyBorder="1" applyAlignment="1" applyProtection="1">
      <alignment vertical="top"/>
      <protection locked="0"/>
    </xf>
    <xf numFmtId="3" fontId="17" fillId="0" borderId="113" xfId="4" applyNumberFormat="1" applyFont="1" applyFill="1" applyBorder="1" applyAlignment="1" applyProtection="1">
      <alignment horizontal="center" vertical="top"/>
      <protection locked="0"/>
    </xf>
    <xf numFmtId="3" fontId="17" fillId="0" borderId="113" xfId="1" applyNumberFormat="1" applyFont="1" applyFill="1" applyBorder="1" applyAlignment="1" applyProtection="1">
      <alignment horizontal="center" vertical="top"/>
      <protection locked="0"/>
    </xf>
    <xf numFmtId="3" fontId="17" fillId="0" borderId="117" xfId="1" applyNumberFormat="1" applyFont="1" applyFill="1" applyBorder="1" applyAlignment="1" applyProtection="1">
      <alignment horizontal="center" vertical="top"/>
      <protection locked="0"/>
    </xf>
    <xf numFmtId="3" fontId="17" fillId="0" borderId="117" xfId="1" applyNumberFormat="1" applyFont="1" applyFill="1" applyBorder="1" applyAlignment="1" applyProtection="1">
      <alignment vertical="top"/>
      <protection locked="0"/>
    </xf>
    <xf numFmtId="3" fontId="17" fillId="0" borderId="109" xfId="0" applyNumberFormat="1" applyFont="1" applyBorder="1" applyAlignment="1" applyProtection="1">
      <alignment vertical="top" wrapText="1"/>
      <protection locked="0"/>
    </xf>
    <xf numFmtId="4" fontId="24" fillId="0" borderId="93" xfId="1" applyNumberFormat="1" applyFont="1" applyFill="1" applyBorder="1" applyAlignment="1" applyProtection="1">
      <alignment horizontal="right" vertical="top" wrapText="1"/>
    </xf>
    <xf numFmtId="3" fontId="17" fillId="0" borderId="34" xfId="0" applyNumberFormat="1" applyFont="1" applyBorder="1" applyAlignment="1" applyProtection="1">
      <alignment vertical="top" wrapText="1"/>
      <protection locked="0"/>
    </xf>
    <xf numFmtId="3" fontId="17" fillId="0" borderId="109" xfId="0" applyNumberFormat="1" applyFont="1" applyBorder="1" applyAlignment="1" applyProtection="1">
      <alignment horizontal="left" vertical="top" wrapText="1"/>
      <protection locked="0"/>
    </xf>
    <xf numFmtId="0" fontId="17" fillId="0" borderId="109" xfId="0" applyFont="1" applyBorder="1" applyAlignment="1">
      <alignment horizontal="justify" vertical="center" wrapText="1"/>
    </xf>
    <xf numFmtId="3" fontId="25" fillId="2" borderId="76" xfId="0" applyNumberFormat="1" applyFont="1" applyFill="1" applyBorder="1" applyAlignment="1">
      <alignment horizontal="right" vertical="top" wrapText="1"/>
    </xf>
    <xf numFmtId="3" fontId="25" fillId="2" borderId="151" xfId="1" applyNumberFormat="1" applyFont="1" applyFill="1" applyBorder="1" applyAlignment="1" applyProtection="1"/>
    <xf numFmtId="3" fontId="17" fillId="0" borderId="136" xfId="0" applyNumberFormat="1" applyFont="1" applyBorder="1" applyAlignment="1" applyProtection="1">
      <alignment vertical="top" wrapText="1"/>
      <protection locked="0"/>
    </xf>
    <xf numFmtId="3" fontId="25" fillId="2" borderId="75" xfId="1" applyNumberFormat="1" applyFont="1" applyFill="1" applyBorder="1" applyAlignment="1" applyProtection="1">
      <alignment vertical="top" wrapText="1"/>
    </xf>
    <xf numFmtId="3" fontId="25" fillId="2" borderId="75" xfId="1" applyNumberFormat="1" applyFont="1" applyFill="1" applyBorder="1" applyAlignment="1" applyProtection="1">
      <alignment horizontal="center" vertical="top"/>
    </xf>
    <xf numFmtId="3" fontId="25" fillId="2" borderId="75" xfId="1" applyNumberFormat="1" applyFont="1" applyFill="1" applyBorder="1" applyAlignment="1" applyProtection="1">
      <alignment vertical="top"/>
    </xf>
    <xf numFmtId="167" fontId="25" fillId="2" borderId="61" xfId="1" applyNumberFormat="1" applyFont="1" applyFill="1" applyBorder="1" applyAlignment="1" applyProtection="1">
      <alignment vertical="top"/>
    </xf>
    <xf numFmtId="3" fontId="25" fillId="2" borderId="159" xfId="1" applyNumberFormat="1" applyFont="1" applyFill="1" applyBorder="1" applyAlignment="1" applyProtection="1">
      <alignment vertical="top"/>
    </xf>
    <xf numFmtId="3" fontId="25" fillId="2" borderId="159" xfId="1" applyNumberFormat="1" applyFont="1" applyFill="1" applyBorder="1" applyAlignment="1" applyProtection="1">
      <alignment vertical="top" wrapText="1"/>
    </xf>
    <xf numFmtId="3" fontId="2" fillId="4" borderId="166" xfId="0" applyNumberFormat="1" applyFont="1" applyFill="1" applyBorder="1" applyAlignment="1">
      <alignment horizontal="center" vertical="top" wrapText="1"/>
    </xf>
    <xf numFmtId="3" fontId="2" fillId="4" borderId="123" xfId="1" applyNumberFormat="1" applyFont="1" applyFill="1" applyBorder="1" applyAlignment="1" applyProtection="1">
      <alignment horizontal="center" vertical="top" wrapText="1"/>
    </xf>
    <xf numFmtId="167" fontId="19" fillId="7" borderId="100" xfId="1" applyNumberFormat="1" applyFont="1" applyFill="1" applyBorder="1" applyAlignment="1" applyProtection="1">
      <alignment vertical="top"/>
    </xf>
    <xf numFmtId="3" fontId="17" fillId="0" borderId="99" xfId="0" applyNumberFormat="1" applyFont="1" applyBorder="1" applyAlignment="1" applyProtection="1">
      <alignment horizontal="left" vertical="top" wrapText="1"/>
      <protection locked="0"/>
    </xf>
    <xf numFmtId="4" fontId="17" fillId="7" borderId="100" xfId="0" applyNumberFormat="1" applyFont="1" applyFill="1" applyBorder="1" applyAlignment="1">
      <alignment horizontal="center" vertical="center"/>
    </xf>
    <xf numFmtId="0" fontId="17" fillId="0" borderId="99" xfId="0" applyFont="1" applyBorder="1" applyAlignment="1">
      <alignment horizontal="justify" vertical="center" wrapText="1"/>
    </xf>
    <xf numFmtId="3" fontId="17" fillId="0" borderId="167" xfId="0" applyNumberFormat="1" applyFont="1" applyBorder="1" applyAlignment="1" applyProtection="1">
      <alignment vertical="top" wrapText="1"/>
      <protection locked="0"/>
    </xf>
    <xf numFmtId="167" fontId="17" fillId="0" borderId="35" xfId="1" applyNumberFormat="1" applyFont="1" applyFill="1" applyBorder="1" applyAlignment="1" applyProtection="1">
      <alignment vertical="top"/>
      <protection locked="0"/>
    </xf>
    <xf numFmtId="0" fontId="17" fillId="0" borderId="35" xfId="0" applyFont="1" applyBorder="1" applyAlignment="1">
      <alignment horizontal="justify" vertical="center" wrapText="1"/>
    </xf>
    <xf numFmtId="4" fontId="17" fillId="7" borderId="35" xfId="0" applyNumberFormat="1" applyFont="1" applyFill="1" applyBorder="1" applyAlignment="1">
      <alignment horizontal="center" vertical="center"/>
    </xf>
    <xf numFmtId="167" fontId="17" fillId="7" borderId="168" xfId="1" applyNumberFormat="1" applyFont="1" applyFill="1" applyBorder="1" applyAlignment="1" applyProtection="1">
      <alignment vertical="top"/>
    </xf>
    <xf numFmtId="3" fontId="17" fillId="0" borderId="169" xfId="0" applyNumberFormat="1" applyFont="1" applyFill="1" applyBorder="1" applyAlignment="1" applyProtection="1">
      <alignment vertical="top" wrapText="1"/>
      <protection locked="0"/>
    </xf>
    <xf numFmtId="167" fontId="17" fillId="0" borderId="170" xfId="1" applyNumberFormat="1" applyFont="1" applyFill="1" applyBorder="1" applyAlignment="1" applyProtection="1">
      <alignment horizontal="center" vertical="top"/>
      <protection locked="0"/>
    </xf>
    <xf numFmtId="167" fontId="17" fillId="0" borderId="170" xfId="1" applyNumberFormat="1" applyFont="1" applyFill="1" applyBorder="1" applyAlignment="1" applyProtection="1">
      <alignment vertical="top"/>
      <protection locked="0"/>
    </xf>
    <xf numFmtId="167" fontId="17" fillId="7" borderId="170" xfId="1" applyNumberFormat="1" applyFont="1" applyFill="1" applyBorder="1" applyAlignment="1" applyProtection="1">
      <alignment vertical="top"/>
    </xf>
    <xf numFmtId="3" fontId="17" fillId="0" borderId="170" xfId="0" applyNumberFormat="1" applyFont="1" applyBorder="1" applyAlignment="1" applyProtection="1">
      <alignment vertical="top" wrapText="1"/>
      <protection locked="0"/>
    </xf>
    <xf numFmtId="167" fontId="19" fillId="7" borderId="170" xfId="1" applyNumberFormat="1" applyFont="1" applyFill="1" applyBorder="1" applyAlignment="1" applyProtection="1">
      <alignment vertical="top"/>
    </xf>
    <xf numFmtId="3" fontId="17" fillId="0" borderId="170" xfId="1" applyNumberFormat="1" applyFont="1" applyFill="1" applyBorder="1" applyAlignment="1" applyProtection="1">
      <alignment horizontal="center" vertical="top"/>
      <protection locked="0"/>
    </xf>
    <xf numFmtId="3" fontId="17" fillId="0" borderId="170" xfId="1" applyNumberFormat="1" applyFont="1" applyFill="1" applyBorder="1" applyAlignment="1" applyProtection="1">
      <alignment vertical="top"/>
      <protection locked="0"/>
    </xf>
    <xf numFmtId="3" fontId="17" fillId="0" borderId="170" xfId="0" applyNumberFormat="1" applyFont="1" applyBorder="1" applyAlignment="1" applyProtection="1">
      <alignment vertical="top"/>
      <protection locked="0"/>
    </xf>
    <xf numFmtId="167" fontId="19" fillId="7" borderId="171" xfId="1" applyNumberFormat="1" applyFont="1" applyFill="1" applyBorder="1" applyAlignment="1" applyProtection="1">
      <alignment vertical="top"/>
    </xf>
    <xf numFmtId="3" fontId="17" fillId="0" borderId="35" xfId="0" applyNumberFormat="1" applyFont="1" applyBorder="1" applyAlignment="1">
      <alignment horizontal="left" vertical="top" wrapText="1"/>
    </xf>
    <xf numFmtId="3" fontId="17" fillId="0" borderId="35" xfId="1" applyNumberFormat="1" applyFont="1" applyFill="1" applyBorder="1" applyAlignment="1" applyProtection="1">
      <alignment horizontal="center" vertical="top" wrapText="1"/>
    </xf>
    <xf numFmtId="3" fontId="17" fillId="0" borderId="35" xfId="1" applyNumberFormat="1" applyFont="1" applyFill="1" applyBorder="1" applyAlignment="1" applyProtection="1">
      <alignment horizontal="right" vertical="top" wrapText="1"/>
    </xf>
    <xf numFmtId="169" fontId="17" fillId="0" borderId="35" xfId="1" applyNumberFormat="1" applyFont="1" applyFill="1" applyBorder="1" applyAlignment="1" applyProtection="1">
      <alignment horizontal="center" vertical="top"/>
      <protection locked="0"/>
    </xf>
    <xf numFmtId="4" fontId="17" fillId="7" borderId="168" xfId="0" applyNumberFormat="1" applyFont="1" applyFill="1" applyBorder="1" applyAlignment="1">
      <alignment horizontal="center" vertical="center"/>
    </xf>
    <xf numFmtId="3" fontId="17" fillId="0" borderId="169" xfId="0" applyNumberFormat="1" applyFont="1" applyBorder="1" applyAlignment="1" applyProtection="1">
      <alignment horizontal="left" vertical="top" wrapText="1"/>
      <protection locked="0"/>
    </xf>
    <xf numFmtId="0" fontId="17" fillId="0" borderId="167" xfId="0" applyFont="1" applyBorder="1" applyAlignment="1">
      <alignment horizontal="justify" vertical="center" wrapText="1"/>
    </xf>
    <xf numFmtId="3" fontId="17" fillId="0" borderId="35" xfId="4" applyNumberFormat="1" applyFont="1" applyFill="1" applyBorder="1" applyAlignment="1" applyProtection="1">
      <alignment horizontal="center" vertical="top"/>
      <protection locked="0"/>
    </xf>
    <xf numFmtId="3" fontId="17" fillId="0" borderId="35" xfId="0" applyNumberFormat="1" applyFont="1" applyFill="1" applyBorder="1" applyAlignment="1">
      <alignment horizontal="left" vertical="top" wrapText="1"/>
    </xf>
    <xf numFmtId="3" fontId="17" fillId="0" borderId="35" xfId="1" applyNumberFormat="1" applyFont="1" applyFill="1" applyBorder="1" applyAlignment="1" applyProtection="1">
      <alignment horizontal="center" vertical="top"/>
    </xf>
    <xf numFmtId="3" fontId="17" fillId="0" borderId="35" xfId="1" applyNumberFormat="1" applyFont="1" applyFill="1" applyBorder="1" applyAlignment="1" applyProtection="1">
      <alignment horizontal="right" vertical="top"/>
    </xf>
    <xf numFmtId="3" fontId="17" fillId="0" borderId="170" xfId="4" applyNumberFormat="1" applyFont="1" applyFill="1" applyBorder="1" applyAlignment="1" applyProtection="1">
      <alignment vertical="top"/>
      <protection locked="0"/>
    </xf>
    <xf numFmtId="3" fontId="17" fillId="0" borderId="170" xfId="0" applyNumberFormat="1" applyFont="1" applyFill="1" applyBorder="1" applyAlignment="1">
      <alignment wrapText="1"/>
    </xf>
    <xf numFmtId="3" fontId="17" fillId="0" borderId="170" xfId="1" applyNumberFormat="1" applyFont="1" applyFill="1" applyBorder="1" applyAlignment="1" applyProtection="1">
      <alignment horizontal="center"/>
    </xf>
    <xf numFmtId="3" fontId="17" fillId="0" borderId="170" xfId="1" applyNumberFormat="1" applyFont="1" applyFill="1" applyBorder="1" applyAlignment="1" applyProtection="1"/>
    <xf numFmtId="169" fontId="17" fillId="0" borderId="170" xfId="1" applyNumberFormat="1" applyFont="1" applyFill="1" applyBorder="1" applyAlignment="1" applyProtection="1">
      <alignment vertical="top"/>
      <protection locked="0"/>
    </xf>
    <xf numFmtId="3" fontId="17" fillId="0" borderId="169" xfId="0" applyNumberFormat="1" applyFont="1" applyBorder="1" applyAlignment="1" applyProtection="1">
      <alignment vertical="top" wrapText="1"/>
      <protection locked="0"/>
    </xf>
    <xf numFmtId="167" fontId="19" fillId="0" borderId="170" xfId="0" applyNumberFormat="1" applyFont="1" applyFill="1" applyBorder="1" applyAlignment="1" applyProtection="1">
      <alignment vertical="top"/>
    </xf>
    <xf numFmtId="167" fontId="19" fillId="0" borderId="170" xfId="1" applyNumberFormat="1" applyFont="1" applyFill="1" applyBorder="1" applyAlignment="1" applyProtection="1">
      <alignment vertical="top"/>
    </xf>
    <xf numFmtId="3" fontId="17" fillId="0" borderId="170" xfId="0" applyNumberFormat="1" applyFont="1" applyFill="1" applyBorder="1" applyAlignment="1">
      <alignment horizontal="left" vertical="top" wrapText="1"/>
    </xf>
    <xf numFmtId="3" fontId="17" fillId="0" borderId="170" xfId="1" applyNumberFormat="1" applyFont="1" applyFill="1" applyBorder="1" applyAlignment="1" applyProtection="1">
      <alignment horizontal="center" vertical="top"/>
    </xf>
    <xf numFmtId="3" fontId="17" fillId="0" borderId="170" xfId="1" applyNumberFormat="1" applyFont="1" applyFill="1" applyBorder="1" applyAlignment="1" applyProtection="1">
      <alignment horizontal="right" vertical="top"/>
    </xf>
    <xf numFmtId="0" fontId="17" fillId="0" borderId="170" xfId="0" applyFont="1" applyBorder="1" applyAlignment="1">
      <alignment horizontal="justify" vertical="center" wrapText="1"/>
    </xf>
    <xf numFmtId="4" fontId="17" fillId="19" borderId="35" xfId="0" applyNumberFormat="1" applyFont="1" applyFill="1" applyBorder="1" applyAlignment="1">
      <alignment horizontal="center" vertical="center"/>
    </xf>
    <xf numFmtId="3" fontId="17" fillId="8" borderId="64" xfId="0" applyNumberFormat="1" applyFont="1" applyFill="1" applyBorder="1" applyAlignment="1" applyProtection="1">
      <alignment horizontal="left" vertical="top" wrapText="1"/>
      <protection locked="0"/>
    </xf>
    <xf numFmtId="3" fontId="17" fillId="8" borderId="77" xfId="0" applyNumberFormat="1" applyFont="1" applyFill="1" applyBorder="1" applyAlignment="1" applyProtection="1">
      <alignment horizontal="left" vertical="top" wrapText="1"/>
      <protection locked="0"/>
    </xf>
    <xf numFmtId="3" fontId="17" fillId="8" borderId="77" xfId="0" applyNumberFormat="1" applyFont="1" applyFill="1" applyBorder="1" applyAlignment="1" applyProtection="1">
      <alignment vertical="top" wrapText="1"/>
      <protection locked="0"/>
    </xf>
    <xf numFmtId="4" fontId="17" fillId="7" borderId="35" xfId="0" applyNumberFormat="1" applyFont="1" applyFill="1" applyBorder="1" applyAlignment="1">
      <alignment horizontal="right" vertical="center"/>
    </xf>
    <xf numFmtId="3" fontId="17" fillId="0" borderId="77" xfId="0" applyNumberFormat="1" applyFont="1" applyBorder="1" applyAlignment="1" applyProtection="1">
      <alignment vertical="top" wrapText="1"/>
      <protection locked="0"/>
    </xf>
    <xf numFmtId="3" fontId="22" fillId="0" borderId="129" xfId="0" applyNumberFormat="1" applyFont="1" applyFill="1" applyBorder="1" applyAlignment="1" applyProtection="1">
      <alignment horizontal="left" vertical="top" wrapText="1"/>
      <protection locked="0"/>
    </xf>
    <xf numFmtId="4" fontId="24" fillId="0" borderId="133" xfId="1" applyNumberFormat="1" applyFont="1" applyFill="1" applyBorder="1" applyAlignment="1" applyProtection="1">
      <alignment horizontal="right" vertical="top" wrapText="1"/>
    </xf>
    <xf numFmtId="3" fontId="22" fillId="0" borderId="134" xfId="0" applyNumberFormat="1" applyFont="1" applyFill="1" applyBorder="1" applyAlignment="1" applyProtection="1">
      <alignment vertical="top" wrapText="1"/>
      <protection locked="0"/>
    </xf>
    <xf numFmtId="3" fontId="22" fillId="0" borderId="85" xfId="0" applyNumberFormat="1" applyFont="1" applyFill="1" applyBorder="1" applyAlignment="1">
      <alignment horizontal="left" vertical="top" wrapText="1"/>
    </xf>
    <xf numFmtId="3" fontId="17" fillId="0" borderId="136" xfId="0" applyNumberFormat="1" applyFont="1" applyFill="1" applyBorder="1" applyAlignment="1" applyProtection="1">
      <alignment vertical="top" wrapText="1"/>
      <protection locked="0"/>
    </xf>
    <xf numFmtId="3" fontId="17" fillId="0" borderId="21" xfId="0" applyNumberFormat="1" applyFont="1" applyFill="1" applyBorder="1" applyAlignment="1" applyProtection="1">
      <alignment vertical="top" wrapText="1"/>
      <protection locked="0"/>
    </xf>
    <xf numFmtId="3" fontId="17" fillId="0" borderId="125" xfId="0" applyNumberFormat="1" applyFont="1" applyFill="1" applyBorder="1" applyAlignment="1" applyProtection="1">
      <alignment vertical="top" wrapText="1"/>
      <protection locked="0"/>
    </xf>
    <xf numFmtId="3" fontId="17" fillId="0" borderId="129" xfId="0" applyNumberFormat="1" applyFont="1" applyFill="1" applyBorder="1" applyAlignment="1" applyProtection="1">
      <alignment horizontal="left" vertical="top" wrapText="1"/>
      <protection locked="0"/>
    </xf>
    <xf numFmtId="3" fontId="17" fillId="0" borderId="77" xfId="0" applyNumberFormat="1" applyFont="1" applyFill="1" applyBorder="1" applyAlignment="1" applyProtection="1">
      <alignment horizontal="left" vertical="top" wrapText="1"/>
      <protection locked="0"/>
    </xf>
    <xf numFmtId="3" fontId="17" fillId="0" borderId="134" xfId="0" applyNumberFormat="1" applyFont="1" applyFill="1" applyBorder="1" applyAlignment="1" applyProtection="1">
      <alignment horizontal="left" vertical="top" wrapText="1"/>
      <protection locked="0"/>
    </xf>
    <xf numFmtId="3" fontId="22" fillId="0" borderId="96" xfId="0" applyNumberFormat="1" applyFont="1" applyFill="1" applyBorder="1" applyAlignment="1" applyProtection="1">
      <alignment vertical="top" wrapText="1"/>
      <protection locked="0"/>
    </xf>
    <xf numFmtId="3" fontId="17" fillId="0" borderId="96" xfId="0" applyNumberFormat="1" applyFont="1" applyFill="1" applyBorder="1" applyAlignment="1" applyProtection="1">
      <alignment vertical="top" wrapText="1"/>
      <protection locked="0"/>
    </xf>
    <xf numFmtId="3" fontId="17" fillId="0" borderId="148" xfId="0" applyNumberFormat="1" applyFont="1" applyFill="1" applyBorder="1" applyAlignment="1" applyProtection="1">
      <alignment vertical="top" wrapText="1"/>
      <protection locked="0"/>
    </xf>
    <xf numFmtId="3" fontId="17" fillId="0" borderId="101" xfId="0" applyNumberFormat="1" applyFont="1" applyFill="1" applyBorder="1" applyAlignment="1" applyProtection="1">
      <alignment vertical="top" wrapText="1"/>
      <protection locked="0"/>
    </xf>
    <xf numFmtId="0" fontId="22" fillId="0" borderId="97" xfId="0" applyFont="1" applyFill="1" applyBorder="1" applyAlignment="1">
      <alignment horizontal="justify" vertical="center" wrapText="1"/>
    </xf>
    <xf numFmtId="0" fontId="33" fillId="0" borderId="30" xfId="0" applyFont="1" applyFill="1" applyBorder="1" applyAlignment="1">
      <alignment horizontal="justify" vertical="center" wrapText="1"/>
    </xf>
    <xf numFmtId="3" fontId="17" fillId="0" borderId="60" xfId="0" applyNumberFormat="1" applyFont="1" applyFill="1" applyBorder="1" applyAlignment="1" applyProtection="1">
      <alignment vertical="top"/>
      <protection locked="0"/>
    </xf>
    <xf numFmtId="3" fontId="17" fillId="0" borderId="113" xfId="0" applyNumberFormat="1" applyFont="1" applyFill="1" applyBorder="1" applyAlignment="1" applyProtection="1">
      <alignment vertical="top" wrapText="1"/>
      <protection locked="0"/>
    </xf>
    <xf numFmtId="0" fontId="17" fillId="0" borderId="32" xfId="0" applyFont="1" applyFill="1" applyBorder="1" applyAlignment="1">
      <alignment horizontal="justify" vertical="center" wrapText="1"/>
    </xf>
    <xf numFmtId="3" fontId="17" fillId="0" borderId="32" xfId="0" applyNumberFormat="1" applyFont="1" applyFill="1" applyBorder="1" applyAlignment="1" applyProtection="1">
      <alignment vertical="top"/>
      <protection locked="0"/>
    </xf>
    <xf numFmtId="3" fontId="17" fillId="0" borderId="117" xfId="0" applyNumberFormat="1" applyFont="1" applyFill="1" applyBorder="1" applyAlignment="1" applyProtection="1">
      <alignment vertical="top"/>
      <protection locked="0"/>
    </xf>
    <xf numFmtId="0" fontId="17" fillId="0" borderId="97" xfId="0" applyFont="1" applyFill="1" applyBorder="1" applyAlignment="1">
      <alignment horizontal="justify" vertical="center" wrapText="1"/>
    </xf>
    <xf numFmtId="3" fontId="17" fillId="0" borderId="150" xfId="0" applyNumberFormat="1" applyFont="1" applyFill="1" applyBorder="1" applyAlignment="1" applyProtection="1">
      <alignment horizontal="left" vertical="top" wrapText="1"/>
      <protection locked="0"/>
    </xf>
    <xf numFmtId="3" fontId="17" fillId="0" borderId="112" xfId="4" applyNumberFormat="1" applyFont="1" applyFill="1" applyBorder="1" applyAlignment="1" applyProtection="1">
      <alignment horizontal="center" vertical="top"/>
      <protection locked="0"/>
    </xf>
    <xf numFmtId="4" fontId="17" fillId="0" borderId="113" xfId="0" applyNumberFormat="1" applyFont="1" applyFill="1" applyBorder="1" applyAlignment="1">
      <alignment horizontal="center" vertical="center"/>
    </xf>
    <xf numFmtId="3" fontId="17" fillId="0" borderId="146" xfId="0" applyNumberFormat="1" applyFont="1" applyFill="1" applyBorder="1" applyAlignment="1" applyProtection="1">
      <alignment horizontal="left" vertical="top" wrapText="1"/>
      <protection locked="0"/>
    </xf>
    <xf numFmtId="3" fontId="17" fillId="0" borderId="33" xfId="1" applyNumberFormat="1" applyFont="1" applyFill="1" applyBorder="1" applyAlignment="1" applyProtection="1">
      <alignment horizontal="center" vertical="top"/>
      <protection locked="0"/>
    </xf>
    <xf numFmtId="3" fontId="17" fillId="0" borderId="145" xfId="0" applyNumberFormat="1" applyFont="1" applyFill="1" applyBorder="1" applyAlignment="1" applyProtection="1">
      <alignment vertical="top" wrapText="1"/>
      <protection locked="0"/>
    </xf>
    <xf numFmtId="3" fontId="17" fillId="0" borderId="97" xfId="0" applyNumberFormat="1" applyFont="1" applyFill="1" applyBorder="1" applyAlignment="1">
      <alignment horizontal="left" vertical="top" wrapText="1"/>
    </xf>
    <xf numFmtId="3" fontId="17" fillId="0" borderId="117" xfId="0" applyNumberFormat="1" applyFont="1" applyFill="1" applyBorder="1" applyAlignment="1" applyProtection="1">
      <alignment vertical="top" wrapText="1"/>
      <protection locked="0"/>
    </xf>
    <xf numFmtId="3" fontId="17" fillId="0" borderId="110" xfId="0" applyNumberFormat="1" applyFont="1" applyFill="1" applyBorder="1" applyAlignment="1" applyProtection="1">
      <alignment vertical="top" wrapText="1"/>
      <protection locked="0"/>
    </xf>
    <xf numFmtId="3" fontId="17" fillId="0" borderId="110" xfId="1" applyNumberFormat="1" applyFont="1" applyFill="1" applyBorder="1" applyAlignment="1" applyProtection="1">
      <alignment horizontal="center" vertical="top"/>
      <protection locked="0"/>
    </xf>
    <xf numFmtId="169" fontId="17" fillId="0" borderId="110" xfId="1" applyNumberFormat="1" applyFont="1" applyFill="1" applyBorder="1" applyAlignment="1" applyProtection="1">
      <alignment horizontal="center" vertical="top"/>
      <protection locked="0"/>
    </xf>
    <xf numFmtId="0" fontId="17" fillId="0" borderId="113" xfId="0" applyFont="1" applyFill="1" applyBorder="1" applyAlignment="1">
      <alignment horizontal="justify" vertical="center" wrapText="1"/>
    </xf>
    <xf numFmtId="3" fontId="17" fillId="0" borderId="119" xfId="0" applyNumberFormat="1" applyFont="1" applyBorder="1" applyAlignment="1" applyProtection="1">
      <alignment vertical="top" wrapText="1"/>
      <protection locked="0"/>
    </xf>
    <xf numFmtId="3" fontId="17" fillId="0" borderId="119" xfId="0" applyNumberFormat="1" applyFont="1" applyBorder="1" applyAlignment="1" applyProtection="1">
      <alignment horizontal="left" vertical="top" wrapText="1"/>
      <protection locked="0"/>
    </xf>
    <xf numFmtId="167" fontId="17" fillId="0" borderId="170" xfId="1" applyNumberFormat="1" applyFont="1" applyFill="1" applyBorder="1" applyAlignment="1" applyProtection="1">
      <alignment vertical="center"/>
      <protection locked="0"/>
    </xf>
    <xf numFmtId="4" fontId="23" fillId="0" borderId="88" xfId="1" applyNumberFormat="1" applyFont="1" applyFill="1" applyBorder="1" applyAlignment="1" applyProtection="1">
      <alignment horizontal="right" vertical="top" wrapText="1"/>
    </xf>
    <xf numFmtId="0" fontId="17" fillId="0" borderId="119" xfId="0" applyFont="1" applyBorder="1" applyAlignment="1">
      <alignment horizontal="justify" vertical="top" wrapText="1"/>
    </xf>
    <xf numFmtId="177" fontId="17" fillId="7" borderId="30" xfId="1" applyNumberFormat="1" applyFont="1" applyFill="1" applyBorder="1" applyAlignment="1" applyProtection="1">
      <alignment vertical="top"/>
    </xf>
    <xf numFmtId="177" fontId="17" fillId="7" borderId="170" xfId="1" applyNumberFormat="1" applyFont="1" applyFill="1" applyBorder="1" applyAlignment="1" applyProtection="1">
      <alignment vertical="top"/>
    </xf>
    <xf numFmtId="177" fontId="17" fillId="7" borderId="35" xfId="1" applyNumberFormat="1" applyFont="1" applyFill="1" applyBorder="1" applyAlignment="1" applyProtection="1">
      <alignment vertical="top"/>
    </xf>
    <xf numFmtId="177" fontId="19" fillId="7" borderId="170" xfId="1" applyNumberFormat="1" applyFont="1" applyFill="1" applyBorder="1" applyAlignment="1" applyProtection="1">
      <alignment vertical="top"/>
    </xf>
    <xf numFmtId="177" fontId="17" fillId="7" borderId="35" xfId="0" applyNumberFormat="1" applyFont="1" applyFill="1" applyBorder="1" applyAlignment="1">
      <alignment horizontal="center" vertical="center"/>
    </xf>
    <xf numFmtId="177" fontId="17" fillId="7" borderId="30" xfId="0" applyNumberFormat="1" applyFont="1" applyFill="1" applyBorder="1" applyAlignment="1">
      <alignment horizontal="center" vertical="center"/>
    </xf>
    <xf numFmtId="167" fontId="17" fillId="7" borderId="30" xfId="0" applyNumberFormat="1" applyFont="1" applyFill="1" applyBorder="1" applyAlignment="1">
      <alignment horizontal="center" vertical="center"/>
    </xf>
    <xf numFmtId="177" fontId="25" fillId="2" borderId="7" xfId="1" applyNumberFormat="1" applyFont="1" applyFill="1" applyBorder="1" applyAlignment="1" applyProtection="1">
      <alignment vertical="top"/>
    </xf>
    <xf numFmtId="177" fontId="23" fillId="0" borderId="172" xfId="1" applyNumberFormat="1" applyFont="1" applyFill="1" applyBorder="1" applyAlignment="1" applyProtection="1">
      <alignment horizontal="right" vertical="top" wrapText="1"/>
    </xf>
    <xf numFmtId="164" fontId="23" fillId="0" borderId="88" xfId="1" applyNumberFormat="1" applyFont="1" applyFill="1" applyBorder="1" applyAlignment="1" applyProtection="1">
      <alignment horizontal="right" vertical="top" wrapText="1"/>
    </xf>
    <xf numFmtId="3" fontId="25" fillId="2" borderId="83" xfId="1" applyNumberFormat="1" applyFont="1" applyFill="1" applyBorder="1" applyAlignment="1" applyProtection="1"/>
    <xf numFmtId="4" fontId="25" fillId="7" borderId="40" xfId="1" applyNumberFormat="1" applyFont="1" applyFill="1" applyBorder="1" applyAlignment="1" applyProtection="1">
      <alignment vertical="top"/>
    </xf>
    <xf numFmtId="4" fontId="25" fillId="22" borderId="41" xfId="1" applyNumberFormat="1" applyFont="1" applyFill="1" applyBorder="1" applyAlignment="1" applyProtection="1">
      <alignment vertical="top"/>
    </xf>
    <xf numFmtId="177" fontId="25" fillId="2" borderId="61" xfId="1" applyNumberFormat="1" applyFont="1" applyFill="1" applyBorder="1" applyAlignment="1" applyProtection="1">
      <alignment vertical="top"/>
    </xf>
    <xf numFmtId="177" fontId="17" fillId="7" borderId="35" xfId="0" applyNumberFormat="1" applyFont="1" applyFill="1" applyBorder="1" applyAlignment="1">
      <alignment horizontal="right" vertical="center"/>
    </xf>
    <xf numFmtId="4" fontId="17" fillId="7" borderId="30" xfId="0" applyNumberFormat="1" applyFont="1" applyFill="1" applyBorder="1" applyAlignment="1">
      <alignment horizontal="right" vertical="center"/>
    </xf>
    <xf numFmtId="177" fontId="19" fillId="7" borderId="30" xfId="1" applyNumberFormat="1" applyFont="1" applyFill="1" applyBorder="1" applyAlignment="1" applyProtection="1">
      <alignment vertical="top"/>
    </xf>
    <xf numFmtId="3" fontId="2" fillId="0" borderId="42" xfId="0" applyNumberFormat="1" applyFont="1" applyFill="1" applyBorder="1" applyAlignment="1">
      <alignment horizontal="center" vertical="top" wrapText="1"/>
    </xf>
    <xf numFmtId="3" fontId="2" fillId="0" borderId="31" xfId="1" applyNumberFormat="1" applyFont="1" applyFill="1" applyBorder="1" applyAlignment="1" applyProtection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top" wrapText="1"/>
    </xf>
    <xf numFmtId="3" fontId="2" fillId="0" borderId="4" xfId="1" applyNumberFormat="1" applyFont="1" applyFill="1" applyBorder="1" applyAlignment="1" applyProtection="1">
      <alignment horizontal="center" vertical="top" wrapText="1"/>
    </xf>
    <xf numFmtId="3" fontId="2" fillId="0" borderId="43" xfId="1" applyNumberFormat="1" applyFont="1" applyFill="1" applyBorder="1" applyAlignment="1" applyProtection="1">
      <alignment horizontal="center" vertical="top" wrapText="1"/>
    </xf>
    <xf numFmtId="3" fontId="20" fillId="0" borderId="111" xfId="0" applyNumberFormat="1" applyFont="1" applyBorder="1" applyAlignment="1" applyProtection="1">
      <alignment vertical="top" wrapText="1"/>
      <protection locked="0"/>
    </xf>
    <xf numFmtId="3" fontId="26" fillId="0" borderId="111" xfId="0" applyNumberFormat="1" applyFont="1" applyFill="1" applyBorder="1" applyAlignment="1">
      <alignment horizontal="left" vertical="center" wrapText="1"/>
    </xf>
    <xf numFmtId="164" fontId="2" fillId="2" borderId="189" xfId="1" applyFont="1" applyFill="1" applyBorder="1" applyAlignment="1" applyProtection="1"/>
    <xf numFmtId="164" fontId="2" fillId="2" borderId="72" xfId="1" applyFont="1" applyFill="1" applyBorder="1" applyAlignment="1" applyProtection="1">
      <alignment vertical="top" wrapText="1"/>
    </xf>
    <xf numFmtId="167" fontId="2" fillId="2" borderId="72" xfId="1" applyNumberFormat="1" applyFont="1" applyFill="1" applyBorder="1" applyAlignment="1" applyProtection="1">
      <alignment vertical="top"/>
    </xf>
    <xf numFmtId="167" fontId="0" fillId="2" borderId="72" xfId="1" applyNumberFormat="1" applyFont="1" applyFill="1" applyBorder="1" applyAlignment="1" applyProtection="1">
      <alignment vertical="top"/>
    </xf>
    <xf numFmtId="164" fontId="2" fillId="2" borderId="191" xfId="1" applyFont="1" applyFill="1" applyBorder="1" applyAlignment="1" applyProtection="1">
      <alignment vertical="top"/>
    </xf>
    <xf numFmtId="3" fontId="26" fillId="0" borderId="111" xfId="0" applyNumberFormat="1" applyFont="1" applyFill="1" applyBorder="1" applyAlignment="1">
      <alignment horizontal="left" vertical="top" wrapText="1"/>
    </xf>
    <xf numFmtId="3" fontId="26" fillId="0" borderId="111" xfId="0" applyNumberFormat="1" applyFont="1" applyBorder="1" applyAlignment="1">
      <alignment horizontal="left" vertical="center" wrapText="1"/>
    </xf>
    <xf numFmtId="3" fontId="20" fillId="0" borderId="188" xfId="0" applyNumberFormat="1" applyFont="1" applyBorder="1" applyAlignment="1" applyProtection="1">
      <alignment horizontal="left" vertical="top" wrapText="1"/>
      <protection locked="0"/>
    </xf>
    <xf numFmtId="3" fontId="20" fillId="16" borderId="188" xfId="0" applyNumberFormat="1" applyFont="1" applyFill="1" applyBorder="1" applyAlignment="1" applyProtection="1">
      <alignment horizontal="right" vertical="top" wrapText="1"/>
      <protection locked="0"/>
    </xf>
    <xf numFmtId="3" fontId="20" fillId="16" borderId="188" xfId="0" applyNumberFormat="1" applyFont="1" applyFill="1" applyBorder="1" applyAlignment="1" applyProtection="1">
      <alignment horizontal="left" vertical="top" wrapText="1"/>
      <protection locked="0"/>
    </xf>
    <xf numFmtId="167" fontId="20" fillId="0" borderId="111" xfId="1" applyNumberFormat="1" applyFont="1" applyFill="1" applyBorder="1" applyAlignment="1" applyProtection="1">
      <alignment horizontal="center" vertical="top" wrapText="1"/>
      <protection locked="0"/>
    </xf>
    <xf numFmtId="167" fontId="20" fillId="0" borderId="111" xfId="1" applyNumberFormat="1" applyFont="1" applyFill="1" applyBorder="1" applyAlignment="1" applyProtection="1">
      <alignment vertical="top" wrapText="1"/>
      <protection locked="0"/>
    </xf>
    <xf numFmtId="167" fontId="20" fillId="16" borderId="111" xfId="1" applyNumberFormat="1" applyFont="1" applyFill="1" applyBorder="1" applyAlignment="1" applyProtection="1">
      <alignment vertical="top" wrapText="1"/>
    </xf>
    <xf numFmtId="3" fontId="20" fillId="0" borderId="111" xfId="1" applyNumberFormat="1" applyFont="1" applyFill="1" applyBorder="1" applyAlignment="1" applyProtection="1">
      <alignment horizontal="center" vertical="top" wrapText="1"/>
      <protection locked="0"/>
    </xf>
    <xf numFmtId="3" fontId="20" fillId="0" borderId="111" xfId="1" applyNumberFormat="1" applyFont="1" applyFill="1" applyBorder="1" applyAlignment="1" applyProtection="1">
      <alignment vertical="top" wrapText="1"/>
      <protection locked="0"/>
    </xf>
    <xf numFmtId="164" fontId="26" fillId="0" borderId="111" xfId="1" applyFont="1" applyBorder="1" applyAlignment="1">
      <alignment wrapText="1"/>
    </xf>
    <xf numFmtId="3" fontId="26" fillId="0" borderId="111" xfId="1" applyNumberFormat="1" applyFont="1" applyFill="1" applyBorder="1" applyAlignment="1" applyProtection="1">
      <alignment wrapText="1"/>
    </xf>
    <xf numFmtId="167" fontId="21" fillId="16" borderId="111" xfId="1" applyNumberFormat="1" applyFont="1" applyFill="1" applyBorder="1" applyAlignment="1" applyProtection="1">
      <alignment vertical="top" wrapText="1"/>
    </xf>
    <xf numFmtId="3" fontId="26" fillId="0" borderId="193" xfId="0" applyNumberFormat="1" applyFont="1" applyFill="1" applyBorder="1" applyAlignment="1">
      <alignment horizontal="left" vertical="center" wrapText="1"/>
    </xf>
    <xf numFmtId="3" fontId="20" fillId="0" borderId="193" xfId="0" applyNumberFormat="1" applyFont="1" applyBorder="1" applyAlignment="1" applyProtection="1">
      <alignment vertical="top" wrapText="1"/>
      <protection locked="0"/>
    </xf>
    <xf numFmtId="167" fontId="20" fillId="0" borderId="193" xfId="1" applyNumberFormat="1" applyFont="1" applyFill="1" applyBorder="1" applyAlignment="1" applyProtection="1">
      <alignment horizontal="center" vertical="top" wrapText="1"/>
      <protection locked="0"/>
    </xf>
    <xf numFmtId="167" fontId="20" fillId="0" borderId="193" xfId="1" applyNumberFormat="1" applyFont="1" applyFill="1" applyBorder="1" applyAlignment="1" applyProtection="1">
      <alignment vertical="top" wrapText="1"/>
      <protection locked="0"/>
    </xf>
    <xf numFmtId="167" fontId="20" fillId="16" borderId="193" xfId="1" applyNumberFormat="1" applyFont="1" applyFill="1" applyBorder="1" applyAlignment="1" applyProtection="1">
      <alignment vertical="top" wrapText="1"/>
    </xf>
    <xf numFmtId="3" fontId="20" fillId="0" borderId="193" xfId="1" applyNumberFormat="1" applyFont="1" applyFill="1" applyBorder="1" applyAlignment="1" applyProtection="1">
      <alignment horizontal="center" vertical="top" wrapText="1"/>
      <protection locked="0"/>
    </xf>
    <xf numFmtId="3" fontId="20" fillId="0" borderId="193" xfId="1" applyNumberFormat="1" applyFont="1" applyFill="1" applyBorder="1" applyAlignment="1" applyProtection="1">
      <alignment vertical="top" wrapText="1"/>
      <protection locked="0"/>
    </xf>
    <xf numFmtId="3" fontId="20" fillId="0" borderId="196" xfId="0" applyNumberFormat="1" applyFont="1" applyBorder="1" applyAlignment="1" applyProtection="1">
      <alignment vertical="top" wrapText="1"/>
      <protection locked="0"/>
    </xf>
    <xf numFmtId="167" fontId="20" fillId="0" borderId="196" xfId="1" applyNumberFormat="1" applyFont="1" applyFill="1" applyBorder="1" applyAlignment="1" applyProtection="1">
      <alignment horizontal="center" vertical="top" wrapText="1"/>
      <protection locked="0"/>
    </xf>
    <xf numFmtId="167" fontId="20" fillId="0" borderId="196" xfId="1" applyNumberFormat="1" applyFont="1" applyFill="1" applyBorder="1" applyAlignment="1" applyProtection="1">
      <alignment vertical="top" wrapText="1"/>
      <protection locked="0"/>
    </xf>
    <xf numFmtId="3" fontId="20" fillId="0" borderId="196" xfId="1" applyNumberFormat="1" applyFont="1" applyFill="1" applyBorder="1" applyAlignment="1" applyProtection="1">
      <alignment horizontal="center" vertical="top" wrapText="1"/>
      <protection locked="0"/>
    </xf>
    <xf numFmtId="3" fontId="20" fillId="0" borderId="196" xfId="1" applyNumberFormat="1" applyFont="1" applyFill="1" applyBorder="1" applyAlignment="1" applyProtection="1">
      <alignment vertical="top" wrapText="1"/>
      <protection locked="0"/>
    </xf>
    <xf numFmtId="3" fontId="26" fillId="0" borderId="196" xfId="0" applyNumberFormat="1" applyFont="1" applyFill="1" applyBorder="1" applyAlignment="1">
      <alignment horizontal="left" vertical="center" wrapText="1"/>
    </xf>
    <xf numFmtId="3" fontId="20" fillId="0" borderId="188" xfId="0" applyNumberFormat="1" applyFont="1" applyBorder="1" applyAlignment="1" applyProtection="1">
      <alignment vertical="top" wrapText="1"/>
      <protection locked="0"/>
    </xf>
    <xf numFmtId="167" fontId="20" fillId="0" borderId="188" xfId="1" applyNumberFormat="1" applyFont="1" applyFill="1" applyBorder="1" applyAlignment="1" applyProtection="1">
      <alignment horizontal="center" vertical="top" wrapText="1"/>
      <protection locked="0"/>
    </xf>
    <xf numFmtId="167" fontId="20" fillId="0" borderId="188" xfId="1" applyNumberFormat="1" applyFont="1" applyFill="1" applyBorder="1" applyAlignment="1" applyProtection="1">
      <alignment vertical="top" wrapText="1"/>
      <protection locked="0"/>
    </xf>
    <xf numFmtId="167" fontId="20" fillId="16" borderId="188" xfId="1" applyNumberFormat="1" applyFont="1" applyFill="1" applyBorder="1" applyAlignment="1" applyProtection="1">
      <alignment vertical="top" wrapText="1"/>
    </xf>
    <xf numFmtId="3" fontId="20" fillId="0" borderId="188" xfId="1" applyNumberFormat="1" applyFont="1" applyFill="1" applyBorder="1" applyAlignment="1" applyProtection="1">
      <alignment horizontal="center" vertical="top" wrapText="1"/>
      <protection locked="0"/>
    </xf>
    <xf numFmtId="3" fontId="20" fillId="0" borderId="188" xfId="1" applyNumberFormat="1" applyFont="1" applyFill="1" applyBorder="1" applyAlignment="1" applyProtection="1">
      <alignment vertical="top" wrapText="1"/>
      <protection locked="0"/>
    </xf>
    <xf numFmtId="3" fontId="26" fillId="0" borderId="188" xfId="0" applyNumberFormat="1" applyFont="1" applyFill="1" applyBorder="1" applyAlignment="1">
      <alignment horizontal="left" vertical="center" wrapText="1"/>
    </xf>
    <xf numFmtId="3" fontId="26" fillId="0" borderId="77" xfId="0" applyNumberFormat="1" applyFont="1" applyFill="1" applyBorder="1" applyAlignment="1">
      <alignment horizontal="left" vertical="center" wrapText="1"/>
    </xf>
    <xf numFmtId="3" fontId="20" fillId="0" borderId="194" xfId="0" applyNumberFormat="1" applyFont="1" applyBorder="1" applyAlignment="1" applyProtection="1">
      <alignment vertical="top" wrapText="1"/>
      <protection locked="0"/>
    </xf>
    <xf numFmtId="3" fontId="20" fillId="0" borderId="197" xfId="0" applyNumberFormat="1" applyFont="1" applyBorder="1" applyAlignment="1" applyProtection="1">
      <alignment vertical="top" wrapText="1"/>
      <protection locked="0"/>
    </xf>
    <xf numFmtId="3" fontId="20" fillId="0" borderId="195" xfId="0" applyNumberFormat="1" applyFont="1" applyBorder="1" applyAlignment="1" applyProtection="1">
      <alignment vertical="top" wrapText="1"/>
      <protection locked="0"/>
    </xf>
    <xf numFmtId="3" fontId="26" fillId="0" borderId="187" xfId="0" applyNumberFormat="1" applyFont="1" applyFill="1" applyBorder="1" applyAlignment="1">
      <alignment horizontal="left" vertical="center" wrapText="1"/>
    </xf>
    <xf numFmtId="3" fontId="26" fillId="0" borderId="198" xfId="0" applyNumberFormat="1" applyFont="1" applyFill="1" applyBorder="1" applyAlignment="1">
      <alignment horizontal="left" vertical="center" wrapText="1"/>
    </xf>
    <xf numFmtId="3" fontId="20" fillId="0" borderId="198" xfId="0" applyNumberFormat="1" applyFont="1" applyBorder="1" applyAlignment="1" applyProtection="1">
      <alignment horizontal="left" vertical="center" wrapText="1"/>
      <protection locked="0"/>
    </xf>
    <xf numFmtId="3" fontId="2" fillId="0" borderId="59" xfId="0" applyNumberFormat="1" applyFont="1" applyFill="1" applyBorder="1" applyAlignment="1">
      <alignment horizontal="center" vertical="top" wrapText="1"/>
    </xf>
    <xf numFmtId="3" fontId="20" fillId="0" borderId="199" xfId="0" applyNumberFormat="1" applyFont="1" applyBorder="1" applyAlignment="1" applyProtection="1">
      <alignment vertical="top" wrapText="1"/>
      <protection locked="0"/>
    </xf>
    <xf numFmtId="3" fontId="20" fillId="0" borderId="197" xfId="0" applyNumberFormat="1" applyFont="1" applyBorder="1" applyAlignment="1" applyProtection="1">
      <alignment horizontal="left" vertical="top" wrapText="1"/>
      <protection locked="0"/>
    </xf>
    <xf numFmtId="177" fontId="20" fillId="16" borderId="111" xfId="1" applyNumberFormat="1" applyFont="1" applyFill="1" applyBorder="1" applyAlignment="1" applyProtection="1">
      <alignment vertical="top" wrapText="1"/>
    </xf>
    <xf numFmtId="177" fontId="20" fillId="16" borderId="196" xfId="1" applyNumberFormat="1" applyFont="1" applyFill="1" applyBorder="1" applyAlignment="1" applyProtection="1">
      <alignment vertical="top" wrapText="1"/>
    </xf>
    <xf numFmtId="4" fontId="28" fillId="0" borderId="201" xfId="0" applyNumberFormat="1" applyFont="1" applyBorder="1" applyAlignment="1">
      <alignment horizontal="right" vertical="center" wrapText="1"/>
    </xf>
    <xf numFmtId="177" fontId="0" fillId="2" borderId="192" xfId="1" applyNumberFormat="1" applyFont="1" applyFill="1" applyBorder="1" applyAlignment="1" applyProtection="1">
      <alignment vertical="top"/>
    </xf>
    <xf numFmtId="177" fontId="21" fillId="16" borderId="196" xfId="1" applyNumberFormat="1" applyFont="1" applyFill="1" applyBorder="1" applyAlignment="1" applyProtection="1">
      <alignment vertical="top" wrapText="1"/>
    </xf>
    <xf numFmtId="4" fontId="21" fillId="16" borderId="188" xfId="0" applyNumberFormat="1" applyFont="1" applyFill="1" applyBorder="1" applyAlignment="1" applyProtection="1">
      <alignment horizontal="right" vertical="top" wrapText="1"/>
      <protection locked="0"/>
    </xf>
    <xf numFmtId="164" fontId="2" fillId="2" borderId="72" xfId="1" applyFont="1" applyFill="1" applyBorder="1" applyAlignment="1" applyProtection="1">
      <alignment vertical="top"/>
    </xf>
    <xf numFmtId="3" fontId="2" fillId="0" borderId="203" xfId="0" applyNumberFormat="1" applyFont="1" applyFill="1" applyBorder="1" applyAlignment="1">
      <alignment horizontal="center" vertical="top" wrapText="1"/>
    </xf>
    <xf numFmtId="3" fontId="2" fillId="0" borderId="204" xfId="0" applyNumberFormat="1" applyFont="1" applyFill="1" applyBorder="1" applyAlignment="1">
      <alignment horizontal="center" vertical="top" wrapText="1"/>
    </xf>
    <xf numFmtId="3" fontId="2" fillId="0" borderId="205" xfId="0" applyNumberFormat="1" applyFont="1" applyFill="1" applyBorder="1" applyAlignment="1">
      <alignment horizontal="center" vertical="top" wrapText="1"/>
    </xf>
    <xf numFmtId="3" fontId="2" fillId="0" borderId="207" xfId="0" applyNumberFormat="1" applyFont="1" applyFill="1" applyBorder="1" applyAlignment="1">
      <alignment horizontal="center" vertical="top" wrapText="1"/>
    </xf>
    <xf numFmtId="3" fontId="26" fillId="19" borderId="111" xfId="0" applyNumberFormat="1" applyFont="1" applyFill="1" applyBorder="1" applyAlignment="1">
      <alignment horizontal="left" vertical="center" wrapText="1"/>
    </xf>
    <xf numFmtId="3" fontId="26" fillId="19" borderId="188" xfId="0" applyNumberFormat="1" applyFont="1" applyFill="1" applyBorder="1" applyAlignment="1">
      <alignment horizontal="left" vertical="center" wrapText="1"/>
    </xf>
    <xf numFmtId="3" fontId="26" fillId="19" borderId="193" xfId="0" applyNumberFormat="1" applyFont="1" applyFill="1" applyBorder="1" applyAlignment="1">
      <alignment horizontal="left" vertical="center" wrapText="1"/>
    </xf>
    <xf numFmtId="3" fontId="20" fillId="19" borderId="111" xfId="0" applyNumberFormat="1" applyFont="1" applyFill="1" applyBorder="1" applyAlignment="1" applyProtection="1">
      <alignment vertical="top" wrapText="1"/>
      <protection locked="0"/>
    </xf>
    <xf numFmtId="3" fontId="20" fillId="19" borderId="188" xfId="0" applyNumberFormat="1" applyFont="1" applyFill="1" applyBorder="1" applyAlignment="1" applyProtection="1">
      <alignment horizontal="left" vertical="top" wrapText="1"/>
      <protection locked="0"/>
    </xf>
    <xf numFmtId="4" fontId="26" fillId="19" borderId="111" xfId="0" applyNumberFormat="1" applyFont="1" applyFill="1" applyBorder="1" applyAlignment="1">
      <alignment horizontal="left" vertical="center" wrapText="1"/>
    </xf>
    <xf numFmtId="4" fontId="27" fillId="19" borderId="196" xfId="0" applyNumberFormat="1" applyFont="1" applyFill="1" applyBorder="1" applyAlignment="1">
      <alignment horizontal="left" vertical="center" wrapText="1"/>
    </xf>
    <xf numFmtId="177" fontId="20" fillId="16" borderId="188" xfId="1" applyNumberFormat="1" applyFont="1" applyFill="1" applyBorder="1" applyAlignment="1" applyProtection="1">
      <alignment vertical="top" wrapText="1"/>
    </xf>
    <xf numFmtId="0" fontId="2" fillId="2" borderId="141" xfId="0" applyFont="1" applyFill="1" applyBorder="1" applyAlignment="1">
      <alignment horizontal="right" vertical="top" wrapText="1"/>
    </xf>
    <xf numFmtId="167" fontId="2" fillId="2" borderId="79" xfId="1" applyNumberFormat="1" applyFont="1" applyFill="1" applyBorder="1" applyAlignment="1" applyProtection="1">
      <alignment vertical="top"/>
    </xf>
    <xf numFmtId="164" fontId="25" fillId="0" borderId="62" xfId="1" applyFont="1" applyFill="1" applyBorder="1" applyAlignment="1" applyProtection="1">
      <alignment horizontal="right" vertical="top" wrapText="1"/>
    </xf>
    <xf numFmtId="3" fontId="21" fillId="0" borderId="198" xfId="0" applyNumberFormat="1" applyFont="1" applyBorder="1" applyAlignment="1" applyProtection="1">
      <alignment horizontal="left" vertical="center" wrapText="1"/>
      <protection locked="0"/>
    </xf>
    <xf numFmtId="167" fontId="2" fillId="2" borderId="125" xfId="1" applyNumberFormat="1" applyFont="1" applyFill="1" applyBorder="1" applyAlignment="1" applyProtection="1"/>
    <xf numFmtId="3" fontId="20" fillId="8" borderId="186" xfId="0" applyNumberFormat="1" applyFont="1" applyFill="1" applyBorder="1" applyAlignment="1" applyProtection="1">
      <alignment horizontal="left" vertical="top" wrapText="1"/>
      <protection locked="0"/>
    </xf>
    <xf numFmtId="3" fontId="26" fillId="0" borderId="64" xfId="0" applyNumberFormat="1" applyFont="1" applyFill="1" applyBorder="1" applyAlignment="1">
      <alignment horizontal="left" vertical="top" wrapText="1"/>
    </xf>
    <xf numFmtId="3" fontId="10" fillId="0" borderId="66" xfId="2" applyNumberFormat="1" applyFont="1" applyFill="1" applyBorder="1" applyAlignment="1" applyProtection="1">
      <alignment wrapText="1"/>
    </xf>
    <xf numFmtId="0" fontId="0" fillId="0" borderId="64" xfId="0" applyFont="1" applyFill="1" applyBorder="1" applyAlignment="1" applyProtection="1">
      <alignment horizontal="center" vertical="center" wrapText="1"/>
      <protection locked="0"/>
    </xf>
    <xf numFmtId="0" fontId="0" fillId="0" borderId="64" xfId="0" applyFont="1" applyBorder="1" applyAlignment="1">
      <alignment vertical="center"/>
    </xf>
    <xf numFmtId="0" fontId="0" fillId="0" borderId="182" xfId="0" applyFont="1" applyBorder="1" applyAlignment="1" applyProtection="1">
      <alignment horizontal="center" vertical="center" wrapText="1"/>
      <protection locked="0"/>
    </xf>
    <xf numFmtId="167" fontId="0" fillId="0" borderId="0" xfId="1" applyNumberFormat="1" applyFont="1" applyFill="1" applyBorder="1" applyAlignment="1" applyProtection="1">
      <alignment wrapText="1"/>
    </xf>
    <xf numFmtId="0" fontId="0" fillId="0" borderId="0" xfId="1" applyNumberFormat="1" applyFont="1" applyFill="1" applyBorder="1" applyAlignment="1" applyProtection="1"/>
    <xf numFmtId="167" fontId="15" fillId="0" borderId="0" xfId="2" applyNumberFormat="1" applyFill="1" applyBorder="1" applyAlignment="1" applyProtection="1"/>
    <xf numFmtId="0" fontId="10" fillId="0" borderId="80" xfId="0" applyFont="1" applyFill="1" applyBorder="1" applyAlignment="1">
      <alignment horizontal="left" vertical="center" wrapText="1"/>
    </xf>
    <xf numFmtId="167" fontId="2" fillId="6" borderId="58" xfId="0" applyNumberFormat="1" applyFont="1" applyFill="1" applyBorder="1" applyAlignment="1">
      <alignment vertical="center" wrapText="1"/>
    </xf>
    <xf numFmtId="167" fontId="2" fillId="6" borderId="67" xfId="0" applyNumberFormat="1" applyFont="1" applyFill="1" applyBorder="1" applyAlignment="1">
      <alignment vertical="center" wrapText="1"/>
    </xf>
    <xf numFmtId="0" fontId="14" fillId="17" borderId="84" xfId="0" applyFont="1" applyFill="1" applyBorder="1" applyAlignment="1">
      <alignment vertical="top" wrapText="1"/>
    </xf>
    <xf numFmtId="0" fontId="14" fillId="17" borderId="58" xfId="0" applyFont="1" applyFill="1" applyBorder="1" applyAlignment="1">
      <alignment vertical="top" wrapText="1"/>
    </xf>
    <xf numFmtId="167" fontId="14" fillId="17" borderId="58" xfId="0" applyNumberFormat="1" applyFont="1" applyFill="1" applyBorder="1" applyAlignment="1">
      <alignment vertical="top" wrapText="1"/>
    </xf>
    <xf numFmtId="177" fontId="0" fillId="0" borderId="58" xfId="1" applyNumberFormat="1" applyFont="1" applyFill="1" applyBorder="1" applyAlignment="1" applyProtection="1">
      <alignment vertical="center"/>
    </xf>
    <xf numFmtId="177" fontId="0" fillId="8" borderId="58" xfId="1" applyNumberFormat="1" applyFont="1" applyFill="1" applyBorder="1" applyAlignment="1" applyProtection="1">
      <alignment vertical="center"/>
    </xf>
    <xf numFmtId="177" fontId="0" fillId="0" borderId="64" xfId="1" applyNumberFormat="1" applyFont="1" applyFill="1" applyBorder="1" applyAlignment="1" applyProtection="1">
      <alignment vertical="center"/>
    </xf>
    <xf numFmtId="0" fontId="14" fillId="21" borderId="68" xfId="0" applyFont="1" applyFill="1" applyBorder="1"/>
    <xf numFmtId="0" fontId="0" fillId="21" borderId="69" xfId="0" applyFont="1" applyFill="1" applyBorder="1" applyAlignment="1">
      <alignment horizontal="center"/>
    </xf>
    <xf numFmtId="0" fontId="0" fillId="21" borderId="69" xfId="0" applyFont="1" applyFill="1" applyBorder="1"/>
    <xf numFmtId="0" fontId="0" fillId="21" borderId="70" xfId="0" applyFont="1" applyFill="1" applyBorder="1" applyAlignment="1">
      <alignment horizontal="center"/>
    </xf>
    <xf numFmtId="0" fontId="1" fillId="0" borderId="0" xfId="6"/>
    <xf numFmtId="0" fontId="40" fillId="23" borderId="218" xfId="7" applyFont="1" applyFill="1" applyBorder="1" applyAlignment="1" applyProtection="1">
      <alignment horizontal="center" vertical="center" wrapText="1"/>
    </xf>
    <xf numFmtId="0" fontId="40" fillId="23" borderId="58" xfId="7" applyFont="1" applyFill="1" applyBorder="1" applyAlignment="1" applyProtection="1">
      <alignment horizontal="center" vertical="center" wrapText="1"/>
    </xf>
    <xf numFmtId="0" fontId="41" fillId="23" borderId="186" xfId="7" applyFont="1" applyFill="1" applyBorder="1" applyAlignment="1" applyProtection="1">
      <alignment horizontal="center" vertical="center" wrapText="1"/>
    </xf>
    <xf numFmtId="0" fontId="41" fillId="23" borderId="58" xfId="7" applyFont="1" applyFill="1" applyBorder="1" applyAlignment="1" applyProtection="1">
      <alignment horizontal="center" vertical="center" wrapText="1"/>
    </xf>
    <xf numFmtId="0" fontId="26" fillId="24" borderId="66" xfId="7" applyFont="1" applyFill="1" applyBorder="1" applyAlignment="1" applyProtection="1">
      <alignment horizontal="center" vertical="center"/>
    </xf>
    <xf numFmtId="0" fontId="26" fillId="25" borderId="58" xfId="7" applyFont="1" applyFill="1" applyBorder="1" applyAlignment="1" applyProtection="1">
      <alignment horizontal="center" vertical="center"/>
    </xf>
    <xf numFmtId="0" fontId="27" fillId="25" borderId="186" xfId="6" applyNumberFormat="1" applyFont="1" applyFill="1" applyBorder="1" applyAlignment="1">
      <alignment horizontal="left" vertical="center" wrapText="1"/>
    </xf>
    <xf numFmtId="4" fontId="26" fillId="25" borderId="186" xfId="6" applyNumberFormat="1" applyFont="1" applyFill="1" applyBorder="1" applyAlignment="1" applyProtection="1">
      <alignment horizontal="center" vertical="center" wrapText="1"/>
      <protection locked="0"/>
    </xf>
    <xf numFmtId="9" fontId="26" fillId="25" borderId="186" xfId="6" applyNumberFormat="1" applyFont="1" applyFill="1" applyBorder="1" applyAlignment="1" applyProtection="1">
      <alignment horizontal="center" vertical="center" wrapText="1"/>
      <protection locked="0"/>
    </xf>
    <xf numFmtId="9" fontId="26" fillId="24" borderId="58" xfId="7" applyNumberFormat="1" applyFont="1" applyFill="1" applyBorder="1" applyAlignment="1" applyProtection="1">
      <alignment horizontal="center" vertical="center" wrapText="1"/>
      <protection locked="0"/>
    </xf>
    <xf numFmtId="178" fontId="26" fillId="25" borderId="58" xfId="7" applyNumberFormat="1" applyFont="1" applyFill="1" applyBorder="1" applyAlignment="1" applyProtection="1">
      <alignment horizontal="center" vertical="center" wrapText="1"/>
      <protection locked="0"/>
    </xf>
    <xf numFmtId="178" fontId="26" fillId="25" borderId="58" xfId="8" applyNumberFormat="1" applyFont="1" applyFill="1" applyBorder="1" applyAlignment="1" applyProtection="1">
      <alignment horizontal="center" vertical="center" wrapText="1"/>
      <protection locked="0"/>
    </xf>
    <xf numFmtId="0" fontId="26" fillId="24" borderId="67" xfId="7" applyFont="1" applyFill="1" applyBorder="1" applyAlignment="1" applyProtection="1">
      <alignment vertical="center"/>
    </xf>
    <xf numFmtId="0" fontId="27" fillId="25" borderId="58" xfId="6" applyNumberFormat="1" applyFont="1" applyFill="1" applyBorder="1" applyAlignment="1">
      <alignment horizontal="left" vertical="center" wrapText="1"/>
    </xf>
    <xf numFmtId="4" fontId="26" fillId="25" borderId="58" xfId="6" applyNumberFormat="1" applyFont="1" applyFill="1" applyBorder="1" applyAlignment="1" applyProtection="1">
      <alignment horizontal="center" vertical="center" wrapText="1"/>
      <protection locked="0"/>
    </xf>
    <xf numFmtId="9" fontId="26" fillId="25" borderId="58" xfId="6" applyNumberFormat="1" applyFont="1" applyFill="1" applyBorder="1" applyAlignment="1" applyProtection="1">
      <alignment horizontal="center" vertical="center" wrapText="1"/>
      <protection locked="0"/>
    </xf>
    <xf numFmtId="0" fontId="27" fillId="25" borderId="58" xfId="6" applyFont="1" applyFill="1" applyBorder="1" applyAlignment="1">
      <alignment horizontal="left" vertical="center" wrapText="1"/>
    </xf>
    <xf numFmtId="0" fontId="27" fillId="25" borderId="186" xfId="6" applyFont="1" applyFill="1" applyBorder="1" applyAlignment="1">
      <alignment horizontal="justify" vertical="center" wrapText="1"/>
    </xf>
    <xf numFmtId="0" fontId="27" fillId="25" borderId="58" xfId="6" applyFont="1" applyFill="1" applyBorder="1" applyAlignment="1">
      <alignment horizontal="justify" vertical="center" wrapText="1"/>
    </xf>
    <xf numFmtId="179" fontId="2" fillId="26" borderId="58" xfId="7" applyNumberFormat="1" applyFont="1" applyFill="1" applyBorder="1" applyAlignment="1" applyProtection="1">
      <alignment horizontal="right" vertical="center" wrapText="1"/>
    </xf>
    <xf numFmtId="0" fontId="2" fillId="26" borderId="222" xfId="7" applyFont="1" applyFill="1" applyBorder="1" applyAlignment="1" applyProtection="1">
      <alignment horizontal="center" vertical="center" wrapText="1"/>
    </xf>
    <xf numFmtId="0" fontId="2" fillId="26" borderId="84" xfId="7" applyFont="1" applyFill="1" applyBorder="1" applyAlignment="1" applyProtection="1">
      <alignment horizontal="center" vertical="center" wrapText="1"/>
    </xf>
    <xf numFmtId="9" fontId="26" fillId="25" borderId="223" xfId="6" applyNumberFormat="1" applyFont="1" applyFill="1" applyBorder="1" applyAlignment="1" applyProtection="1">
      <alignment horizontal="center" vertical="center" wrapText="1"/>
      <protection locked="0"/>
    </xf>
    <xf numFmtId="4" fontId="26" fillId="25" borderId="186" xfId="6" applyNumberFormat="1" applyFont="1" applyFill="1" applyBorder="1" applyAlignment="1" applyProtection="1">
      <alignment vertical="center" wrapText="1"/>
      <protection locked="0"/>
    </xf>
    <xf numFmtId="9" fontId="26" fillId="25" borderId="62" xfId="6" applyNumberFormat="1" applyFont="1" applyFill="1" applyBorder="1" applyAlignment="1" applyProtection="1">
      <alignment horizontal="center" vertical="center" wrapText="1"/>
      <protection locked="0"/>
    </xf>
    <xf numFmtId="0" fontId="27" fillId="25" borderId="64" xfId="6" applyFont="1" applyFill="1" applyBorder="1" applyAlignment="1">
      <alignment horizontal="justify" vertical="center" wrapText="1"/>
    </xf>
    <xf numFmtId="0" fontId="41" fillId="25" borderId="58" xfId="6" applyFont="1" applyFill="1" applyBorder="1" applyAlignment="1">
      <alignment horizontal="justify" vertical="center" wrapText="1"/>
    </xf>
    <xf numFmtId="9" fontId="26" fillId="25" borderId="58" xfId="7" applyNumberFormat="1" applyFont="1" applyFill="1" applyBorder="1" applyAlignment="1" applyProtection="1">
      <alignment horizontal="center" vertical="center" wrapText="1"/>
      <protection locked="0"/>
    </xf>
    <xf numFmtId="0" fontId="20" fillId="0" borderId="66" xfId="5" applyFont="1" applyBorder="1" applyAlignment="1">
      <alignment horizontal="center" vertical="center"/>
    </xf>
    <xf numFmtId="0" fontId="20" fillId="25" borderId="58" xfId="5" applyFont="1" applyFill="1" applyBorder="1" applyAlignment="1">
      <alignment horizontal="center" vertical="center"/>
    </xf>
    <xf numFmtId="4" fontId="26" fillId="25" borderId="186" xfId="6" applyNumberFormat="1" applyFont="1" applyFill="1" applyBorder="1" applyAlignment="1">
      <alignment horizontal="center" vertical="center" wrapText="1"/>
    </xf>
    <xf numFmtId="0" fontId="20" fillId="25" borderId="67" xfId="5" applyFont="1" applyFill="1" applyBorder="1" applyAlignment="1">
      <alignment vertical="center"/>
    </xf>
    <xf numFmtId="0" fontId="26" fillId="25" borderId="58" xfId="5" applyFont="1" applyFill="1" applyBorder="1" applyAlignment="1">
      <alignment horizontal="center" vertical="center"/>
    </xf>
    <xf numFmtId="0" fontId="20" fillId="25" borderId="64" xfId="5" applyFont="1" applyFill="1" applyBorder="1" applyAlignment="1">
      <alignment horizontal="center" vertical="center"/>
    </xf>
    <xf numFmtId="4" fontId="26" fillId="25" borderId="64" xfId="6" applyNumberFormat="1" applyFont="1" applyFill="1" applyBorder="1" applyAlignment="1" applyProtection="1">
      <alignment horizontal="center" vertical="center" wrapText="1"/>
      <protection locked="0"/>
    </xf>
    <xf numFmtId="9" fontId="26" fillId="25" borderId="64" xfId="6" applyNumberFormat="1" applyFont="1" applyFill="1" applyBorder="1" applyAlignment="1" applyProtection="1">
      <alignment horizontal="center" vertical="center" wrapText="1"/>
      <protection locked="0"/>
    </xf>
    <xf numFmtId="0" fontId="26" fillId="25" borderId="64" xfId="5" applyFont="1" applyFill="1" applyBorder="1" applyAlignment="1">
      <alignment horizontal="center" vertical="center"/>
    </xf>
    <xf numFmtId="9" fontId="26" fillId="25" borderId="64" xfId="7" applyNumberFormat="1" applyFont="1" applyFill="1" applyBorder="1" applyAlignment="1" applyProtection="1">
      <alignment horizontal="center" vertical="center" wrapText="1"/>
      <protection locked="0"/>
    </xf>
    <xf numFmtId="178" fontId="26" fillId="25" borderId="64" xfId="7" applyNumberFormat="1" applyFont="1" applyFill="1" applyBorder="1" applyAlignment="1" applyProtection="1">
      <alignment horizontal="center" vertical="center" wrapText="1"/>
      <protection locked="0"/>
    </xf>
    <xf numFmtId="178" fontId="26" fillId="25" borderId="64" xfId="8" applyNumberFormat="1" applyFont="1" applyFill="1" applyBorder="1" applyAlignment="1" applyProtection="1">
      <alignment horizontal="center" vertical="center" wrapText="1"/>
      <protection locked="0"/>
    </xf>
    <xf numFmtId="0" fontId="26" fillId="25" borderId="58" xfId="5" applyFont="1" applyFill="1" applyBorder="1" applyAlignment="1">
      <alignment horizontal="center" vertical="center" wrapText="1"/>
    </xf>
    <xf numFmtId="17" fontId="26" fillId="25" borderId="67" xfId="7" applyNumberFormat="1" applyFont="1" applyFill="1" applyBorder="1" applyAlignment="1" applyProtection="1">
      <alignment horizontal="left" vertical="center" wrapText="1"/>
      <protection locked="0"/>
    </xf>
    <xf numFmtId="179" fontId="44" fillId="23" borderId="69" xfId="8" applyNumberFormat="1" applyFont="1" applyFill="1" applyBorder="1" applyAlignment="1">
      <alignment vertical="center"/>
    </xf>
    <xf numFmtId="0" fontId="43" fillId="23" borderId="69" xfId="7" applyFont="1" applyFill="1" applyBorder="1" applyAlignment="1" applyProtection="1">
      <alignment vertical="center" wrapText="1"/>
    </xf>
    <xf numFmtId="179" fontId="44" fillId="25" borderId="0" xfId="8" applyNumberFormat="1" applyFont="1" applyFill="1" applyBorder="1" applyAlignment="1">
      <alignment vertical="center"/>
    </xf>
    <xf numFmtId="0" fontId="1" fillId="25" borderId="0" xfId="6" applyFill="1"/>
    <xf numFmtId="4" fontId="17" fillId="0" borderId="30" xfId="1" applyNumberFormat="1" applyFont="1" applyFill="1" applyBorder="1" applyAlignment="1" applyProtection="1">
      <alignment horizontal="center" vertical="top"/>
      <protection locked="0"/>
    </xf>
    <xf numFmtId="167" fontId="21" fillId="16" borderId="196" xfId="1" applyNumberFormat="1" applyFont="1" applyFill="1" applyBorder="1" applyAlignment="1" applyProtection="1">
      <alignment vertical="top" wrapText="1"/>
    </xf>
    <xf numFmtId="4" fontId="32" fillId="16" borderId="190" xfId="0" applyNumberFormat="1" applyFont="1" applyFill="1" applyBorder="1" applyAlignment="1" applyProtection="1">
      <alignment horizontal="right" vertical="top" wrapText="1"/>
      <protection locked="0"/>
    </xf>
    <xf numFmtId="167" fontId="2" fillId="21" borderId="69" xfId="1" applyNumberFormat="1" applyFont="1" applyFill="1" applyBorder="1" applyAlignment="1" applyProtection="1"/>
    <xf numFmtId="177" fontId="31" fillId="8" borderId="18" xfId="1" applyNumberFormat="1" applyFont="1" applyFill="1" applyBorder="1" applyAlignment="1" applyProtection="1">
      <alignment horizontal="center" vertical="center" wrapText="1"/>
    </xf>
    <xf numFmtId="177" fontId="31" fillId="8" borderId="34" xfId="1" applyNumberFormat="1" applyFont="1" applyFill="1" applyBorder="1" applyAlignment="1" applyProtection="1">
      <alignment horizontal="center" vertical="center" wrapText="1"/>
    </xf>
    <xf numFmtId="177" fontId="0" fillId="0" borderId="18" xfId="1" applyNumberFormat="1" applyFont="1" applyFill="1" applyBorder="1" applyAlignment="1" applyProtection="1">
      <alignment horizontal="center" vertical="center" wrapText="1"/>
    </xf>
    <xf numFmtId="0" fontId="2" fillId="4" borderId="126" xfId="0" applyFont="1" applyFill="1" applyBorder="1" applyAlignment="1" applyProtection="1">
      <alignment horizontal="center" vertical="center" wrapText="1"/>
    </xf>
    <xf numFmtId="0" fontId="2" fillId="4" borderId="106" xfId="0" applyFont="1" applyFill="1" applyBorder="1" applyAlignment="1" applyProtection="1">
      <alignment horizontal="center" vertical="center" wrapText="1"/>
    </xf>
    <xf numFmtId="0" fontId="2" fillId="4" borderId="127" xfId="0" applyFont="1" applyFill="1" applyBorder="1" applyAlignment="1" applyProtection="1">
      <alignment horizontal="center" vertical="center" wrapText="1"/>
    </xf>
    <xf numFmtId="0" fontId="2" fillId="0" borderId="88" xfId="0" applyFont="1" applyFill="1" applyBorder="1" applyAlignment="1" applyProtection="1">
      <alignment horizontal="left" vertical="top" wrapText="1"/>
    </xf>
    <xf numFmtId="10" fontId="2" fillId="0" borderId="89" xfId="3" applyNumberFormat="1" applyFont="1" applyFill="1" applyBorder="1" applyAlignment="1" applyProtection="1">
      <alignment horizontal="center" vertical="center"/>
    </xf>
    <xf numFmtId="10" fontId="2" fillId="0" borderId="122" xfId="3" applyNumberFormat="1" applyFont="1" applyFill="1" applyBorder="1" applyAlignment="1" applyProtection="1">
      <alignment horizontal="center" vertical="center"/>
    </xf>
    <xf numFmtId="0" fontId="2" fillId="0" borderId="124" xfId="0" applyFont="1" applyFill="1" applyBorder="1" applyAlignment="1" applyProtection="1">
      <alignment horizontal="center" vertical="top" wrapText="1"/>
    </xf>
    <xf numFmtId="10" fontId="2" fillId="0" borderId="122" xfId="0" applyNumberFormat="1" applyFont="1" applyFill="1" applyBorder="1" applyAlignment="1" applyProtection="1">
      <alignment horizontal="center"/>
    </xf>
    <xf numFmtId="0" fontId="2" fillId="0" borderId="229" xfId="0" applyFont="1" applyFill="1" applyBorder="1" applyAlignment="1" applyProtection="1">
      <alignment horizontal="center" vertical="top" wrapText="1"/>
    </xf>
    <xf numFmtId="10" fontId="2" fillId="0" borderId="91" xfId="3" applyNumberFormat="1" applyFont="1" applyFill="1" applyBorder="1" applyAlignment="1" applyProtection="1">
      <alignment horizontal="center" vertical="center"/>
    </xf>
    <xf numFmtId="10" fontId="2" fillId="0" borderId="89" xfId="3" applyNumberFormat="1" applyFont="1" applyFill="1" applyBorder="1" applyAlignment="1" applyProtection="1">
      <alignment horizontal="right" vertical="center"/>
    </xf>
    <xf numFmtId="0" fontId="2" fillId="0" borderId="88" xfId="0" applyFont="1" applyFill="1" applyBorder="1" applyAlignment="1" applyProtection="1">
      <alignment horizontal="center" vertical="top" wrapText="1"/>
    </xf>
    <xf numFmtId="10" fontId="2" fillId="0" borderId="91" xfId="3" applyNumberFormat="1" applyFont="1" applyFill="1" applyBorder="1" applyAlignment="1" applyProtection="1">
      <alignment horizontal="right" vertical="center"/>
    </xf>
    <xf numFmtId="10" fontId="2" fillId="9" borderId="232" xfId="3" applyNumberFormat="1" applyFont="1" applyFill="1" applyBorder="1" applyAlignment="1" applyProtection="1">
      <alignment horizontal="center" vertical="center"/>
    </xf>
    <xf numFmtId="0" fontId="2" fillId="9" borderId="88" xfId="0" applyFont="1" applyFill="1" applyBorder="1" applyAlignment="1" applyProtection="1">
      <alignment horizontal="center" vertical="top" wrapText="1"/>
    </xf>
    <xf numFmtId="0" fontId="2" fillId="9" borderId="93" xfId="0" applyFont="1" applyFill="1" applyBorder="1" applyAlignment="1" applyProtection="1">
      <alignment horizontal="center" vertical="top" wrapText="1"/>
    </xf>
    <xf numFmtId="10" fontId="2" fillId="9" borderId="234" xfId="3" applyNumberFormat="1" applyFont="1" applyFill="1" applyBorder="1" applyAlignment="1" applyProtection="1">
      <alignment horizontal="center" vertical="top" wrapText="1"/>
    </xf>
    <xf numFmtId="10" fontId="2" fillId="9" borderId="71" xfId="3" applyNumberFormat="1" applyFont="1" applyFill="1" applyBorder="1" applyAlignment="1" applyProtection="1">
      <alignment horizontal="center" vertical="center"/>
    </xf>
    <xf numFmtId="164" fontId="0" fillId="0" borderId="198" xfId="0" applyNumberFormat="1" applyBorder="1" applyAlignment="1" applyProtection="1">
      <alignment horizontal="center"/>
    </xf>
    <xf numFmtId="177" fontId="31" fillId="0" borderId="18" xfId="1" applyNumberFormat="1" applyFont="1" applyFill="1" applyBorder="1" applyAlignment="1" applyProtection="1">
      <alignment horizontal="center" vertical="center" wrapText="1"/>
    </xf>
    <xf numFmtId="0" fontId="17" fillId="0" borderId="96" xfId="0" applyFont="1" applyFill="1" applyBorder="1" applyAlignment="1">
      <alignment horizontal="justify" vertical="center" wrapText="1"/>
    </xf>
    <xf numFmtId="4" fontId="17" fillId="0" borderId="97" xfId="1" applyNumberFormat="1" applyFont="1" applyFill="1" applyBorder="1" applyAlignment="1" applyProtection="1">
      <alignment vertical="top"/>
      <protection locked="0"/>
    </xf>
    <xf numFmtId="3" fontId="0" fillId="0" borderId="0" xfId="0" applyNumberFormat="1" applyFill="1"/>
    <xf numFmtId="3" fontId="17" fillId="0" borderId="60" xfId="1" applyNumberFormat="1" applyFont="1" applyFill="1" applyBorder="1" applyAlignment="1" applyProtection="1">
      <alignment horizontal="center" vertical="top"/>
      <protection locked="0"/>
    </xf>
    <xf numFmtId="3" fontId="17" fillId="0" borderId="60" xfId="1" applyNumberFormat="1" applyFont="1" applyFill="1" applyBorder="1" applyAlignment="1" applyProtection="1">
      <alignment vertical="top"/>
      <protection locked="0"/>
    </xf>
    <xf numFmtId="3" fontId="17" fillId="0" borderId="60" xfId="0" applyNumberFormat="1" applyFont="1" applyFill="1" applyBorder="1" applyAlignment="1" applyProtection="1">
      <alignment vertical="top" wrapText="1"/>
      <protection locked="0"/>
    </xf>
    <xf numFmtId="3" fontId="17" fillId="0" borderId="102" xfId="1" applyNumberFormat="1" applyFont="1" applyFill="1" applyBorder="1" applyAlignment="1" applyProtection="1">
      <alignment horizontal="center" vertical="top"/>
      <protection locked="0"/>
    </xf>
    <xf numFmtId="3" fontId="17" fillId="0" borderId="102" xfId="1" applyNumberFormat="1" applyFont="1" applyFill="1" applyBorder="1" applyAlignment="1" applyProtection="1">
      <alignment vertical="top"/>
      <protection locked="0"/>
    </xf>
    <xf numFmtId="3" fontId="17" fillId="0" borderId="102" xfId="0" applyNumberFormat="1" applyFont="1" applyFill="1" applyBorder="1" applyAlignment="1" applyProtection="1">
      <alignment vertical="top"/>
      <protection locked="0"/>
    </xf>
    <xf numFmtId="3" fontId="17" fillId="0" borderId="94" xfId="0" applyNumberFormat="1" applyFont="1" applyFill="1" applyBorder="1" applyAlignment="1" applyProtection="1">
      <alignment horizontal="left" vertical="top" wrapText="1"/>
      <protection locked="0"/>
    </xf>
    <xf numFmtId="3" fontId="27" fillId="0" borderId="65" xfId="0" applyNumberFormat="1" applyFont="1" applyFill="1" applyBorder="1" applyAlignment="1" applyProtection="1">
      <alignment horizontal="left" vertical="top" wrapText="1"/>
      <protection locked="0"/>
    </xf>
    <xf numFmtId="0" fontId="17" fillId="0" borderId="119" xfId="0" applyFont="1" applyFill="1" applyBorder="1" applyAlignment="1">
      <alignment horizontal="justify" vertical="center" wrapText="1"/>
    </xf>
    <xf numFmtId="4" fontId="17" fillId="0" borderId="35" xfId="1" applyNumberFormat="1" applyFont="1" applyFill="1" applyBorder="1" applyAlignment="1" applyProtection="1">
      <alignment vertical="top"/>
      <protection locked="0"/>
    </xf>
    <xf numFmtId="3" fontId="17" fillId="0" borderId="35" xfId="0" applyNumberFormat="1" applyFont="1" applyFill="1" applyBorder="1" applyAlignment="1" applyProtection="1">
      <alignment vertical="top" wrapText="1"/>
      <protection locked="0"/>
    </xf>
    <xf numFmtId="4" fontId="18" fillId="0" borderId="93" xfId="1" applyNumberFormat="1" applyFont="1" applyFill="1" applyBorder="1" applyAlignment="1" applyProtection="1">
      <alignment horizontal="right" vertical="top" wrapText="1"/>
    </xf>
    <xf numFmtId="3" fontId="17" fillId="0" borderId="95" xfId="0" applyNumberFormat="1" applyFont="1" applyFill="1" applyBorder="1" applyAlignment="1" applyProtection="1">
      <alignment horizontal="left" vertical="top" wrapText="1"/>
      <protection locked="0"/>
    </xf>
    <xf numFmtId="3" fontId="22" fillId="0" borderId="70" xfId="0" applyNumberFormat="1" applyFont="1" applyFill="1" applyBorder="1" applyAlignment="1" applyProtection="1">
      <alignment horizontal="left" vertical="top" wrapText="1"/>
      <protection locked="0"/>
    </xf>
    <xf numFmtId="3" fontId="17" fillId="0" borderId="92" xfId="0" applyNumberFormat="1" applyFont="1" applyFill="1" applyBorder="1" applyAlignment="1" applyProtection="1">
      <alignment vertical="top" wrapText="1"/>
      <protection locked="0"/>
    </xf>
    <xf numFmtId="3" fontId="17" fillId="0" borderId="37" xfId="1" applyNumberFormat="1" applyFont="1" applyFill="1" applyBorder="1" applyAlignment="1" applyProtection="1">
      <alignment horizontal="center" vertical="top"/>
      <protection locked="0"/>
    </xf>
    <xf numFmtId="3" fontId="17" fillId="0" borderId="37" xfId="1" applyNumberFormat="1" applyFont="1" applyFill="1" applyBorder="1" applyAlignment="1" applyProtection="1">
      <alignment vertical="top"/>
      <protection locked="0"/>
    </xf>
    <xf numFmtId="3" fontId="17" fillId="0" borderId="37" xfId="0" applyNumberFormat="1" applyFont="1" applyFill="1" applyBorder="1" applyAlignment="1" applyProtection="1">
      <alignment vertical="top"/>
      <protection locked="0"/>
    </xf>
    <xf numFmtId="3" fontId="17" fillId="0" borderId="37" xfId="0" applyNumberFormat="1" applyFont="1" applyFill="1" applyBorder="1" applyAlignment="1" applyProtection="1">
      <alignment vertical="top" wrapText="1"/>
      <protection locked="0"/>
    </xf>
    <xf numFmtId="167" fontId="17" fillId="19" borderId="112" xfId="1" applyNumberFormat="1" applyFont="1" applyFill="1" applyBorder="1" applyAlignment="1" applyProtection="1">
      <alignment vertical="top"/>
    </xf>
    <xf numFmtId="167" fontId="19" fillId="19" borderId="30" xfId="1" applyNumberFormat="1" applyFont="1" applyFill="1" applyBorder="1" applyAlignment="1" applyProtection="1">
      <alignment vertical="top"/>
    </xf>
    <xf numFmtId="167" fontId="19" fillId="19" borderId="60" xfId="1" applyNumberFormat="1" applyFont="1" applyFill="1" applyBorder="1" applyAlignment="1" applyProtection="1">
      <alignment vertical="top"/>
    </xf>
    <xf numFmtId="167" fontId="19" fillId="19" borderId="102" xfId="1" applyNumberFormat="1" applyFont="1" applyFill="1" applyBorder="1" applyAlignment="1" applyProtection="1">
      <alignment vertical="top"/>
    </xf>
    <xf numFmtId="167" fontId="19" fillId="19" borderId="37" xfId="1" applyNumberFormat="1" applyFont="1" applyFill="1" applyBorder="1" applyAlignment="1" applyProtection="1">
      <alignment vertical="top"/>
    </xf>
    <xf numFmtId="177" fontId="17" fillId="19" borderId="97" xfId="1" applyNumberFormat="1" applyFont="1" applyFill="1" applyBorder="1" applyAlignment="1" applyProtection="1">
      <alignment vertical="top"/>
    </xf>
    <xf numFmtId="167" fontId="17" fillId="19" borderId="30" xfId="1" applyNumberFormat="1" applyFont="1" applyFill="1" applyBorder="1" applyAlignment="1" applyProtection="1">
      <alignment vertical="top"/>
    </xf>
    <xf numFmtId="167" fontId="17" fillId="19" borderId="60" xfId="1" applyNumberFormat="1" applyFont="1" applyFill="1" applyBorder="1" applyAlignment="1" applyProtection="1">
      <alignment vertical="top"/>
    </xf>
    <xf numFmtId="177" fontId="17" fillId="19" borderId="35" xfId="1" applyNumberFormat="1" applyFont="1" applyFill="1" applyBorder="1" applyAlignment="1" applyProtection="1">
      <alignment vertical="top"/>
    </xf>
    <xf numFmtId="177" fontId="17" fillId="19" borderId="37" xfId="1" applyNumberFormat="1" applyFont="1" applyFill="1" applyBorder="1" applyAlignment="1" applyProtection="1">
      <alignment vertical="top"/>
    </xf>
    <xf numFmtId="167" fontId="17" fillId="19" borderId="97" xfId="1" applyNumberFormat="1" applyFont="1" applyFill="1" applyBorder="1" applyAlignment="1" applyProtection="1">
      <alignment vertical="top"/>
    </xf>
    <xf numFmtId="167" fontId="17" fillId="19" borderId="35" xfId="1" applyNumberFormat="1" applyFont="1" applyFill="1" applyBorder="1" applyAlignment="1" applyProtection="1">
      <alignment vertical="top"/>
    </xf>
    <xf numFmtId="177" fontId="17" fillId="19" borderId="30" xfId="1" applyNumberFormat="1" applyFont="1" applyFill="1" applyBorder="1" applyAlignment="1" applyProtection="1">
      <alignment vertical="top"/>
    </xf>
    <xf numFmtId="167" fontId="17" fillId="19" borderId="37" xfId="1" applyNumberFormat="1" applyFont="1" applyFill="1" applyBorder="1" applyAlignment="1" applyProtection="1">
      <alignment vertical="top"/>
    </xf>
    <xf numFmtId="167" fontId="17" fillId="19" borderId="98" xfId="1" applyNumberFormat="1" applyFont="1" applyFill="1" applyBorder="1" applyAlignment="1" applyProtection="1">
      <alignment vertical="top"/>
    </xf>
    <xf numFmtId="167" fontId="17" fillId="19" borderId="100" xfId="1" applyNumberFormat="1" applyFont="1" applyFill="1" applyBorder="1" applyAlignment="1" applyProtection="1">
      <alignment vertical="top"/>
    </xf>
    <xf numFmtId="167" fontId="17" fillId="19" borderId="149" xfId="1" applyNumberFormat="1" applyFont="1" applyFill="1" applyBorder="1" applyAlignment="1" applyProtection="1">
      <alignment vertical="top"/>
    </xf>
    <xf numFmtId="167" fontId="17" fillId="19" borderId="103" xfId="1" applyNumberFormat="1" applyFont="1" applyFill="1" applyBorder="1" applyAlignment="1" applyProtection="1">
      <alignment vertical="top"/>
    </xf>
    <xf numFmtId="167" fontId="17" fillId="19" borderId="36" xfId="1" applyNumberFormat="1" applyFont="1" applyFill="1" applyBorder="1" applyAlignment="1" applyProtection="1">
      <alignment vertical="top"/>
    </xf>
    <xf numFmtId="167" fontId="17" fillId="19" borderId="38" xfId="1" applyNumberFormat="1" applyFont="1" applyFill="1" applyBorder="1" applyAlignment="1" applyProtection="1">
      <alignment vertical="top"/>
    </xf>
    <xf numFmtId="167" fontId="17" fillId="19" borderId="108" xfId="1" applyNumberFormat="1" applyFont="1" applyFill="1" applyBorder="1" applyAlignment="1" applyProtection="1">
      <alignment vertical="top"/>
    </xf>
    <xf numFmtId="4" fontId="17" fillId="19" borderId="102" xfId="0" applyNumberFormat="1" applyFont="1" applyFill="1" applyBorder="1" applyAlignment="1" applyProtection="1">
      <alignment horizontal="right" vertical="top" wrapText="1"/>
      <protection locked="0"/>
    </xf>
    <xf numFmtId="4" fontId="17" fillId="19" borderId="102" xfId="0" applyNumberFormat="1" applyFont="1" applyFill="1" applyBorder="1" applyAlignment="1" applyProtection="1">
      <alignment vertical="top" wrapText="1"/>
      <protection locked="0"/>
    </xf>
    <xf numFmtId="4" fontId="17" fillId="19" borderId="97" xfId="1" applyNumberFormat="1" applyFont="1" applyFill="1" applyBorder="1" applyAlignment="1" applyProtection="1">
      <alignment vertical="top"/>
    </xf>
    <xf numFmtId="4" fontId="17" fillId="19" borderId="60" xfId="1" applyNumberFormat="1" applyFont="1" applyFill="1" applyBorder="1" applyAlignment="1" applyProtection="1">
      <alignment vertical="top"/>
    </xf>
    <xf numFmtId="167" fontId="17" fillId="19" borderId="33" xfId="1" applyNumberFormat="1" applyFont="1" applyFill="1" applyBorder="1" applyAlignment="1" applyProtection="1">
      <alignment vertical="top"/>
    </xf>
    <xf numFmtId="167" fontId="17" fillId="19" borderId="116" xfId="1" applyNumberFormat="1" applyFont="1" applyFill="1" applyBorder="1" applyAlignment="1" applyProtection="1">
      <alignment vertical="top"/>
    </xf>
    <xf numFmtId="4" fontId="22" fillId="19" borderId="97" xfId="1" applyNumberFormat="1" applyFont="1" applyFill="1" applyBorder="1" applyAlignment="1" applyProtection="1">
      <alignment vertical="top"/>
    </xf>
    <xf numFmtId="4" fontId="22" fillId="19" borderId="30" xfId="1" applyNumberFormat="1" applyFont="1" applyFill="1" applyBorder="1" applyAlignment="1" applyProtection="1">
      <alignment vertical="top"/>
    </xf>
    <xf numFmtId="167" fontId="22" fillId="19" borderId="30" xfId="1" applyNumberFormat="1" applyFont="1" applyFill="1" applyBorder="1" applyAlignment="1" applyProtection="1">
      <alignment vertical="top"/>
    </xf>
    <xf numFmtId="4" fontId="22" fillId="19" borderId="102" xfId="0" applyNumberFormat="1" applyFont="1" applyFill="1" applyBorder="1" applyAlignment="1" applyProtection="1">
      <alignment horizontal="right" vertical="top" wrapText="1"/>
      <protection locked="0"/>
    </xf>
    <xf numFmtId="4" fontId="17" fillId="19" borderId="60" xfId="0" applyNumberFormat="1" applyFont="1" applyFill="1" applyBorder="1" applyAlignment="1" applyProtection="1">
      <alignment vertical="top"/>
      <protection locked="0"/>
    </xf>
    <xf numFmtId="167" fontId="17" fillId="19" borderId="113" xfId="1" applyNumberFormat="1" applyFont="1" applyFill="1" applyBorder="1" applyAlignment="1" applyProtection="1">
      <alignment vertical="top"/>
    </xf>
    <xf numFmtId="167" fontId="17" fillId="19" borderId="147" xfId="1" applyNumberFormat="1" applyFont="1" applyFill="1" applyBorder="1" applyAlignment="1" applyProtection="1">
      <alignment vertical="top"/>
    </xf>
    <xf numFmtId="167" fontId="17" fillId="19" borderId="117" xfId="1" applyNumberFormat="1" applyFont="1" applyFill="1" applyBorder="1" applyAlignment="1" applyProtection="1">
      <alignment vertical="top"/>
    </xf>
    <xf numFmtId="4" fontId="17" fillId="19" borderId="30" xfId="0" applyNumberFormat="1" applyFont="1" applyFill="1" applyBorder="1" applyAlignment="1">
      <alignment horizontal="center" vertical="center"/>
    </xf>
    <xf numFmtId="3" fontId="17" fillId="19" borderId="102" xfId="0" applyNumberFormat="1" applyFont="1" applyFill="1" applyBorder="1" applyAlignment="1" applyProtection="1">
      <alignment horizontal="left" vertical="top" wrapText="1"/>
      <protection locked="0"/>
    </xf>
    <xf numFmtId="3" fontId="17" fillId="19" borderId="102" xfId="0" applyNumberFormat="1" applyFont="1" applyFill="1" applyBorder="1" applyAlignment="1" applyProtection="1">
      <alignment vertical="top" wrapText="1"/>
      <protection locked="0"/>
    </xf>
    <xf numFmtId="3" fontId="19" fillId="19" borderId="60" xfId="0" applyNumberFormat="1" applyFont="1" applyFill="1" applyBorder="1" applyAlignment="1" applyProtection="1">
      <alignment vertical="top"/>
      <protection locked="0"/>
    </xf>
    <xf numFmtId="4" fontId="17" fillId="19" borderId="113" xfId="1" applyNumberFormat="1" applyFont="1" applyFill="1" applyBorder="1" applyAlignment="1" applyProtection="1">
      <alignment vertical="top"/>
    </xf>
    <xf numFmtId="4" fontId="17" fillId="19" borderId="32" xfId="1" applyNumberFormat="1" applyFont="1" applyFill="1" applyBorder="1" applyAlignment="1" applyProtection="1">
      <alignment vertical="top"/>
    </xf>
    <xf numFmtId="4" fontId="19" fillId="19" borderId="117" xfId="1" applyNumberFormat="1" applyFont="1" applyFill="1" applyBorder="1" applyAlignment="1" applyProtection="1">
      <alignment vertical="top"/>
    </xf>
    <xf numFmtId="3" fontId="19" fillId="19" borderId="102" xfId="0" applyNumberFormat="1" applyFont="1" applyFill="1" applyBorder="1" applyAlignment="1" applyProtection="1">
      <alignment vertical="top" wrapText="1"/>
      <protection locked="0"/>
    </xf>
    <xf numFmtId="3" fontId="17" fillId="19" borderId="60" xfId="0" applyNumberFormat="1" applyFont="1" applyFill="1" applyBorder="1" applyAlignment="1" applyProtection="1">
      <alignment vertical="top"/>
      <protection locked="0"/>
    </xf>
    <xf numFmtId="167" fontId="17" fillId="19" borderId="32" xfId="1" applyNumberFormat="1" applyFont="1" applyFill="1" applyBorder="1" applyAlignment="1" applyProtection="1">
      <alignment vertical="top"/>
    </xf>
    <xf numFmtId="167" fontId="19" fillId="19" borderId="117" xfId="1" applyNumberFormat="1" applyFont="1" applyFill="1" applyBorder="1" applyAlignment="1" applyProtection="1">
      <alignment vertical="top"/>
    </xf>
    <xf numFmtId="3" fontId="17" fillId="19" borderId="103" xfId="0" applyNumberFormat="1" applyFont="1" applyFill="1" applyBorder="1" applyAlignment="1" applyProtection="1">
      <alignment horizontal="left" vertical="top" wrapText="1"/>
      <protection locked="0"/>
    </xf>
    <xf numFmtId="4" fontId="17" fillId="19" borderId="100" xfId="1" applyNumberFormat="1" applyFont="1" applyFill="1" applyBorder="1" applyAlignment="1" applyProtection="1">
      <alignment vertical="top"/>
    </xf>
    <xf numFmtId="4" fontId="17" fillId="19" borderId="103" xfId="0" applyNumberFormat="1" applyFont="1" applyFill="1" applyBorder="1" applyAlignment="1" applyProtection="1">
      <alignment vertical="top" wrapText="1"/>
      <protection locked="0"/>
    </xf>
    <xf numFmtId="3" fontId="17" fillId="19" borderId="149" xfId="0" applyNumberFormat="1" applyFont="1" applyFill="1" applyBorder="1" applyAlignment="1" applyProtection="1">
      <alignment vertical="top"/>
      <protection locked="0"/>
    </xf>
    <xf numFmtId="167" fontId="17" fillId="19" borderId="114" xfId="1" applyNumberFormat="1" applyFont="1" applyFill="1" applyBorder="1" applyAlignment="1" applyProtection="1">
      <alignment vertical="top"/>
    </xf>
    <xf numFmtId="167" fontId="17" fillId="19" borderId="115" xfId="1" applyNumberFormat="1" applyFont="1" applyFill="1" applyBorder="1" applyAlignment="1" applyProtection="1">
      <alignment vertical="top"/>
    </xf>
    <xf numFmtId="167" fontId="17" fillId="19" borderId="118" xfId="1" applyNumberFormat="1" applyFont="1" applyFill="1" applyBorder="1" applyAlignment="1" applyProtection="1">
      <alignment vertical="top"/>
    </xf>
    <xf numFmtId="3" fontId="17" fillId="0" borderId="64" xfId="0" applyNumberFormat="1" applyFont="1" applyFill="1" applyBorder="1" applyAlignment="1" applyProtection="1">
      <alignment horizontal="left" vertical="top" wrapText="1"/>
      <protection locked="0"/>
    </xf>
    <xf numFmtId="3" fontId="17" fillId="0" borderId="77" xfId="0" applyNumberFormat="1" applyFont="1" applyFill="1" applyBorder="1" applyAlignment="1" applyProtection="1">
      <alignment vertical="top" wrapText="1"/>
      <protection locked="0"/>
    </xf>
    <xf numFmtId="3" fontId="17" fillId="0" borderId="78" xfId="0" applyNumberFormat="1" applyFont="1" applyFill="1" applyBorder="1" applyAlignment="1" applyProtection="1">
      <alignment vertical="top" wrapText="1"/>
      <protection locked="0"/>
    </xf>
    <xf numFmtId="177" fontId="20" fillId="16" borderId="111" xfId="1" applyNumberFormat="1" applyFont="1" applyFill="1" applyBorder="1" applyAlignment="1" applyProtection="1">
      <alignment wrapText="1"/>
    </xf>
    <xf numFmtId="167" fontId="20" fillId="16" borderId="111" xfId="1" applyNumberFormat="1" applyFont="1" applyFill="1" applyBorder="1" applyAlignment="1" applyProtection="1">
      <alignment wrapText="1"/>
    </xf>
    <xf numFmtId="177" fontId="20" fillId="16" borderId="111" xfId="1" applyNumberFormat="1" applyFont="1" applyFill="1" applyBorder="1" applyAlignment="1" applyProtection="1">
      <alignment horizontal="right" wrapText="1"/>
    </xf>
    <xf numFmtId="167" fontId="20" fillId="16" borderId="111" xfId="1" applyNumberFormat="1" applyFont="1" applyFill="1" applyBorder="1" applyAlignment="1" applyProtection="1">
      <alignment horizontal="right" wrapText="1"/>
    </xf>
    <xf numFmtId="167" fontId="20" fillId="16" borderId="188" xfId="1" applyNumberFormat="1" applyFont="1" applyFill="1" applyBorder="1" applyAlignment="1" applyProtection="1">
      <alignment horizontal="right" wrapText="1"/>
    </xf>
    <xf numFmtId="177" fontId="20" fillId="16" borderId="193" xfId="1" applyNumberFormat="1" applyFont="1" applyFill="1" applyBorder="1" applyAlignment="1" applyProtection="1">
      <alignment horizontal="right" wrapText="1"/>
    </xf>
    <xf numFmtId="0" fontId="27" fillId="0" borderId="186" xfId="6" applyFont="1" applyFill="1" applyBorder="1" applyAlignment="1">
      <alignment horizontal="justify" vertical="center" wrapText="1"/>
    </xf>
    <xf numFmtId="4" fontId="26" fillId="0" borderId="186" xfId="6" applyNumberFormat="1" applyFont="1" applyFill="1" applyBorder="1" applyAlignment="1" applyProtection="1">
      <alignment horizontal="center" vertical="center" wrapText="1"/>
      <protection locked="0"/>
    </xf>
    <xf numFmtId="0" fontId="27" fillId="0" borderId="58" xfId="6" applyFont="1" applyFill="1" applyBorder="1" applyAlignment="1">
      <alignment horizontal="justify" vertical="center" wrapText="1"/>
    </xf>
    <xf numFmtId="4" fontId="26" fillId="0" borderId="58" xfId="6" applyNumberFormat="1" applyFont="1" applyFill="1" applyBorder="1" applyAlignment="1" applyProtection="1">
      <alignment horizontal="center" vertical="center" wrapText="1"/>
      <protection locked="0"/>
    </xf>
    <xf numFmtId="177" fontId="17" fillId="19" borderId="102" xfId="1" applyNumberFormat="1" applyFont="1" applyFill="1" applyBorder="1" applyAlignment="1" applyProtection="1">
      <alignment vertical="top"/>
    </xf>
    <xf numFmtId="177" fontId="20" fillId="16" borderId="188" xfId="1" applyNumberFormat="1" applyFont="1" applyFill="1" applyBorder="1" applyAlignment="1" applyProtection="1">
      <alignment horizontal="right" wrapText="1"/>
    </xf>
    <xf numFmtId="180" fontId="17" fillId="0" borderId="30" xfId="1" applyNumberFormat="1" applyFont="1" applyFill="1" applyBorder="1" applyAlignment="1" applyProtection="1">
      <alignment horizontal="center" vertical="top"/>
      <protection locked="0"/>
    </xf>
    <xf numFmtId="180" fontId="17" fillId="0" borderId="30" xfId="1" applyNumberFormat="1" applyFont="1" applyFill="1" applyBorder="1" applyAlignment="1" applyProtection="1">
      <alignment vertical="top"/>
      <protection locked="0"/>
    </xf>
    <xf numFmtId="0" fontId="27" fillId="0" borderId="186" xfId="6" applyFont="1" applyFill="1" applyBorder="1" applyAlignment="1">
      <alignment horizontal="left" vertical="center" wrapText="1"/>
    </xf>
    <xf numFmtId="9" fontId="26" fillId="0" borderId="186" xfId="6" applyNumberFormat="1" applyFont="1" applyFill="1" applyBorder="1" applyAlignment="1" applyProtection="1">
      <alignment horizontal="center" vertical="center" wrapText="1"/>
      <protection locked="0"/>
    </xf>
    <xf numFmtId="9" fontId="26" fillId="0" borderId="58" xfId="7" applyNumberFormat="1" applyFont="1" applyFill="1" applyBorder="1" applyAlignment="1" applyProtection="1">
      <alignment horizontal="center" vertical="center" wrapText="1"/>
      <protection locked="0"/>
    </xf>
    <xf numFmtId="178" fontId="26" fillId="0" borderId="58" xfId="7" applyNumberFormat="1" applyFont="1" applyFill="1" applyBorder="1" applyAlignment="1" applyProtection="1">
      <alignment horizontal="center" vertical="center" wrapText="1"/>
      <protection locked="0"/>
    </xf>
    <xf numFmtId="178" fontId="26" fillId="0" borderId="58" xfId="8" applyNumberFormat="1" applyFont="1" applyFill="1" applyBorder="1" applyAlignment="1" applyProtection="1">
      <alignment horizontal="center" vertical="center" wrapText="1"/>
      <protection locked="0"/>
    </xf>
    <xf numFmtId="9" fontId="26" fillId="0" borderId="58" xfId="6" applyNumberFormat="1" applyFont="1" applyFill="1" applyBorder="1" applyAlignment="1" applyProtection="1">
      <alignment horizontal="center" vertical="center" wrapText="1"/>
      <protection locked="0"/>
    </xf>
    <xf numFmtId="0" fontId="27" fillId="0" borderId="64" xfId="6" applyFont="1" applyFill="1" applyBorder="1" applyAlignment="1">
      <alignment horizontal="justify" vertical="center" wrapText="1"/>
    </xf>
    <xf numFmtId="9" fontId="26" fillId="0" borderId="62" xfId="6" applyNumberFormat="1" applyFont="1" applyFill="1" applyBorder="1" applyAlignment="1" applyProtection="1">
      <alignment horizontal="center" vertical="center" wrapText="1"/>
      <protection locked="0"/>
    </xf>
    <xf numFmtId="0" fontId="16" fillId="0" borderId="236" xfId="0" applyFont="1" applyFill="1" applyBorder="1" applyAlignment="1" applyProtection="1">
      <alignment vertical="center"/>
    </xf>
    <xf numFmtId="0" fontId="16" fillId="0" borderId="237" xfId="0" applyFont="1" applyFill="1" applyBorder="1" applyAlignment="1" applyProtection="1">
      <alignment vertical="center"/>
    </xf>
    <xf numFmtId="0" fontId="16" fillId="0" borderId="237" xfId="0" applyFont="1" applyFill="1" applyBorder="1" applyAlignment="1" applyProtection="1">
      <alignment horizontal="right" vertical="center"/>
    </xf>
    <xf numFmtId="171" fontId="2" fillId="0" borderId="238" xfId="0" applyNumberFormat="1" applyFont="1" applyFill="1" applyBorder="1" applyAlignment="1" applyProtection="1">
      <alignment vertical="center"/>
      <protection locked="0"/>
    </xf>
    <xf numFmtId="0" fontId="2" fillId="10" borderId="241" xfId="0" applyFont="1" applyFill="1" applyBorder="1" applyAlignment="1" applyProtection="1">
      <alignment horizontal="center" vertical="center" wrapText="1"/>
    </xf>
    <xf numFmtId="0" fontId="2" fillId="10" borderId="233" xfId="0" applyFont="1" applyFill="1" applyBorder="1" applyAlignment="1" applyProtection="1">
      <alignment horizontal="center" vertical="center" wrapText="1"/>
    </xf>
    <xf numFmtId="0" fontId="2" fillId="8" borderId="88" xfId="0" applyFont="1" applyFill="1" applyBorder="1" applyAlignment="1" applyProtection="1">
      <alignment horizontal="left" vertical="top" wrapText="1"/>
    </xf>
    <xf numFmtId="10" fontId="2" fillId="8" borderId="89" xfId="3" applyNumberFormat="1" applyFont="1" applyFill="1" applyBorder="1" applyAlignment="1" applyProtection="1">
      <alignment horizontal="center" vertical="center"/>
    </xf>
    <xf numFmtId="0" fontId="2" fillId="8" borderId="124" xfId="0" applyFont="1" applyFill="1" applyBorder="1" applyAlignment="1" applyProtection="1">
      <alignment horizontal="left" vertical="top" wrapText="1"/>
    </xf>
    <xf numFmtId="0" fontId="2" fillId="8" borderId="124" xfId="0" applyFont="1" applyFill="1" applyBorder="1" applyAlignment="1" applyProtection="1">
      <alignment horizontal="center" vertical="top" wrapText="1"/>
    </xf>
    <xf numFmtId="10" fontId="2" fillId="8" borderId="89" xfId="3" applyNumberFormat="1" applyFont="1" applyFill="1" applyBorder="1" applyAlignment="1" applyProtection="1">
      <alignment horizontal="right" vertical="center"/>
    </xf>
    <xf numFmtId="0" fontId="2" fillId="8" borderId="229" xfId="0" applyFont="1" applyFill="1" applyBorder="1" applyAlignment="1" applyProtection="1">
      <alignment horizontal="center" vertical="top" wrapText="1"/>
    </xf>
    <xf numFmtId="10" fontId="2" fillId="8" borderId="91" xfId="3" applyNumberFormat="1" applyFont="1" applyFill="1" applyBorder="1" applyAlignment="1" applyProtection="1">
      <alignment horizontal="center" vertical="center"/>
    </xf>
    <xf numFmtId="0" fontId="2" fillId="2" borderId="85" xfId="0" applyFont="1" applyFill="1" applyBorder="1" applyAlignment="1" applyProtection="1">
      <alignment horizontal="left" vertical="top" wrapText="1"/>
    </xf>
    <xf numFmtId="167" fontId="2" fillId="2" borderId="31" xfId="1" applyNumberFormat="1" applyFont="1" applyFill="1" applyBorder="1" applyAlignment="1" applyProtection="1">
      <alignment horizontal="center" vertical="center" wrapText="1"/>
    </xf>
    <xf numFmtId="167" fontId="2" fillId="2" borderId="58" xfId="1" applyNumberFormat="1" applyFont="1" applyFill="1" applyBorder="1" applyAlignment="1" applyProtection="1">
      <alignment horizontal="center" vertical="center" wrapText="1"/>
    </xf>
    <xf numFmtId="0" fontId="2" fillId="2" borderId="242" xfId="0" applyFont="1" applyFill="1" applyBorder="1" applyAlignment="1" applyProtection="1">
      <alignment horizontal="left" vertical="top" wrapText="1"/>
    </xf>
    <xf numFmtId="167" fontId="2" fillId="2" borderId="243" xfId="1" applyNumberFormat="1" applyFont="1" applyFill="1" applyBorder="1" applyAlignment="1" applyProtection="1">
      <alignment horizontal="center" vertical="center" wrapText="1"/>
    </xf>
    <xf numFmtId="167" fontId="2" fillId="2" borderId="65" xfId="1" applyNumberFormat="1" applyFont="1" applyFill="1" applyBorder="1" applyAlignment="1" applyProtection="1">
      <alignment horizontal="center" vertical="center" wrapText="1"/>
    </xf>
    <xf numFmtId="167" fontId="2" fillId="2" borderId="67" xfId="1" applyNumberFormat="1" applyFont="1" applyFill="1" applyBorder="1" applyAlignment="1" applyProtection="1">
      <alignment horizontal="center" vertical="center" wrapText="1"/>
    </xf>
    <xf numFmtId="167" fontId="2" fillId="2" borderId="69" xfId="1" applyNumberFormat="1" applyFont="1" applyFill="1" applyBorder="1" applyAlignment="1" applyProtection="1">
      <alignment horizontal="center" vertical="center" wrapText="1"/>
    </xf>
    <xf numFmtId="167" fontId="2" fillId="2" borderId="70" xfId="1" applyNumberFormat="1" applyFont="1" applyFill="1" applyBorder="1" applyAlignment="1" applyProtection="1">
      <alignment horizontal="center" vertical="center" wrapText="1"/>
    </xf>
    <xf numFmtId="0" fontId="11" fillId="10" borderId="94" xfId="0" applyFont="1" applyFill="1" applyBorder="1" applyAlignment="1" applyProtection="1">
      <alignment horizontal="center" vertical="center"/>
    </xf>
    <xf numFmtId="0" fontId="2" fillId="10" borderId="244" xfId="0" applyFont="1" applyFill="1" applyBorder="1" applyAlignment="1" applyProtection="1">
      <alignment horizontal="center" vertical="center"/>
    </xf>
    <xf numFmtId="0" fontId="11" fillId="10" borderId="245" xfId="0" applyFont="1" applyFill="1" applyBorder="1" applyAlignment="1" applyProtection="1">
      <alignment horizontal="center" vertical="center"/>
    </xf>
    <xf numFmtId="0" fontId="0" fillId="0" borderId="105" xfId="0" applyFont="1" applyBorder="1" applyProtection="1"/>
    <xf numFmtId="0" fontId="2" fillId="10" borderId="246" xfId="0" applyFont="1" applyFill="1" applyBorder="1" applyAlignment="1" applyProtection="1">
      <alignment horizontal="center" vertical="center" wrapText="1"/>
    </xf>
    <xf numFmtId="0" fontId="2" fillId="10" borderId="125" xfId="0" applyFont="1" applyFill="1" applyBorder="1" applyAlignment="1" applyProtection="1">
      <alignment horizontal="center" vertical="center" wrapText="1"/>
    </xf>
    <xf numFmtId="0" fontId="2" fillId="10" borderId="247" xfId="0" applyFont="1" applyFill="1" applyBorder="1" applyAlignment="1" applyProtection="1">
      <alignment horizontal="center" vertical="center" wrapText="1"/>
    </xf>
    <xf numFmtId="0" fontId="0" fillId="0" borderId="213" xfId="0" applyFont="1" applyBorder="1" applyProtection="1"/>
    <xf numFmtId="4" fontId="30" fillId="0" borderId="248" xfId="3" applyNumberFormat="1" applyFont="1" applyFill="1" applyBorder="1" applyAlignment="1" applyProtection="1">
      <alignment horizontal="right" vertical="center"/>
    </xf>
    <xf numFmtId="4" fontId="30" fillId="0" borderId="249" xfId="0" applyNumberFormat="1" applyFont="1" applyBorder="1" applyProtection="1"/>
    <xf numFmtId="0" fontId="11" fillId="4" borderId="94" xfId="0" applyFont="1" applyFill="1" applyBorder="1" applyAlignment="1" applyProtection="1">
      <alignment horizontal="center" vertical="center"/>
    </xf>
    <xf numFmtId="0" fontId="2" fillId="4" borderId="244" xfId="0" applyFont="1" applyFill="1" applyBorder="1" applyAlignment="1" applyProtection="1">
      <alignment horizontal="center" vertical="center"/>
    </xf>
    <xf numFmtId="0" fontId="11" fillId="4" borderId="245" xfId="0" applyFont="1" applyFill="1" applyBorder="1" applyAlignment="1" applyProtection="1">
      <alignment horizontal="center" vertical="center"/>
    </xf>
    <xf numFmtId="0" fontId="2" fillId="4" borderId="246" xfId="0" applyFont="1" applyFill="1" applyBorder="1" applyAlignment="1" applyProtection="1">
      <alignment horizontal="center" vertical="center" wrapText="1"/>
    </xf>
    <xf numFmtId="0" fontId="2" fillId="4" borderId="125" xfId="0" applyFont="1" applyFill="1" applyBorder="1" applyAlignment="1" applyProtection="1">
      <alignment horizontal="center" vertical="center" wrapText="1"/>
    </xf>
    <xf numFmtId="0" fontId="2" fillId="4" borderId="247" xfId="0" applyFont="1" applyFill="1" applyBorder="1" applyAlignment="1" applyProtection="1">
      <alignment horizontal="center" vertical="center" wrapText="1"/>
    </xf>
    <xf numFmtId="0" fontId="2" fillId="2" borderId="254" xfId="0" applyFont="1" applyFill="1" applyBorder="1" applyAlignment="1" applyProtection="1">
      <alignment horizontal="left" vertical="top" wrapText="1"/>
    </xf>
    <xf numFmtId="167" fontId="2" fillId="2" borderId="250" xfId="1" applyNumberFormat="1" applyFont="1" applyFill="1" applyBorder="1" applyAlignment="1" applyProtection="1">
      <alignment horizontal="center" vertical="center" wrapText="1"/>
    </xf>
    <xf numFmtId="167" fontId="2" fillId="2" borderId="250" xfId="1" applyNumberFormat="1" applyFont="1" applyFill="1" applyBorder="1" applyAlignment="1" applyProtection="1">
      <alignment horizontal="right" vertical="center" wrapText="1"/>
    </xf>
    <xf numFmtId="167" fontId="2" fillId="2" borderId="255" xfId="1" applyNumberFormat="1" applyFont="1" applyFill="1" applyBorder="1" applyAlignment="1" applyProtection="1">
      <alignment horizontal="center" vertical="center" wrapText="1"/>
    </xf>
    <xf numFmtId="0" fontId="0" fillId="0" borderId="88" xfId="0" applyFont="1" applyBorder="1" applyAlignment="1" applyProtection="1">
      <alignment horizontal="left" vertical="top" wrapText="1"/>
    </xf>
    <xf numFmtId="167" fontId="0" fillId="2" borderId="255" xfId="1" applyNumberFormat="1" applyFont="1" applyFill="1" applyBorder="1" applyAlignment="1" applyProtection="1">
      <alignment horizontal="center" vertical="center" wrapText="1"/>
    </xf>
    <xf numFmtId="0" fontId="0" fillId="0" borderId="121" xfId="0" applyFont="1" applyBorder="1" applyAlignment="1" applyProtection="1">
      <alignment horizontal="left" vertical="top" wrapText="1"/>
    </xf>
    <xf numFmtId="0" fontId="2" fillId="0" borderId="254" xfId="0" applyFont="1" applyFill="1" applyBorder="1" applyAlignment="1" applyProtection="1">
      <alignment horizontal="center" vertical="top" wrapText="1"/>
    </xf>
    <xf numFmtId="0" fontId="2" fillId="0" borderId="141" xfId="0" applyFont="1" applyBorder="1" applyAlignment="1" applyProtection="1">
      <alignment horizontal="center" vertical="top" wrapText="1"/>
    </xf>
    <xf numFmtId="9" fontId="2" fillId="2" borderId="125" xfId="3" applyFont="1" applyFill="1" applyBorder="1" applyAlignment="1" applyProtection="1">
      <alignment horizontal="center" vertical="center" wrapText="1"/>
    </xf>
    <xf numFmtId="4" fontId="11" fillId="0" borderId="256" xfId="0" applyNumberFormat="1" applyFont="1" applyBorder="1" applyAlignment="1" applyProtection="1">
      <alignment horizontal="right" vertical="center"/>
    </xf>
    <xf numFmtId="4" fontId="11" fillId="0" borderId="257" xfId="0" applyNumberFormat="1" applyFont="1" applyBorder="1" applyProtection="1"/>
    <xf numFmtId="167" fontId="2" fillId="2" borderId="250" xfId="1" applyNumberFormat="1" applyFont="1" applyFill="1" applyBorder="1" applyAlignment="1" applyProtection="1">
      <alignment horizontal="center" wrapText="1"/>
    </xf>
    <xf numFmtId="167" fontId="2" fillId="2" borderId="255" xfId="1" applyNumberFormat="1" applyFont="1" applyFill="1" applyBorder="1" applyAlignment="1" applyProtection="1">
      <alignment horizontal="right" wrapText="1"/>
    </xf>
    <xf numFmtId="167" fontId="0" fillId="2" borderId="255" xfId="1" applyNumberFormat="1" applyFont="1" applyFill="1" applyBorder="1" applyAlignment="1" applyProtection="1">
      <alignment horizontal="right" wrapText="1"/>
    </xf>
    <xf numFmtId="167" fontId="2" fillId="2" borderId="255" xfId="1" applyNumberFormat="1" applyFont="1" applyFill="1" applyBorder="1" applyAlignment="1" applyProtection="1">
      <alignment horizontal="right" vertical="center" wrapText="1"/>
    </xf>
    <xf numFmtId="9" fontId="2" fillId="2" borderId="261" xfId="3" applyFont="1" applyFill="1" applyBorder="1" applyAlignment="1" applyProtection="1">
      <alignment horizontal="center" vertical="center" wrapText="1"/>
    </xf>
    <xf numFmtId="9" fontId="2" fillId="2" borderId="258" xfId="3" applyFont="1" applyFill="1" applyBorder="1" applyAlignment="1" applyProtection="1">
      <alignment horizontal="center" vertical="center" wrapText="1"/>
    </xf>
    <xf numFmtId="9" fontId="2" fillId="2" borderId="262" xfId="3" applyFont="1" applyFill="1" applyBorder="1" applyAlignment="1" applyProtection="1">
      <alignment horizontal="center" vertical="center" wrapText="1"/>
    </xf>
    <xf numFmtId="9" fontId="2" fillId="2" borderId="264" xfId="3" applyFont="1" applyFill="1" applyBorder="1" applyAlignment="1" applyProtection="1">
      <alignment horizontal="center" vertical="center" wrapText="1"/>
    </xf>
    <xf numFmtId="4" fontId="29" fillId="15" borderId="56" xfId="0" applyNumberFormat="1" applyFont="1" applyFill="1" applyBorder="1" applyAlignment="1">
      <alignment horizontal="center" vertical="center"/>
    </xf>
    <xf numFmtId="164" fontId="31" fillId="10" borderId="54" xfId="1" applyFill="1" applyBorder="1" applyAlignment="1" applyProtection="1">
      <alignment horizontal="center" vertical="center"/>
    </xf>
    <xf numFmtId="164" fontId="31" fillId="2" borderId="266" xfId="1" applyFill="1" applyBorder="1" applyAlignment="1" applyProtection="1">
      <alignment horizontal="center" vertical="center"/>
    </xf>
    <xf numFmtId="174" fontId="0" fillId="6" borderId="53" xfId="1" applyNumberFormat="1" applyFont="1" applyFill="1" applyBorder="1" applyAlignment="1" applyProtection="1">
      <alignment horizontal="center" vertical="top" wrapText="1"/>
    </xf>
    <xf numFmtId="174" fontId="29" fillId="0" borderId="58" xfId="0" applyNumberFormat="1" applyFont="1" applyBorder="1" applyAlignment="1">
      <alignment horizontal="center" vertical="center"/>
    </xf>
    <xf numFmtId="3" fontId="29" fillId="0" borderId="55" xfId="0" applyNumberFormat="1" applyFont="1" applyBorder="1" applyAlignment="1">
      <alignment horizontal="justify" vertical="center" wrapText="1"/>
    </xf>
    <xf numFmtId="174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4" applyNumberFormat="1" applyFont="1" applyFill="1" applyBorder="1" applyAlignment="1" applyProtection="1">
      <alignment horizontal="center" vertical="center" wrapText="1"/>
      <protection locked="0"/>
    </xf>
    <xf numFmtId="174" fontId="0" fillId="0" borderId="18" xfId="1" applyNumberFormat="1" applyFont="1" applyFill="1" applyBorder="1" applyAlignment="1" applyProtection="1">
      <alignment horizontal="center" vertical="center" wrapText="1"/>
    </xf>
    <xf numFmtId="164" fontId="2" fillId="2" borderId="56" xfId="0" applyNumberFormat="1" applyFont="1" applyFill="1" applyBorder="1" applyAlignment="1">
      <alignment horizontal="center" vertical="center"/>
    </xf>
    <xf numFmtId="164" fontId="31" fillId="10" borderId="56" xfId="1" applyFill="1" applyBorder="1" applyAlignment="1" applyProtection="1">
      <alignment horizontal="center" vertical="center"/>
    </xf>
    <xf numFmtId="164" fontId="31" fillId="10" borderId="266" xfId="1" applyFill="1" applyBorder="1" applyAlignment="1" applyProtection="1">
      <alignment horizontal="center" vertical="center"/>
    </xf>
    <xf numFmtId="164" fontId="31" fillId="2" borderId="267" xfId="1" applyFill="1" applyBorder="1" applyAlignment="1" applyProtection="1">
      <alignment horizontal="center" vertical="center"/>
    </xf>
    <xf numFmtId="164" fontId="31" fillId="2" borderId="268" xfId="1" applyFill="1" applyBorder="1" applyAlignment="1" applyProtection="1">
      <alignment horizontal="center" vertical="center"/>
    </xf>
    <xf numFmtId="0" fontId="2" fillId="13" borderId="19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 wrapText="1"/>
    </xf>
    <xf numFmtId="174" fontId="2" fillId="19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1" applyNumberFormat="1" applyFont="1" applyFill="1" applyBorder="1" applyAlignment="1" applyProtection="1">
      <alignment horizontal="center" vertical="center" wrapText="1"/>
    </xf>
    <xf numFmtId="174" fontId="2" fillId="2" borderId="18" xfId="1" applyNumberFormat="1" applyFont="1" applyFill="1" applyBorder="1" applyAlignment="1" applyProtection="1">
      <alignment horizontal="center" vertical="center" wrapText="1"/>
    </xf>
    <xf numFmtId="174" fontId="2" fillId="2" borderId="31" xfId="1" applyNumberFormat="1" applyFont="1" applyFill="1" applyBorder="1" applyAlignment="1" applyProtection="1">
      <alignment horizontal="center" vertical="center" wrapText="1"/>
    </xf>
    <xf numFmtId="0" fontId="2" fillId="2" borderId="31" xfId="1" applyNumberFormat="1" applyFont="1" applyFill="1" applyBorder="1" applyAlignment="1" applyProtection="1">
      <alignment horizontal="center" vertical="center" wrapText="1"/>
    </xf>
    <xf numFmtId="167" fontId="2" fillId="14" borderId="19" xfId="0" applyNumberFormat="1" applyFont="1" applyFill="1" applyBorder="1" applyAlignment="1">
      <alignment horizontal="center" vertical="center"/>
    </xf>
    <xf numFmtId="164" fontId="31" fillId="10" borderId="268" xfId="1" applyFill="1" applyBorder="1" applyAlignment="1" applyProtection="1">
      <alignment horizontal="center" vertical="center"/>
    </xf>
    <xf numFmtId="164" fontId="31" fillId="2" borderId="269" xfId="1" applyFill="1" applyBorder="1" applyAlignment="1" applyProtection="1">
      <alignment horizontal="center" vertical="center"/>
    </xf>
    <xf numFmtId="164" fontId="31" fillId="10" borderId="269" xfId="1" applyFill="1" applyBorder="1" applyAlignment="1" applyProtection="1">
      <alignment horizontal="center" vertical="center"/>
    </xf>
    <xf numFmtId="167" fontId="2" fillId="14" borderId="19" xfId="1" applyNumberFormat="1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0" fillId="0" borderId="270" xfId="0" applyBorder="1" applyAlignment="1">
      <alignment horizontal="left" vertical="top"/>
    </xf>
    <xf numFmtId="0" fontId="0" fillId="0" borderId="271" xfId="0" applyBorder="1" applyAlignment="1">
      <alignment horizontal="left" vertical="top"/>
    </xf>
    <xf numFmtId="0" fontId="0" fillId="0" borderId="272" xfId="0" applyBorder="1" applyAlignment="1">
      <alignment horizontal="left" vertical="top"/>
    </xf>
    <xf numFmtId="0" fontId="0" fillId="0" borderId="71" xfId="0" applyBorder="1" applyAlignment="1">
      <alignment horizontal="left"/>
    </xf>
    <xf numFmtId="0" fontId="0" fillId="0" borderId="72" xfId="0" applyBorder="1" applyAlignment="1">
      <alignment horizontal="left"/>
    </xf>
    <xf numFmtId="0" fontId="0" fillId="0" borderId="79" xfId="0" applyBorder="1" applyAlignment="1">
      <alignment horizontal="left"/>
    </xf>
    <xf numFmtId="0" fontId="2" fillId="0" borderId="73" xfId="0" applyFont="1" applyFill="1" applyBorder="1" applyAlignment="1" applyProtection="1">
      <alignment horizontal="center"/>
    </xf>
    <xf numFmtId="167" fontId="0" fillId="0" borderId="51" xfId="1" applyNumberFormat="1" applyFont="1" applyFill="1" applyBorder="1" applyAlignment="1" applyProtection="1">
      <alignment horizontal="center"/>
    </xf>
    <xf numFmtId="167" fontId="0" fillId="14" borderId="53" xfId="1" applyNumberFormat="1" applyFont="1" applyFill="1" applyBorder="1" applyAlignment="1" applyProtection="1">
      <alignment vertical="center"/>
    </xf>
    <xf numFmtId="167" fontId="0" fillId="4" borderId="53" xfId="1" applyNumberFormat="1" applyFont="1" applyFill="1" applyBorder="1" applyAlignment="1" applyProtection="1">
      <alignment vertical="center"/>
    </xf>
    <xf numFmtId="167" fontId="0" fillId="20" borderId="53" xfId="1" applyNumberFormat="1" applyFont="1" applyFill="1" applyBorder="1" applyAlignment="1" applyProtection="1">
      <alignment vertical="center"/>
    </xf>
    <xf numFmtId="167" fontId="0" fillId="6" borderId="53" xfId="1" applyNumberFormat="1" applyFont="1" applyFill="1" applyBorder="1" applyAlignment="1" applyProtection="1">
      <alignment vertical="center"/>
    </xf>
    <xf numFmtId="0" fontId="2" fillId="10" borderId="29" xfId="0" applyFont="1" applyFill="1" applyBorder="1" applyAlignment="1" applyProtection="1">
      <alignment horizontal="center"/>
    </xf>
    <xf numFmtId="167" fontId="0" fillId="0" borderId="16" xfId="1" applyNumberFormat="1" applyFont="1" applyFill="1" applyBorder="1" applyAlignment="1" applyProtection="1">
      <alignment horizontal="center"/>
    </xf>
    <xf numFmtId="167" fontId="0" fillId="4" borderId="19" xfId="1" applyNumberFormat="1" applyFont="1" applyFill="1" applyBorder="1" applyAlignment="1" applyProtection="1">
      <alignment vertical="center"/>
    </xf>
    <xf numFmtId="167" fontId="0" fillId="20" borderId="19" xfId="1" applyNumberFormat="1" applyFont="1" applyFill="1" applyBorder="1" applyAlignment="1" applyProtection="1">
      <alignment vertical="center"/>
    </xf>
    <xf numFmtId="0" fontId="2" fillId="10" borderId="73" xfId="0" applyFont="1" applyFill="1" applyBorder="1" applyAlignment="1" applyProtection="1">
      <alignment horizontal="center"/>
    </xf>
    <xf numFmtId="0" fontId="2" fillId="11" borderId="73" xfId="0" applyFont="1" applyFill="1" applyBorder="1" applyAlignment="1" applyProtection="1">
      <alignment horizontal="center"/>
    </xf>
    <xf numFmtId="167" fontId="0" fillId="2" borderId="53" xfId="1" applyNumberFormat="1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center"/>
    </xf>
    <xf numFmtId="167" fontId="0" fillId="29" borderId="18" xfId="1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top"/>
    </xf>
    <xf numFmtId="0" fontId="45" fillId="0" borderId="0" xfId="0" applyFont="1" applyProtection="1"/>
    <xf numFmtId="167" fontId="45" fillId="0" borderId="0" xfId="0" applyNumberFormat="1" applyFont="1" applyProtection="1"/>
    <xf numFmtId="181" fontId="45" fillId="0" borderId="0" xfId="0" applyNumberFormat="1" applyFont="1" applyProtection="1"/>
    <xf numFmtId="182" fontId="2" fillId="2" borderId="259" xfId="3" applyNumberFormat="1" applyFont="1" applyFill="1" applyBorder="1" applyAlignment="1" applyProtection="1">
      <alignment horizontal="center" vertical="center" wrapText="1"/>
    </xf>
    <xf numFmtId="182" fontId="2" fillId="2" borderId="260" xfId="3" applyNumberFormat="1" applyFont="1" applyFill="1" applyBorder="1" applyAlignment="1" applyProtection="1">
      <alignment horizontal="center" vertical="center" wrapText="1"/>
    </xf>
    <xf numFmtId="182" fontId="2" fillId="2" borderId="263" xfId="3" applyNumberFormat="1" applyFont="1" applyFill="1" applyBorder="1" applyAlignment="1" applyProtection="1">
      <alignment horizontal="center" vertical="center" wrapText="1"/>
    </xf>
    <xf numFmtId="182" fontId="2" fillId="2" borderId="265" xfId="3" applyNumberFormat="1" applyFont="1" applyFill="1" applyBorder="1" applyAlignment="1" applyProtection="1">
      <alignment horizontal="center" vertical="center" wrapText="1"/>
    </xf>
    <xf numFmtId="182" fontId="2" fillId="2" borderId="273" xfId="3" applyNumberFormat="1" applyFont="1" applyFill="1" applyBorder="1" applyAlignment="1" applyProtection="1">
      <alignment horizontal="center" vertical="center" wrapText="1"/>
    </xf>
    <xf numFmtId="182" fontId="2" fillId="2" borderId="264" xfId="3" applyNumberFormat="1" applyFont="1" applyFill="1" applyBorder="1" applyAlignment="1" applyProtection="1">
      <alignment horizontal="center" vertical="center" wrapText="1"/>
    </xf>
    <xf numFmtId="0" fontId="2" fillId="0" borderId="66" xfId="0" applyFont="1" applyBorder="1" applyAlignment="1" applyProtection="1">
      <alignment horizontal="left" vertical="center" wrapText="1"/>
    </xf>
    <xf numFmtId="0" fontId="2" fillId="0" borderId="68" xfId="0" applyFont="1" applyBorder="1" applyAlignment="1" applyProtection="1">
      <alignment horizontal="left" vertical="center" wrapText="1"/>
    </xf>
    <xf numFmtId="0" fontId="2" fillId="0" borderId="88" xfId="0" applyFont="1" applyBorder="1" applyAlignment="1" applyProtection="1">
      <alignment horizontal="left" vertical="center" wrapText="1"/>
    </xf>
    <xf numFmtId="0" fontId="2" fillId="0" borderId="141" xfId="0" applyFont="1" applyBorder="1" applyAlignment="1" applyProtection="1">
      <alignment horizontal="left" vertical="center" wrapText="1"/>
    </xf>
    <xf numFmtId="167" fontId="2" fillId="2" borderId="86" xfId="1" applyNumberFormat="1" applyFont="1" applyFill="1" applyBorder="1" applyAlignment="1" applyProtection="1">
      <alignment horizontal="center" vertical="center" wrapText="1"/>
    </xf>
    <xf numFmtId="167" fontId="2" fillId="2" borderId="125" xfId="1" applyNumberFormat="1" applyFont="1" applyFill="1" applyBorder="1" applyAlignment="1" applyProtection="1">
      <alignment horizontal="center" vertical="center" wrapText="1"/>
    </xf>
    <xf numFmtId="167" fontId="2" fillId="2" borderId="87" xfId="1" applyNumberFormat="1" applyFont="1" applyFill="1" applyBorder="1" applyAlignment="1" applyProtection="1">
      <alignment horizontal="center" vertical="center" wrapText="1"/>
    </xf>
    <xf numFmtId="167" fontId="2" fillId="2" borderId="89" xfId="1" applyNumberFormat="1" applyFont="1" applyFill="1" applyBorder="1" applyAlignment="1" applyProtection="1">
      <alignment horizontal="center" vertical="center" wrapText="1"/>
    </xf>
    <xf numFmtId="167" fontId="2" fillId="2" borderId="144" xfId="1" applyNumberFormat="1" applyFont="1" applyFill="1" applyBorder="1" applyAlignment="1" applyProtection="1">
      <alignment horizontal="center" vertical="center" wrapText="1"/>
    </xf>
    <xf numFmtId="0" fontId="0" fillId="0" borderId="274" xfId="0" applyFont="1" applyBorder="1" applyAlignment="1" applyProtection="1">
      <alignment horizontal="left" vertical="top" wrapText="1"/>
    </xf>
    <xf numFmtId="182" fontId="2" fillId="2" borderId="275" xfId="3" applyNumberFormat="1" applyFont="1" applyFill="1" applyBorder="1" applyAlignment="1" applyProtection="1">
      <alignment horizontal="center" vertical="center" wrapText="1"/>
    </xf>
    <xf numFmtId="167" fontId="2" fillId="2" borderId="134" xfId="1" applyNumberFormat="1" applyFont="1" applyFill="1" applyBorder="1" applyAlignment="1" applyProtection="1">
      <alignment horizontal="center" vertical="center" wrapText="1"/>
    </xf>
    <xf numFmtId="167" fontId="31" fillId="2" borderId="18" xfId="1" applyNumberFormat="1" applyFont="1" applyFill="1" applyBorder="1" applyAlignment="1" applyProtection="1">
      <alignment horizontal="center" vertical="center" wrapText="1"/>
    </xf>
    <xf numFmtId="167" fontId="31" fillId="2" borderId="134" xfId="1" applyNumberFormat="1" applyFont="1" applyFill="1" applyBorder="1" applyAlignment="1" applyProtection="1">
      <alignment horizontal="center" vertical="center" wrapText="1"/>
    </xf>
    <xf numFmtId="167" fontId="0" fillId="2" borderId="18" xfId="1" applyNumberFormat="1" applyFont="1" applyFill="1" applyBorder="1" applyAlignment="1" applyProtection="1">
      <alignment horizontal="center" wrapText="1"/>
    </xf>
    <xf numFmtId="167" fontId="0" fillId="0" borderId="21" xfId="1" applyNumberFormat="1" applyFont="1" applyFill="1" applyBorder="1" applyAlignment="1" applyProtection="1">
      <alignment horizontal="center" wrapText="1"/>
      <protection locked="0"/>
    </xf>
    <xf numFmtId="167" fontId="2" fillId="2" borderId="24" xfId="1" applyNumberFormat="1" applyFont="1" applyFill="1" applyBorder="1" applyAlignment="1" applyProtection="1">
      <alignment horizontal="center" vertical="center" wrapText="1"/>
    </xf>
    <xf numFmtId="167" fontId="2" fillId="2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  <protection locked="0"/>
    </xf>
    <xf numFmtId="165" fontId="7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/>
    </xf>
    <xf numFmtId="3" fontId="2" fillId="4" borderId="45" xfId="0" applyNumberFormat="1" applyFont="1" applyFill="1" applyBorder="1" applyAlignment="1">
      <alignment horizontal="center" vertical="center"/>
    </xf>
    <xf numFmtId="3" fontId="2" fillId="4" borderId="13" xfId="1" applyNumberFormat="1" applyFont="1" applyFill="1" applyBorder="1" applyAlignment="1" applyProtection="1">
      <alignment horizontal="center" vertical="center"/>
    </xf>
    <xf numFmtId="3" fontId="2" fillId="4" borderId="11" xfId="0" applyNumberFormat="1" applyFont="1" applyFill="1" applyBorder="1" applyAlignment="1">
      <alignment horizontal="center" vertical="center"/>
    </xf>
    <xf numFmtId="3" fontId="2" fillId="4" borderId="45" xfId="0" applyNumberFormat="1" applyFont="1" applyFill="1" applyBorder="1" applyAlignment="1">
      <alignment horizontal="left" vertical="center" wrapText="1"/>
    </xf>
    <xf numFmtId="3" fontId="2" fillId="4" borderId="23" xfId="1" applyNumberFormat="1" applyFont="1" applyFill="1" applyBorder="1" applyAlignment="1" applyProtection="1">
      <alignment horizontal="center" vertical="center"/>
    </xf>
    <xf numFmtId="3" fontId="22" fillId="0" borderId="128" xfId="0" applyNumberFormat="1" applyFont="1" applyFill="1" applyBorder="1" applyAlignment="1">
      <alignment horizontal="left" vertical="top" wrapText="1"/>
    </xf>
    <xf numFmtId="3" fontId="22" fillId="0" borderId="131" xfId="0" applyNumberFormat="1" applyFont="1" applyFill="1" applyBorder="1" applyAlignment="1">
      <alignment horizontal="left" vertical="top" wrapText="1"/>
    </xf>
    <xf numFmtId="3" fontId="35" fillId="0" borderId="130" xfId="0" applyNumberFormat="1" applyFont="1" applyFill="1" applyBorder="1" applyAlignment="1" applyProtection="1">
      <alignment horizontal="left" vertical="top" wrapText="1"/>
      <protection locked="0"/>
    </xf>
    <xf numFmtId="3" fontId="35" fillId="0" borderId="132" xfId="0" applyNumberFormat="1" applyFont="1" applyFill="1" applyBorder="1" applyAlignment="1" applyProtection="1">
      <alignment horizontal="left" vertical="top" wrapText="1"/>
      <protection locked="0"/>
    </xf>
    <xf numFmtId="3" fontId="35" fillId="0" borderId="135" xfId="0" applyNumberFormat="1" applyFont="1" applyFill="1" applyBorder="1" applyAlignment="1" applyProtection="1">
      <alignment horizontal="left" vertical="top" wrapText="1"/>
      <protection locked="0"/>
    </xf>
    <xf numFmtId="3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 vertical="center" wrapText="1"/>
    </xf>
    <xf numFmtId="3" fontId="2" fillId="4" borderId="14" xfId="0" applyNumberFormat="1" applyFont="1" applyFill="1" applyBorder="1" applyAlignment="1">
      <alignment horizontal="center" vertical="center"/>
    </xf>
    <xf numFmtId="3" fontId="2" fillId="4" borderId="126" xfId="0" applyNumberFormat="1" applyFont="1" applyFill="1" applyBorder="1" applyAlignment="1">
      <alignment horizontal="center" vertical="center"/>
    </xf>
    <xf numFmtId="3" fontId="2" fillId="4" borderId="15" xfId="0" applyNumberFormat="1" applyFont="1" applyFill="1" applyBorder="1" applyAlignment="1">
      <alignment horizontal="center" vertical="center"/>
    </xf>
    <xf numFmtId="3" fontId="2" fillId="4" borderId="106" xfId="0" applyNumberFormat="1" applyFont="1" applyFill="1" applyBorder="1" applyAlignment="1">
      <alignment horizontal="center" vertical="center"/>
    </xf>
    <xf numFmtId="3" fontId="2" fillId="4" borderId="16" xfId="0" applyNumberFormat="1" applyFont="1" applyFill="1" applyBorder="1" applyAlignment="1">
      <alignment horizontal="center" vertical="center" wrapText="1"/>
    </xf>
    <xf numFmtId="3" fontId="2" fillId="4" borderId="127" xfId="0" applyNumberFormat="1" applyFont="1" applyFill="1" applyBorder="1" applyAlignment="1">
      <alignment horizontal="center" vertical="center" wrapText="1"/>
    </xf>
    <xf numFmtId="3" fontId="22" fillId="0" borderId="85" xfId="0" applyNumberFormat="1" applyFont="1" applyFill="1" applyBorder="1" applyAlignment="1">
      <alignment horizontal="left" vertical="top" wrapText="1"/>
    </xf>
    <xf numFmtId="3" fontId="22" fillId="0" borderId="138" xfId="0" applyNumberFormat="1" applyFont="1" applyFill="1" applyBorder="1" applyAlignment="1">
      <alignment horizontal="left" vertical="top" wrapText="1"/>
    </xf>
    <xf numFmtId="3" fontId="19" fillId="0" borderId="137" xfId="0" applyNumberFormat="1" applyFont="1" applyFill="1" applyBorder="1" applyAlignment="1" applyProtection="1">
      <alignment horizontal="left" vertical="top" wrapText="1"/>
      <protection locked="0"/>
    </xf>
    <xf numFmtId="3" fontId="19" fillId="0" borderId="139" xfId="0" applyNumberFormat="1" applyFont="1" applyFill="1" applyBorder="1" applyAlignment="1" applyProtection="1">
      <alignment horizontal="left" vertical="top" wrapText="1"/>
      <protection locked="0"/>
    </xf>
    <xf numFmtId="3" fontId="19" fillId="0" borderId="140" xfId="0" applyNumberFormat="1" applyFont="1" applyFill="1" applyBorder="1" applyAlignment="1" applyProtection="1">
      <alignment horizontal="left" vertical="top" wrapText="1"/>
      <protection locked="0"/>
    </xf>
    <xf numFmtId="3" fontId="19" fillId="0" borderId="130" xfId="0" applyNumberFormat="1" applyFont="1" applyFill="1" applyBorder="1" applyAlignment="1" applyProtection="1">
      <alignment horizontal="left" vertical="top" wrapText="1"/>
      <protection locked="0"/>
    </xf>
    <xf numFmtId="3" fontId="19" fillId="0" borderId="132" xfId="0" applyNumberFormat="1" applyFont="1" applyFill="1" applyBorder="1" applyAlignment="1" applyProtection="1">
      <alignment horizontal="left" vertical="top" wrapText="1"/>
      <protection locked="0"/>
    </xf>
    <xf numFmtId="3" fontId="19" fillId="0" borderId="135" xfId="0" applyNumberFormat="1" applyFont="1" applyFill="1" applyBorder="1" applyAlignment="1" applyProtection="1">
      <alignment horizontal="left" vertical="top" wrapText="1"/>
      <protection locked="0"/>
    </xf>
    <xf numFmtId="3" fontId="22" fillId="0" borderId="120" xfId="0" applyNumberFormat="1" applyFont="1" applyFill="1" applyBorder="1" applyAlignment="1">
      <alignment horizontal="left" vertical="top" wrapText="1"/>
    </xf>
    <xf numFmtId="3" fontId="22" fillId="0" borderId="121" xfId="0" applyNumberFormat="1" applyFont="1" applyFill="1" applyBorder="1" applyAlignment="1">
      <alignment horizontal="left" vertical="top" wrapText="1"/>
    </xf>
    <xf numFmtId="3" fontId="22" fillId="0" borderId="124" xfId="0" applyNumberFormat="1" applyFont="1" applyFill="1" applyBorder="1" applyAlignment="1">
      <alignment horizontal="left" vertical="top" wrapText="1"/>
    </xf>
    <xf numFmtId="3" fontId="19" fillId="0" borderId="142" xfId="0" applyNumberFormat="1" applyFont="1" applyFill="1" applyBorder="1" applyAlignment="1" applyProtection="1">
      <alignment horizontal="left" vertical="top" wrapText="1"/>
      <protection locked="0"/>
    </xf>
    <xf numFmtId="3" fontId="19" fillId="0" borderId="143" xfId="0" applyNumberFormat="1" applyFont="1" applyFill="1" applyBorder="1" applyAlignment="1" applyProtection="1">
      <alignment horizontal="left" vertical="top" wrapText="1"/>
      <protection locked="0"/>
    </xf>
    <xf numFmtId="3" fontId="19" fillId="0" borderId="144" xfId="0" applyNumberFormat="1" applyFont="1" applyFill="1" applyBorder="1" applyAlignment="1" applyProtection="1">
      <alignment horizontal="left" vertical="top" wrapText="1"/>
      <protection locked="0"/>
    </xf>
    <xf numFmtId="3" fontId="2" fillId="4" borderId="161" xfId="1" applyNumberFormat="1" applyFont="1" applyFill="1" applyBorder="1" applyAlignment="1" applyProtection="1">
      <alignment horizontal="center" vertical="center"/>
    </xf>
    <xf numFmtId="3" fontId="2" fillId="4" borderId="164" xfId="0" applyNumberFormat="1" applyFont="1" applyFill="1" applyBorder="1" applyAlignment="1">
      <alignment horizontal="center" vertical="center" wrapText="1"/>
    </xf>
    <xf numFmtId="3" fontId="2" fillId="4" borderId="165" xfId="0" applyNumberFormat="1" applyFont="1" applyFill="1" applyBorder="1" applyAlignment="1">
      <alignment horizontal="center" vertical="center" wrapText="1"/>
    </xf>
    <xf numFmtId="3" fontId="2" fillId="4" borderId="87" xfId="1" applyNumberFormat="1" applyFont="1" applyFill="1" applyBorder="1" applyAlignment="1" applyProtection="1">
      <alignment horizontal="center" vertical="center"/>
    </xf>
    <xf numFmtId="3" fontId="2" fillId="0" borderId="44" xfId="0" applyNumberFormat="1" applyFont="1" applyFill="1" applyBorder="1" applyAlignment="1">
      <alignment horizontal="left" vertical="top" wrapText="1"/>
    </xf>
    <xf numFmtId="3" fontId="2" fillId="0" borderId="9" xfId="0" applyNumberFormat="1" applyFont="1" applyFill="1" applyBorder="1" applyAlignment="1">
      <alignment horizontal="left" vertical="top" wrapText="1"/>
    </xf>
    <xf numFmtId="3" fontId="2" fillId="4" borderId="162" xfId="0" applyNumberFormat="1" applyFont="1" applyFill="1" applyBorder="1" applyAlignment="1">
      <alignment horizontal="center" vertical="center"/>
    </xf>
    <xf numFmtId="3" fontId="2" fillId="4" borderId="160" xfId="0" applyNumberFormat="1" applyFont="1" applyFill="1" applyBorder="1" applyAlignment="1">
      <alignment horizontal="left" vertical="center" wrapText="1"/>
    </xf>
    <xf numFmtId="3" fontId="2" fillId="4" borderId="94" xfId="1" applyNumberFormat="1" applyFont="1" applyFill="1" applyBorder="1" applyAlignment="1" applyProtection="1">
      <alignment horizontal="center" vertical="center"/>
    </xf>
    <xf numFmtId="3" fontId="2" fillId="4" borderId="153" xfId="0" applyNumberFormat="1" applyFont="1" applyFill="1" applyBorder="1" applyAlignment="1">
      <alignment horizontal="center" vertical="center"/>
    </xf>
    <xf numFmtId="3" fontId="2" fillId="4" borderId="156" xfId="0" applyNumberFormat="1" applyFont="1" applyFill="1" applyBorder="1" applyAlignment="1">
      <alignment horizontal="center" vertical="center"/>
    </xf>
    <xf numFmtId="3" fontId="2" fillId="4" borderId="154" xfId="0" applyNumberFormat="1" applyFont="1" applyFill="1" applyBorder="1" applyAlignment="1">
      <alignment horizontal="center" vertical="center"/>
    </xf>
    <xf numFmtId="3" fontId="2" fillId="4" borderId="157" xfId="0" applyNumberFormat="1" applyFont="1" applyFill="1" applyBorder="1" applyAlignment="1">
      <alignment horizontal="center" vertical="center"/>
    </xf>
    <xf numFmtId="3" fontId="2" fillId="4" borderId="155" xfId="0" applyNumberFormat="1" applyFont="1" applyFill="1" applyBorder="1" applyAlignment="1">
      <alignment horizontal="center" vertical="center" wrapText="1"/>
    </xf>
    <xf numFmtId="3" fontId="2" fillId="4" borderId="158" xfId="0" applyNumberFormat="1" applyFont="1" applyFill="1" applyBorder="1" applyAlignment="1">
      <alignment horizontal="center" vertical="center" wrapText="1"/>
    </xf>
    <xf numFmtId="3" fontId="2" fillId="4" borderId="128" xfId="0" applyNumberFormat="1" applyFont="1" applyFill="1" applyBorder="1" applyAlignment="1">
      <alignment horizontal="center" vertical="center"/>
    </xf>
    <xf numFmtId="3" fontId="2" fillId="4" borderId="160" xfId="0" applyNumberFormat="1" applyFont="1" applyFill="1" applyBorder="1" applyAlignment="1">
      <alignment horizontal="center" vertical="center"/>
    </xf>
    <xf numFmtId="3" fontId="22" fillId="0" borderId="85" xfId="0" applyNumberFormat="1" applyFont="1" applyBorder="1" applyAlignment="1">
      <alignment horizontal="left" vertical="top" wrapText="1"/>
    </xf>
    <xf numFmtId="3" fontId="22" fillId="0" borderId="152" xfId="0" applyNumberFormat="1" applyFont="1" applyBorder="1" applyAlignment="1">
      <alignment horizontal="left" vertical="top" wrapText="1"/>
    </xf>
    <xf numFmtId="3" fontId="19" fillId="0" borderId="87" xfId="0" applyNumberFormat="1" applyFont="1" applyBorder="1" applyAlignment="1" applyProtection="1">
      <alignment horizontal="left" vertical="top" wrapText="1"/>
      <protection locked="0"/>
    </xf>
    <xf numFmtId="3" fontId="19" fillId="0" borderId="122" xfId="0" applyNumberFormat="1" applyFont="1" applyBorder="1" applyAlignment="1" applyProtection="1">
      <alignment horizontal="left" vertical="top" wrapText="1"/>
      <protection locked="0"/>
    </xf>
    <xf numFmtId="3" fontId="2" fillId="4" borderId="160" xfId="0" applyNumberFormat="1" applyFont="1" applyFill="1" applyBorder="1" applyAlignment="1">
      <alignment horizontal="center" vertical="center" wrapText="1"/>
    </xf>
    <xf numFmtId="3" fontId="2" fillId="4" borderId="163" xfId="0" applyNumberFormat="1" applyFont="1" applyFill="1" applyBorder="1" applyAlignment="1">
      <alignment horizontal="center" vertical="center" wrapText="1"/>
    </xf>
    <xf numFmtId="3" fontId="22" fillId="8" borderId="90" xfId="0" applyNumberFormat="1" applyFont="1" applyFill="1" applyBorder="1" applyAlignment="1">
      <alignment horizontal="left" vertical="top" wrapText="1"/>
    </xf>
    <xf numFmtId="3" fontId="21" fillId="0" borderId="174" xfId="0" applyNumberFormat="1" applyFont="1" applyBorder="1" applyAlignment="1" applyProtection="1">
      <alignment horizontal="left" vertical="top" wrapText="1"/>
      <protection locked="0"/>
    </xf>
    <xf numFmtId="3" fontId="21" fillId="0" borderId="175" xfId="0" applyNumberFormat="1" applyFont="1" applyBorder="1" applyAlignment="1" applyProtection="1">
      <alignment horizontal="left" vertical="top" wrapText="1"/>
      <protection locked="0"/>
    </xf>
    <xf numFmtId="3" fontId="21" fillId="0" borderId="176" xfId="0" applyNumberFormat="1" applyFont="1" applyBorder="1" applyAlignment="1" applyProtection="1">
      <alignment horizontal="left" vertical="top" wrapText="1"/>
      <protection locked="0"/>
    </xf>
    <xf numFmtId="3" fontId="22" fillId="0" borderId="172" xfId="0" applyNumberFormat="1" applyFont="1" applyBorder="1" applyAlignment="1">
      <alignment horizontal="left" vertical="top" wrapText="1"/>
    </xf>
    <xf numFmtId="3" fontId="21" fillId="0" borderId="177" xfId="0" applyNumberFormat="1" applyFont="1" applyFill="1" applyBorder="1" applyAlignment="1" applyProtection="1">
      <alignment horizontal="left" vertical="top" wrapText="1"/>
      <protection locked="0"/>
    </xf>
    <xf numFmtId="3" fontId="21" fillId="0" borderId="178" xfId="0" applyNumberFormat="1" applyFont="1" applyFill="1" applyBorder="1" applyAlignment="1" applyProtection="1">
      <alignment horizontal="left" vertical="top" wrapText="1"/>
      <protection locked="0"/>
    </xf>
    <xf numFmtId="3" fontId="21" fillId="0" borderId="173" xfId="0" applyNumberFormat="1" applyFont="1" applyFill="1" applyBorder="1" applyAlignment="1" applyProtection="1">
      <alignment horizontal="left" vertical="top" wrapText="1"/>
      <protection locked="0"/>
    </xf>
    <xf numFmtId="3" fontId="21" fillId="0" borderId="179" xfId="0" applyNumberFormat="1" applyFont="1" applyFill="1" applyBorder="1" applyAlignment="1" applyProtection="1">
      <alignment horizontal="left" vertical="top" wrapText="1"/>
      <protection locked="0"/>
    </xf>
    <xf numFmtId="3" fontId="2" fillId="4" borderId="57" xfId="0" applyNumberFormat="1" applyFont="1" applyFill="1" applyBorder="1" applyAlignment="1">
      <alignment horizontal="center" vertical="top" wrapText="1"/>
    </xf>
    <xf numFmtId="3" fontId="2" fillId="4" borderId="73" xfId="0" applyNumberFormat="1" applyFont="1" applyFill="1" applyBorder="1" applyAlignment="1">
      <alignment horizontal="center" vertical="top" wrapText="1"/>
    </xf>
    <xf numFmtId="3" fontId="2" fillId="0" borderId="5" xfId="0" applyNumberFormat="1" applyFont="1" applyFill="1" applyBorder="1" applyAlignment="1">
      <alignment horizontal="left" vertical="top" wrapText="1"/>
    </xf>
    <xf numFmtId="3" fontId="2" fillId="0" borderId="6" xfId="0" applyNumberFormat="1" applyFont="1" applyFill="1" applyBorder="1" applyAlignment="1">
      <alignment horizontal="left" vertical="top" wrapText="1"/>
    </xf>
    <xf numFmtId="3" fontId="2" fillId="4" borderId="45" xfId="0" applyNumberFormat="1" applyFont="1" applyFill="1" applyBorder="1" applyAlignment="1">
      <alignment horizontal="center" vertical="center" wrapText="1"/>
    </xf>
    <xf numFmtId="3" fontId="2" fillId="4" borderId="52" xfId="0" applyNumberFormat="1" applyFont="1" applyFill="1" applyBorder="1" applyAlignment="1">
      <alignment horizontal="center" vertical="center" wrapText="1"/>
    </xf>
    <xf numFmtId="3" fontId="21" fillId="0" borderId="179" xfId="0" applyNumberFormat="1" applyFont="1" applyBorder="1" applyAlignment="1" applyProtection="1">
      <alignment horizontal="left" vertical="top" wrapText="1"/>
      <protection locked="0"/>
    </xf>
    <xf numFmtId="3" fontId="21" fillId="0" borderId="89" xfId="0" applyNumberFormat="1" applyFont="1" applyBorder="1" applyAlignment="1" applyProtection="1">
      <alignment horizontal="left" vertical="top" wrapText="1"/>
      <protection locked="0"/>
    </xf>
    <xf numFmtId="3" fontId="22" fillId="0" borderId="90" xfId="0" applyNumberFormat="1" applyFont="1" applyFill="1" applyBorder="1" applyAlignment="1">
      <alignment horizontal="left" vertical="top" wrapText="1"/>
    </xf>
    <xf numFmtId="3" fontId="19" fillId="0" borderId="173" xfId="0" applyNumberFormat="1" applyFont="1" applyBorder="1" applyAlignment="1" applyProtection="1">
      <alignment horizontal="left" vertical="top" wrapText="1"/>
      <protection locked="0"/>
    </xf>
    <xf numFmtId="3" fontId="22" fillId="0" borderId="184" xfId="0" applyNumberFormat="1" applyFont="1" applyBorder="1" applyAlignment="1">
      <alignment horizontal="left" vertical="top" wrapText="1"/>
    </xf>
    <xf numFmtId="3" fontId="22" fillId="0" borderId="81" xfId="0" applyNumberFormat="1" applyFont="1" applyBorder="1" applyAlignment="1">
      <alignment horizontal="left" vertical="top" wrapText="1"/>
    </xf>
    <xf numFmtId="3" fontId="22" fillId="0" borderId="185" xfId="0" applyNumberFormat="1" applyFont="1" applyBorder="1" applyAlignment="1">
      <alignment horizontal="left" vertical="top" wrapText="1"/>
    </xf>
    <xf numFmtId="3" fontId="2" fillId="0" borderId="13" xfId="1" applyNumberFormat="1" applyFont="1" applyFill="1" applyBorder="1" applyAlignment="1" applyProtection="1">
      <alignment horizontal="center"/>
    </xf>
    <xf numFmtId="3" fontId="2" fillId="4" borderId="13" xfId="1" applyNumberFormat="1" applyFont="1" applyFill="1" applyBorder="1" applyAlignment="1" applyProtection="1">
      <alignment horizontal="center"/>
    </xf>
    <xf numFmtId="3" fontId="2" fillId="0" borderId="45" xfId="0" applyNumberFormat="1" applyFont="1" applyBorder="1" applyAlignment="1">
      <alignment horizontal="center" wrapText="1"/>
    </xf>
    <xf numFmtId="3" fontId="2" fillId="0" borderId="52" xfId="0" applyNumberFormat="1" applyFont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3" fontId="20" fillId="0" borderId="80" xfId="0" applyNumberFormat="1" applyFont="1" applyBorder="1" applyAlignment="1">
      <alignment horizontal="left" vertical="top" wrapText="1"/>
    </xf>
    <xf numFmtId="3" fontId="20" fillId="0" borderId="81" xfId="0" applyNumberFormat="1" applyFont="1" applyBorder="1" applyAlignment="1">
      <alignment horizontal="left" vertical="top" wrapText="1"/>
    </xf>
    <xf numFmtId="3" fontId="20" fillId="0" borderId="82" xfId="0" applyNumberFormat="1" applyFont="1" applyBorder="1" applyAlignment="1">
      <alignment horizontal="left" vertical="top" wrapText="1"/>
    </xf>
    <xf numFmtId="3" fontId="21" fillId="0" borderId="200" xfId="0" applyNumberFormat="1" applyFont="1" applyBorder="1" applyAlignment="1" applyProtection="1">
      <alignment horizontal="left" vertical="top" wrapText="1"/>
      <protection locked="0"/>
    </xf>
    <xf numFmtId="3" fontId="21" fillId="0" borderId="183" xfId="0" applyNumberFormat="1" applyFont="1" applyBorder="1" applyAlignment="1" applyProtection="1">
      <alignment horizontal="left" vertical="top" wrapText="1"/>
      <protection locked="0"/>
    </xf>
    <xf numFmtId="3" fontId="2" fillId="0" borderId="202" xfId="0" applyNumberFormat="1" applyFont="1" applyBorder="1" applyAlignment="1">
      <alignment horizontal="center" vertical="center"/>
    </xf>
    <xf numFmtId="3" fontId="2" fillId="0" borderId="47" xfId="0" applyNumberFormat="1" applyFont="1" applyBorder="1" applyAlignment="1">
      <alignment horizontal="center" vertical="center"/>
    </xf>
    <xf numFmtId="3" fontId="2" fillId="0" borderId="104" xfId="0" applyNumberFormat="1" applyFont="1" applyBorder="1" applyAlignment="1">
      <alignment horizontal="center" vertical="center"/>
    </xf>
    <xf numFmtId="3" fontId="2" fillId="0" borderId="206" xfId="0" applyNumberFormat="1" applyFont="1" applyBorder="1" applyAlignment="1">
      <alignment horizontal="center" vertical="center"/>
    </xf>
    <xf numFmtId="3" fontId="20" fillId="0" borderId="208" xfId="0" applyNumberFormat="1" applyFont="1" applyBorder="1" applyAlignment="1">
      <alignment horizontal="left" vertical="top" wrapText="1"/>
    </xf>
    <xf numFmtId="3" fontId="20" fillId="0" borderId="198" xfId="0" applyNumberFormat="1" applyFont="1" applyBorder="1" applyAlignment="1">
      <alignment horizontal="left" vertical="top" wrapText="1"/>
    </xf>
    <xf numFmtId="3" fontId="21" fillId="0" borderId="209" xfId="0" applyNumberFormat="1" applyFont="1" applyFill="1" applyBorder="1" applyAlignment="1" applyProtection="1">
      <alignment horizontal="left" vertical="top" wrapText="1"/>
      <protection locked="0"/>
    </xf>
    <xf numFmtId="3" fontId="21" fillId="0" borderId="210" xfId="0" applyNumberFormat="1" applyFont="1" applyFill="1" applyBorder="1" applyAlignment="1" applyProtection="1">
      <alignment horizontal="left" vertical="top" wrapText="1"/>
      <protection locked="0"/>
    </xf>
    <xf numFmtId="3" fontId="2" fillId="4" borderId="180" xfId="0" applyNumberFormat="1" applyFont="1" applyFill="1" applyBorder="1" applyAlignment="1">
      <alignment horizontal="center" vertical="center"/>
    </xf>
    <xf numFmtId="3" fontId="2" fillId="4" borderId="181" xfId="0" applyNumberFormat="1" applyFont="1" applyFill="1" applyBorder="1" applyAlignment="1">
      <alignment horizontal="center" vertical="center" wrapText="1"/>
    </xf>
    <xf numFmtId="3" fontId="2" fillId="0" borderId="46" xfId="0" applyNumberFormat="1" applyFont="1" applyBorder="1" applyAlignment="1">
      <alignment horizontal="center" vertical="top"/>
    </xf>
    <xf numFmtId="3" fontId="2" fillId="0" borderId="45" xfId="0" applyNumberFormat="1" applyFont="1" applyBorder="1" applyAlignment="1">
      <alignment horizontal="center" vertical="top"/>
    </xf>
    <xf numFmtId="3" fontId="2" fillId="0" borderId="13" xfId="1" applyNumberFormat="1" applyFont="1" applyFill="1" applyBorder="1" applyAlignment="1" applyProtection="1">
      <alignment horizontal="center" vertical="top"/>
    </xf>
    <xf numFmtId="3" fontId="2" fillId="4" borderId="11" xfId="0" applyNumberFormat="1" applyFont="1" applyFill="1" applyBorder="1" applyAlignment="1">
      <alignment horizontal="center"/>
    </xf>
    <xf numFmtId="0" fontId="16" fillId="0" borderId="63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center"/>
    </xf>
    <xf numFmtId="0" fontId="2" fillId="4" borderId="7" xfId="0" applyFont="1" applyFill="1" applyBorder="1" applyAlignment="1" applyProtection="1">
      <alignment horizontal="right"/>
    </xf>
    <xf numFmtId="0" fontId="2" fillId="6" borderId="226" xfId="0" applyFont="1" applyFill="1" applyBorder="1" applyAlignment="1" applyProtection="1">
      <alignment horizontal="center" vertical="center" wrapText="1"/>
    </xf>
    <xf numFmtId="0" fontId="2" fillId="6" borderId="227" xfId="0" applyFont="1" applyFill="1" applyBorder="1" applyAlignment="1" applyProtection="1">
      <alignment horizontal="center" vertical="center" wrapText="1"/>
    </xf>
    <xf numFmtId="0" fontId="2" fillId="6" borderId="228" xfId="0" applyFont="1" applyFill="1" applyBorder="1" applyAlignment="1" applyProtection="1">
      <alignment horizontal="center" vertical="center" wrapText="1"/>
    </xf>
    <xf numFmtId="0" fontId="2" fillId="6" borderId="230" xfId="0" applyFont="1" applyFill="1" applyBorder="1" applyAlignment="1" applyProtection="1">
      <alignment horizontal="center" vertical="top" wrapText="1"/>
    </xf>
    <xf numFmtId="0" fontId="2" fillId="6" borderId="74" xfId="0" applyFont="1" applyFill="1" applyBorder="1" applyAlignment="1" applyProtection="1">
      <alignment horizontal="center" vertical="top" wrapText="1"/>
    </xf>
    <xf numFmtId="0" fontId="2" fillId="6" borderId="231" xfId="0" applyFont="1" applyFill="1" applyBorder="1" applyAlignment="1" applyProtection="1">
      <alignment horizontal="center" vertical="top" wrapText="1"/>
    </xf>
    <xf numFmtId="0" fontId="2" fillId="18" borderId="230" xfId="0" applyFont="1" applyFill="1" applyBorder="1" applyAlignment="1" applyProtection="1">
      <alignment horizontal="center" vertical="top" wrapText="1"/>
    </xf>
    <xf numFmtId="0" fontId="2" fillId="18" borderId="74" xfId="0" applyFont="1" applyFill="1" applyBorder="1" applyAlignment="1" applyProtection="1">
      <alignment horizontal="center" vertical="top" wrapText="1"/>
    </xf>
    <xf numFmtId="0" fontId="2" fillId="18" borderId="231" xfId="0" applyFont="1" applyFill="1" applyBorder="1" applyAlignment="1" applyProtection="1">
      <alignment horizontal="center" vertical="top" wrapText="1"/>
    </xf>
    <xf numFmtId="9" fontId="2" fillId="0" borderId="233" xfId="3" applyNumberFormat="1" applyFont="1" applyFill="1" applyBorder="1" applyAlignment="1" applyProtection="1">
      <alignment horizontal="center" vertical="center"/>
    </xf>
    <xf numFmtId="9" fontId="2" fillId="0" borderId="158" xfId="3" applyNumberFormat="1" applyFont="1" applyFill="1" applyBorder="1" applyAlignment="1" applyProtection="1">
      <alignment horizontal="center" vertical="center"/>
    </xf>
    <xf numFmtId="9" fontId="2" fillId="0" borderId="235" xfId="3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/>
    </xf>
    <xf numFmtId="0" fontId="11" fillId="0" borderId="239" xfId="0" applyFont="1" applyFill="1" applyBorder="1" applyAlignment="1" applyProtection="1">
      <alignment horizontal="center"/>
    </xf>
    <xf numFmtId="0" fontId="2" fillId="10" borderId="7" xfId="0" applyFont="1" applyFill="1" applyBorder="1" applyAlignment="1" applyProtection="1">
      <alignment horizontal="right"/>
    </xf>
    <xf numFmtId="0" fontId="2" fillId="10" borderId="240" xfId="0" applyFont="1" applyFill="1" applyBorder="1" applyAlignment="1" applyProtection="1">
      <alignment horizontal="right"/>
    </xf>
    <xf numFmtId="0" fontId="2" fillId="18" borderId="230" xfId="0" applyFont="1" applyFill="1" applyBorder="1" applyAlignment="1" applyProtection="1">
      <alignment horizontal="center" vertical="center" wrapText="1"/>
    </xf>
    <xf numFmtId="0" fontId="2" fillId="18" borderId="74" xfId="0" applyFont="1" applyFill="1" applyBorder="1" applyAlignment="1" applyProtection="1">
      <alignment horizontal="center" vertical="center" wrapText="1"/>
    </xf>
    <xf numFmtId="0" fontId="2" fillId="18" borderId="231" xfId="0" applyFont="1" applyFill="1" applyBorder="1" applyAlignment="1" applyProtection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top" wrapText="1"/>
    </xf>
    <xf numFmtId="172" fontId="11" fillId="0" borderId="46" xfId="0" applyNumberFormat="1" applyFont="1" applyFill="1" applyBorder="1" applyAlignment="1">
      <alignment horizontal="center" vertical="top"/>
    </xf>
    <xf numFmtId="0" fontId="2" fillId="12" borderId="17" xfId="0" applyFont="1" applyFill="1" applyBorder="1" applyAlignment="1">
      <alignment horizontal="center" vertical="top" wrapText="1"/>
    </xf>
    <xf numFmtId="0" fontId="2" fillId="11" borderId="47" xfId="0" applyFont="1" applyFill="1" applyBorder="1" applyAlignment="1" applyProtection="1">
      <alignment horizontal="center"/>
    </xf>
    <xf numFmtId="0" fontId="2" fillId="11" borderId="74" xfId="0" applyFont="1" applyFill="1" applyBorder="1" applyAlignment="1" applyProtection="1">
      <alignment horizontal="center"/>
    </xf>
    <xf numFmtId="0" fontId="2" fillId="4" borderId="14" xfId="0" applyFont="1" applyFill="1" applyBorder="1" applyAlignment="1" applyProtection="1">
      <alignment horizontal="center" vertical="center" wrapText="1"/>
    </xf>
    <xf numFmtId="0" fontId="2" fillId="10" borderId="12" xfId="0" applyFont="1" applyFill="1" applyBorder="1" applyAlignment="1" applyProtection="1">
      <alignment horizontal="center"/>
    </xf>
    <xf numFmtId="0" fontId="2" fillId="10" borderId="13" xfId="0" applyFont="1" applyFill="1" applyBorder="1" applyAlignment="1" applyProtection="1">
      <alignment horizontal="center"/>
    </xf>
    <xf numFmtId="0" fontId="2" fillId="0" borderId="52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center"/>
    </xf>
    <xf numFmtId="0" fontId="2" fillId="10" borderId="52" xfId="0" applyFont="1" applyFill="1" applyBorder="1" applyAlignment="1" applyProtection="1">
      <alignment horizontal="center"/>
    </xf>
    <xf numFmtId="0" fontId="2" fillId="10" borderId="46" xfId="0" applyFont="1" applyFill="1" applyBorder="1" applyAlignment="1" applyProtection="1">
      <alignment horizontal="center"/>
    </xf>
    <xf numFmtId="0" fontId="2" fillId="10" borderId="23" xfId="0" applyFont="1" applyFill="1" applyBorder="1" applyAlignment="1" applyProtection="1">
      <alignment horizontal="center"/>
    </xf>
    <xf numFmtId="0" fontId="2" fillId="10" borderId="120" xfId="0" applyFont="1" applyFill="1" applyBorder="1" applyAlignment="1" applyProtection="1">
      <alignment horizontal="center" vertical="center" wrapText="1"/>
    </xf>
    <xf numFmtId="0" fontId="2" fillId="10" borderId="141" xfId="0" applyFont="1" applyFill="1" applyBorder="1" applyAlignment="1" applyProtection="1">
      <alignment horizontal="center" vertical="center" wrapText="1"/>
    </xf>
    <xf numFmtId="0" fontId="2" fillId="4" borderId="220" xfId="0" applyFont="1" applyFill="1" applyBorder="1" applyAlignment="1" applyProtection="1">
      <alignment horizontal="center" vertical="center" wrapText="1"/>
    </xf>
    <xf numFmtId="0" fontId="2" fillId="4" borderId="253" xfId="0" applyFont="1" applyFill="1" applyBorder="1" applyAlignment="1" applyProtection="1">
      <alignment horizontal="center" vertical="center" wrapText="1"/>
    </xf>
    <xf numFmtId="0" fontId="2" fillId="10" borderId="65" xfId="0" applyFont="1" applyFill="1" applyBorder="1" applyAlignment="1" applyProtection="1">
      <alignment horizontal="center" vertical="center" wrapText="1"/>
    </xf>
    <xf numFmtId="0" fontId="2" fillId="10" borderId="70" xfId="0" applyFont="1" applyFill="1" applyBorder="1" applyAlignment="1" applyProtection="1">
      <alignment horizontal="center" vertical="center" wrapText="1"/>
    </xf>
    <xf numFmtId="0" fontId="16" fillId="4" borderId="72" xfId="0" applyFont="1" applyFill="1" applyBorder="1" applyAlignment="1" applyProtection="1">
      <alignment horizontal="center" vertical="center"/>
    </xf>
    <xf numFmtId="0" fontId="16" fillId="4" borderId="79" xfId="0" applyFont="1" applyFill="1" applyBorder="1" applyAlignment="1" applyProtection="1">
      <alignment horizontal="center" vertical="center"/>
    </xf>
    <xf numFmtId="171" fontId="11" fillId="10" borderId="72" xfId="0" applyNumberFormat="1" applyFont="1" applyFill="1" applyBorder="1" applyAlignment="1" applyProtection="1">
      <alignment horizontal="center" vertical="center"/>
    </xf>
    <xf numFmtId="171" fontId="11" fillId="10" borderId="79" xfId="0" applyNumberFormat="1" applyFont="1" applyFill="1" applyBorder="1" applyAlignment="1" applyProtection="1">
      <alignment horizontal="center" vertical="center"/>
    </xf>
    <xf numFmtId="0" fontId="2" fillId="4" borderId="120" xfId="0" applyFont="1" applyFill="1" applyBorder="1" applyAlignment="1" applyProtection="1">
      <alignment horizontal="center" vertical="center" wrapText="1"/>
    </xf>
    <xf numFmtId="0" fontId="2" fillId="4" borderId="141" xfId="0" applyFont="1" applyFill="1" applyBorder="1" applyAlignment="1" applyProtection="1">
      <alignment horizontal="center" vertical="center" wrapText="1"/>
    </xf>
    <xf numFmtId="0" fontId="30" fillId="0" borderId="163" xfId="0" applyFont="1" applyBorder="1" applyAlignment="1" applyProtection="1">
      <alignment horizontal="center" vertical="center" wrapText="1"/>
    </xf>
    <xf numFmtId="0" fontId="30" fillId="0" borderId="251" xfId="0" applyFont="1" applyBorder="1" applyAlignment="1" applyProtection="1">
      <alignment horizontal="center" vertical="center" wrapText="1"/>
    </xf>
    <xf numFmtId="0" fontId="30" fillId="0" borderId="94" xfId="0" applyFont="1" applyBorder="1" applyAlignment="1" applyProtection="1">
      <alignment horizontal="center" vertical="center"/>
    </xf>
    <xf numFmtId="0" fontId="30" fillId="0" borderId="252" xfId="0" applyFont="1" applyBorder="1" applyAlignment="1" applyProtection="1">
      <alignment horizontal="center" vertical="center"/>
    </xf>
    <xf numFmtId="0" fontId="44" fillId="27" borderId="68" xfId="7" applyFont="1" applyFill="1" applyBorder="1" applyAlignment="1" applyProtection="1">
      <alignment horizontal="center" vertical="center" wrapText="1"/>
    </xf>
    <xf numFmtId="0" fontId="44" fillId="27" borderId="69" xfId="7" applyFont="1" applyFill="1" applyBorder="1" applyAlignment="1" applyProtection="1">
      <alignment horizontal="center" vertical="center" wrapText="1"/>
    </xf>
    <xf numFmtId="0" fontId="43" fillId="27" borderId="224" xfId="7" applyFont="1" applyFill="1" applyBorder="1" applyAlignment="1" applyProtection="1">
      <alignment horizontal="center" vertical="center" wrapText="1"/>
    </xf>
    <xf numFmtId="0" fontId="43" fillId="27" borderId="225" xfId="7" applyFont="1" applyFill="1" applyBorder="1" applyAlignment="1" applyProtection="1">
      <alignment horizontal="center" vertical="center" wrapText="1"/>
    </xf>
    <xf numFmtId="0" fontId="43" fillId="27" borderId="221" xfId="7" applyFont="1" applyFill="1" applyBorder="1" applyAlignment="1" applyProtection="1">
      <alignment horizontal="center" vertical="center" wrapText="1"/>
    </xf>
    <xf numFmtId="0" fontId="43" fillId="27" borderId="222" xfId="7" applyFont="1" applyFill="1" applyBorder="1" applyAlignment="1" applyProtection="1">
      <alignment horizontal="center" vertical="center" wrapText="1"/>
    </xf>
    <xf numFmtId="0" fontId="43" fillId="27" borderId="84" xfId="7" applyFont="1" applyFill="1" applyBorder="1" applyAlignment="1" applyProtection="1">
      <alignment horizontal="center" vertical="center" wrapText="1"/>
    </xf>
    <xf numFmtId="0" fontId="2" fillId="28" borderId="221" xfId="7" applyFont="1" applyFill="1" applyBorder="1" applyAlignment="1" applyProtection="1">
      <alignment horizontal="center" vertical="center" wrapText="1"/>
    </xf>
    <xf numFmtId="0" fontId="2" fillId="28" borderId="222" xfId="7" applyFont="1" applyFill="1" applyBorder="1" applyAlignment="1" applyProtection="1">
      <alignment horizontal="center" vertical="center" wrapText="1"/>
    </xf>
    <xf numFmtId="0" fontId="36" fillId="0" borderId="198" xfId="5" applyFont="1" applyBorder="1" applyAlignment="1">
      <alignment horizontal="center" vertical="center" wrapText="1"/>
    </xf>
    <xf numFmtId="0" fontId="36" fillId="0" borderId="0" xfId="5" applyFont="1" applyBorder="1" applyAlignment="1">
      <alignment horizontal="center" vertical="center" wrapText="1"/>
    </xf>
    <xf numFmtId="0" fontId="36" fillId="0" borderId="211" xfId="5" applyFont="1" applyBorder="1" applyAlignment="1">
      <alignment horizontal="center" vertical="center" wrapText="1"/>
    </xf>
    <xf numFmtId="0" fontId="38" fillId="0" borderId="198" xfId="5" applyFont="1" applyBorder="1" applyAlignment="1">
      <alignment horizontal="center" vertical="center" wrapText="1"/>
    </xf>
    <xf numFmtId="0" fontId="38" fillId="0" borderId="0" xfId="5" applyFont="1" applyBorder="1" applyAlignment="1">
      <alignment horizontal="center" vertical="center" wrapText="1"/>
    </xf>
    <xf numFmtId="0" fontId="38" fillId="0" borderId="211" xfId="5" applyFont="1" applyBorder="1" applyAlignment="1">
      <alignment horizontal="center" vertical="center" wrapText="1"/>
    </xf>
    <xf numFmtId="0" fontId="37" fillId="0" borderId="198" xfId="5" applyFont="1" applyBorder="1" applyAlignment="1">
      <alignment horizontal="center" vertical="center" wrapText="1"/>
    </xf>
    <xf numFmtId="0" fontId="37" fillId="0" borderId="0" xfId="5" applyFont="1" applyBorder="1" applyAlignment="1">
      <alignment horizontal="center" vertical="center" wrapText="1"/>
    </xf>
    <xf numFmtId="0" fontId="37" fillId="0" borderId="211" xfId="5" applyFont="1" applyBorder="1" applyAlignment="1">
      <alignment horizontal="center" vertical="center" wrapText="1"/>
    </xf>
    <xf numFmtId="0" fontId="39" fillId="0" borderId="198" xfId="5" applyFont="1" applyBorder="1" applyAlignment="1">
      <alignment horizontal="left" vertical="center" wrapText="1"/>
    </xf>
    <xf numFmtId="0" fontId="39" fillId="0" borderId="0" xfId="5" applyFont="1" applyBorder="1" applyAlignment="1">
      <alignment horizontal="left" vertical="center" wrapText="1"/>
    </xf>
    <xf numFmtId="0" fontId="39" fillId="0" borderId="211" xfId="5" applyFont="1" applyBorder="1" applyAlignment="1">
      <alignment horizontal="left" vertical="center" wrapText="1"/>
    </xf>
    <xf numFmtId="0" fontId="1" fillId="0" borderId="212" xfId="6" applyBorder="1" applyAlignment="1">
      <alignment vertical="center" wrapText="1"/>
    </xf>
    <xf numFmtId="0" fontId="1" fillId="0" borderId="213" xfId="6" applyBorder="1" applyAlignment="1">
      <alignment vertical="center" wrapText="1"/>
    </xf>
    <xf numFmtId="0" fontId="1" fillId="0" borderId="214" xfId="6" applyBorder="1" applyAlignment="1">
      <alignment vertical="center" wrapText="1"/>
    </xf>
    <xf numFmtId="0" fontId="40" fillId="27" borderId="215" xfId="7" applyFont="1" applyFill="1" applyBorder="1" applyAlignment="1" applyProtection="1">
      <alignment horizontal="center" vertical="center" wrapText="1"/>
    </xf>
    <xf numFmtId="0" fontId="40" fillId="27" borderId="82" xfId="7" applyFont="1" applyFill="1" applyBorder="1" applyAlignment="1" applyProtection="1">
      <alignment horizontal="center" vertical="center" wrapText="1"/>
    </xf>
    <xf numFmtId="0" fontId="40" fillId="27" borderId="129" xfId="7" applyFont="1" applyFill="1" applyBorder="1" applyAlignment="1" applyProtection="1">
      <alignment horizontal="center" vertical="center" textRotation="90" wrapText="1"/>
    </xf>
    <xf numFmtId="0" fontId="40" fillId="27" borderId="186" xfId="7" applyFont="1" applyFill="1" applyBorder="1" applyAlignment="1" applyProtection="1">
      <alignment horizontal="center" vertical="center" textRotation="90" wrapText="1"/>
    </xf>
    <xf numFmtId="0" fontId="40" fillId="27" borderId="129" xfId="7" applyFont="1" applyFill="1" applyBorder="1" applyAlignment="1" applyProtection="1">
      <alignment horizontal="center" vertical="center" wrapText="1"/>
    </xf>
    <xf numFmtId="0" fontId="40" fillId="27" borderId="186" xfId="7" applyFont="1" applyFill="1" applyBorder="1" applyAlignment="1" applyProtection="1">
      <alignment horizontal="center" vertical="center" wrapText="1"/>
    </xf>
    <xf numFmtId="0" fontId="40" fillId="27" borderId="216" xfId="7" applyFont="1" applyFill="1" applyBorder="1" applyAlignment="1" applyProtection="1">
      <alignment horizontal="center" vertical="center" wrapText="1"/>
    </xf>
    <xf numFmtId="0" fontId="40" fillId="27" borderId="217" xfId="7" applyFont="1" applyFill="1" applyBorder="1" applyAlignment="1" applyProtection="1">
      <alignment horizontal="center" vertical="center" wrapText="1"/>
    </xf>
    <xf numFmtId="0" fontId="40" fillId="27" borderId="219" xfId="7" applyFont="1" applyFill="1" applyBorder="1" applyAlignment="1" applyProtection="1">
      <alignment horizontal="center" vertical="center" wrapText="1"/>
    </xf>
    <xf numFmtId="0" fontId="40" fillId="27" borderId="220" xfId="7" applyFont="1" applyFill="1" applyBorder="1" applyAlignment="1" applyProtection="1">
      <alignment horizontal="center" vertical="center" wrapText="1"/>
    </xf>
    <xf numFmtId="0" fontId="40" fillId="27" borderId="183" xfId="7" applyFont="1" applyFill="1" applyBorder="1" applyAlignment="1" applyProtection="1">
      <alignment horizontal="center" vertical="center" wrapText="1"/>
    </xf>
    <xf numFmtId="0" fontId="42" fillId="27" borderId="71" xfId="5" applyFont="1" applyFill="1" applyBorder="1" applyAlignment="1" applyProtection="1">
      <alignment horizontal="center" vertical="center" wrapText="1"/>
    </xf>
    <xf numFmtId="0" fontId="42" fillId="27" borderId="72" xfId="5" applyFont="1" applyFill="1" applyBorder="1" applyAlignment="1" applyProtection="1">
      <alignment horizontal="center" vertical="center" wrapText="1"/>
    </xf>
    <xf numFmtId="0" fontId="42" fillId="27" borderId="79" xfId="5" applyFont="1" applyFill="1" applyBorder="1" applyAlignment="1" applyProtection="1">
      <alignment horizontal="center" vertical="center" wrapText="1"/>
    </xf>
  </cellXfs>
  <cellStyles count="10">
    <cellStyle name="Comma" xfId="1" builtinId="3"/>
    <cellStyle name="Hyperlink" xfId="2" builtinId="8"/>
    <cellStyle name="Normal" xfId="0" builtinId="0"/>
    <cellStyle name="Normal 2" xfId="5"/>
    <cellStyle name="Normal 2 2" xfId="7"/>
    <cellStyle name="Normal 3" xfId="6"/>
    <cellStyle name="Percent" xfId="3" builtinId="5"/>
    <cellStyle name="Separador de milhares 11 2" xfId="4"/>
    <cellStyle name="Separador de milhares 2" xfId="9"/>
    <cellStyle name="Separador de milhares 2 2" xfId="8"/>
  </cellStyles>
  <dxfs count="5"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8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CAFF"/>
      <rgbColor rgb="007030A0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C4BD97"/>
      <rgbColor rgb="00B3B3B3"/>
      <rgbColor rgb="00FFCC99"/>
      <rgbColor rgb="003333FF"/>
      <rgbColor rgb="0033CCCC"/>
      <rgbColor rgb="0092D050"/>
      <rgbColor rgb="00FFCC00"/>
      <rgbColor rgb="00FF9900"/>
      <rgbColor rgb="00FF6600"/>
      <rgbColor rgb="00558ED5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7</xdr:row>
      <xdr:rowOff>85725</xdr:rowOff>
    </xdr:from>
    <xdr:to>
      <xdr:col>5</xdr:col>
      <xdr:colOff>219075</xdr:colOff>
      <xdr:row>11</xdr:row>
      <xdr:rowOff>152400</xdr:rowOff>
    </xdr:to>
    <xdr:pic>
      <xdr:nvPicPr>
        <xdr:cNvPr id="111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219200"/>
          <a:ext cx="1714500" cy="714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</xdr:col>
      <xdr:colOff>1819275</xdr:colOff>
      <xdr:row>6</xdr:row>
      <xdr:rowOff>142875</xdr:rowOff>
    </xdr:to>
    <xdr:pic>
      <xdr:nvPicPr>
        <xdr:cNvPr id="213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409575"/>
          <a:ext cx="1724025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28575</xdr:rowOff>
    </xdr:from>
    <xdr:to>
      <xdr:col>2</xdr:col>
      <xdr:colOff>488156</xdr:colOff>
      <xdr:row>2</xdr:row>
      <xdr:rowOff>219075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875"/>
          <a:ext cx="77390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3:J56"/>
  <sheetViews>
    <sheetView showGridLines="0" tabSelected="1" zoomScale="85" zoomScaleNormal="85" zoomScalePageLayoutView="85" workbookViewId="0"/>
  </sheetViews>
  <sheetFormatPr defaultColWidth="8.85546875" defaultRowHeight="12.75" x14ac:dyDescent="0.2"/>
  <cols>
    <col min="1" max="1" width="5.140625" customWidth="1"/>
    <col min="2" max="2" width="16" customWidth="1"/>
    <col min="5" max="5" width="13" customWidth="1"/>
    <col min="8" max="8" width="16.140625" customWidth="1"/>
    <col min="9" max="9" width="1.42578125" customWidth="1"/>
  </cols>
  <sheetData>
    <row r="3" spans="1:10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1"/>
      <c r="B7" s="1"/>
      <c r="C7" s="1"/>
      <c r="D7" s="1"/>
      <c r="E7" s="1"/>
      <c r="F7" s="1"/>
      <c r="G7" s="938"/>
      <c r="H7" s="938"/>
      <c r="I7" s="1"/>
      <c r="J7" s="1"/>
    </row>
    <row r="8" spans="1:10" x14ac:dyDescent="0.2">
      <c r="A8" s="1"/>
      <c r="B8" s="1"/>
      <c r="C8" s="1"/>
      <c r="D8" s="1"/>
      <c r="E8" s="1"/>
      <c r="F8" s="1"/>
      <c r="I8" s="1"/>
      <c r="J8" s="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8" x14ac:dyDescent="0.25">
      <c r="A13" s="1"/>
      <c r="B13" s="1"/>
      <c r="C13" s="1"/>
      <c r="D13" s="939"/>
      <c r="E13" s="939"/>
      <c r="F13" s="939"/>
      <c r="G13" s="939"/>
      <c r="H13" s="1"/>
      <c r="I13" s="1"/>
      <c r="J13" s="1"/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1"/>
    </row>
    <row r="19" spans="1:10" x14ac:dyDescent="0.2">
      <c r="A19" s="940" t="s">
        <v>295</v>
      </c>
      <c r="B19" s="940"/>
      <c r="C19" s="940"/>
      <c r="D19" s="940"/>
      <c r="E19" s="940"/>
      <c r="F19" s="940"/>
      <c r="G19" s="940"/>
      <c r="H19" s="940"/>
      <c r="I19" s="940"/>
      <c r="J19" s="1"/>
    </row>
    <row r="20" spans="1:10" x14ac:dyDescent="0.2">
      <c r="A20" s="940"/>
      <c r="B20" s="940"/>
      <c r="C20" s="940"/>
      <c r="D20" s="940"/>
      <c r="E20" s="940"/>
      <c r="F20" s="940"/>
      <c r="G20" s="940"/>
      <c r="H20" s="940"/>
      <c r="I20" s="940"/>
      <c r="J20" s="1"/>
    </row>
    <row r="21" spans="1:10" x14ac:dyDescent="0.2">
      <c r="A21" s="940"/>
      <c r="B21" s="940"/>
      <c r="C21" s="940"/>
      <c r="D21" s="940"/>
      <c r="E21" s="940"/>
      <c r="F21" s="940"/>
      <c r="G21" s="940"/>
      <c r="H21" s="940"/>
      <c r="I21" s="940"/>
      <c r="J21" s="1"/>
    </row>
    <row r="22" spans="1:10" ht="41.25" customHeight="1" x14ac:dyDescent="0.2">
      <c r="A22" s="940"/>
      <c r="B22" s="940"/>
      <c r="C22" s="940"/>
      <c r="D22" s="940"/>
      <c r="E22" s="940"/>
      <c r="F22" s="940"/>
      <c r="G22" s="940"/>
      <c r="H22" s="940"/>
      <c r="I22" s="940"/>
      <c r="J22" s="1"/>
    </row>
    <row r="23" spans="1:10" ht="18" x14ac:dyDescent="0.2">
      <c r="A23" s="2"/>
      <c r="B23" s="3"/>
      <c r="C23" s="3"/>
      <c r="D23" s="3"/>
      <c r="E23" s="3"/>
      <c r="F23" s="3"/>
      <c r="G23" s="3"/>
      <c r="H23" s="3"/>
      <c r="I23" s="2"/>
      <c r="J23" s="1"/>
    </row>
    <row r="24" spans="1:10" ht="18" x14ac:dyDescent="0.2">
      <c r="A24" s="2"/>
      <c r="B24" s="3"/>
      <c r="C24" s="3"/>
      <c r="D24" s="3"/>
      <c r="E24" s="3"/>
      <c r="F24" s="3"/>
      <c r="G24" s="3"/>
      <c r="H24" s="3"/>
      <c r="I24" s="2"/>
      <c r="J24" s="1"/>
    </row>
    <row r="25" spans="1:10" ht="18" customHeight="1" x14ac:dyDescent="0.2">
      <c r="A25" s="941" t="s">
        <v>311</v>
      </c>
      <c r="B25" s="941"/>
      <c r="C25" s="941"/>
      <c r="D25" s="941"/>
      <c r="E25" s="941"/>
      <c r="F25" s="941"/>
      <c r="G25" s="941"/>
      <c r="H25" s="941"/>
      <c r="I25" s="941"/>
      <c r="J25" s="1"/>
    </row>
    <row r="26" spans="1:10" x14ac:dyDescent="0.2">
      <c r="A26" s="941"/>
      <c r="B26" s="941"/>
      <c r="C26" s="941"/>
      <c r="D26" s="941"/>
      <c r="E26" s="941"/>
      <c r="F26" s="941"/>
      <c r="G26" s="941"/>
      <c r="H26" s="941"/>
      <c r="I26" s="941"/>
      <c r="J26" s="1"/>
    </row>
    <row r="27" spans="1:10" x14ac:dyDescent="0.2">
      <c r="A27" s="941"/>
      <c r="B27" s="941"/>
      <c r="C27" s="941"/>
      <c r="D27" s="941"/>
      <c r="E27" s="941"/>
      <c r="F27" s="941"/>
      <c r="G27" s="941"/>
      <c r="H27" s="941"/>
      <c r="I27" s="941"/>
      <c r="J27" s="1"/>
    </row>
    <row r="28" spans="1:10" ht="12.75" customHeight="1" x14ac:dyDescent="0.2">
      <c r="A28" s="941"/>
      <c r="B28" s="941"/>
      <c r="C28" s="941"/>
      <c r="D28" s="941"/>
      <c r="E28" s="941"/>
      <c r="F28" s="941"/>
      <c r="G28" s="941"/>
      <c r="H28" s="941"/>
      <c r="I28" s="941"/>
      <c r="J28" s="1"/>
    </row>
    <row r="29" spans="1:10" x14ac:dyDescent="0.2">
      <c r="A29" s="4"/>
      <c r="B29" s="4"/>
      <c r="C29" s="4"/>
      <c r="D29" s="4"/>
      <c r="E29" s="4"/>
      <c r="F29" s="4"/>
      <c r="G29" s="4"/>
      <c r="H29" s="4"/>
      <c r="I29" s="4"/>
      <c r="J29" s="1"/>
    </row>
    <row r="30" spans="1:10" x14ac:dyDescent="0.2">
      <c r="A30" s="4"/>
      <c r="B30" s="4"/>
      <c r="C30" s="4"/>
      <c r="D30" s="4"/>
      <c r="E30" s="4"/>
      <c r="F30" s="4"/>
      <c r="G30" s="4"/>
      <c r="H30" s="4"/>
      <c r="I30" s="4"/>
      <c r="J30" s="1"/>
    </row>
    <row r="31" spans="1:10" ht="12.75" customHeight="1" x14ac:dyDescent="0.2">
      <c r="A31" s="941" t="s">
        <v>310</v>
      </c>
      <c r="B31" s="941"/>
      <c r="C31" s="941"/>
      <c r="D31" s="941"/>
      <c r="E31" s="941"/>
      <c r="F31" s="941"/>
      <c r="G31" s="941"/>
      <c r="H31" s="941"/>
      <c r="I31" s="941"/>
      <c r="J31" s="1"/>
    </row>
    <row r="32" spans="1:10" ht="12.75" customHeight="1" x14ac:dyDescent="0.2">
      <c r="A32" s="941"/>
      <c r="B32" s="941"/>
      <c r="C32" s="941"/>
      <c r="D32" s="941"/>
      <c r="E32" s="941"/>
      <c r="F32" s="941"/>
      <c r="G32" s="941"/>
      <c r="H32" s="941"/>
      <c r="I32" s="941"/>
      <c r="J32" s="1"/>
    </row>
    <row r="33" spans="1:10" ht="12.75" customHeight="1" x14ac:dyDescent="0.2">
      <c r="A33" s="941"/>
      <c r="B33" s="941"/>
      <c r="C33" s="941"/>
      <c r="D33" s="941"/>
      <c r="E33" s="941"/>
      <c r="F33" s="941"/>
      <c r="G33" s="941"/>
      <c r="H33" s="941"/>
      <c r="I33" s="941"/>
      <c r="J33" s="1"/>
    </row>
    <row r="34" spans="1:10" x14ac:dyDescent="0.2">
      <c r="A34" s="941"/>
      <c r="B34" s="941"/>
      <c r="C34" s="941"/>
      <c r="D34" s="941"/>
      <c r="E34" s="941"/>
      <c r="F34" s="941"/>
      <c r="G34" s="941"/>
      <c r="H34" s="941"/>
      <c r="I34" s="941"/>
      <c r="J34" s="1"/>
    </row>
    <row r="35" spans="1:10" x14ac:dyDescent="0.2">
      <c r="A35" s="941"/>
      <c r="B35" s="941"/>
      <c r="C35" s="941"/>
      <c r="D35" s="941"/>
      <c r="E35" s="941"/>
      <c r="F35" s="941"/>
      <c r="G35" s="941"/>
      <c r="H35" s="941"/>
      <c r="I35" s="941"/>
      <c r="J35" s="1"/>
    </row>
    <row r="36" spans="1:10" x14ac:dyDescent="0.2">
      <c r="A36" s="4"/>
      <c r="B36" s="4"/>
      <c r="C36" s="4"/>
      <c r="D36" s="4"/>
      <c r="E36" s="4"/>
      <c r="F36" s="4"/>
      <c r="G36" s="4"/>
      <c r="H36" s="4"/>
      <c r="I36" s="4"/>
      <c r="J36" s="1"/>
    </row>
    <row r="37" spans="1:10" ht="18" customHeight="1" x14ac:dyDescent="0.25">
      <c r="A37" s="937" t="s">
        <v>362</v>
      </c>
      <c r="B37" s="937"/>
      <c r="C37" s="937"/>
      <c r="D37" s="937"/>
      <c r="E37" s="937"/>
      <c r="F37" s="937"/>
      <c r="G37" s="937"/>
      <c r="H37" s="937"/>
      <c r="I37" s="937"/>
      <c r="J37" s="1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1"/>
    </row>
    <row r="39" spans="1:10" x14ac:dyDescent="0.2">
      <c r="A39" s="2"/>
      <c r="B39" s="936"/>
      <c r="C39" s="936"/>
      <c r="D39" s="936"/>
      <c r="E39" s="936"/>
      <c r="F39" s="936"/>
      <c r="G39" s="936"/>
      <c r="H39" s="936"/>
      <c r="I39" s="2"/>
      <c r="J39" s="1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1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1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1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1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1"/>
    </row>
    <row r="45" spans="1:10" x14ac:dyDescent="0.2">
      <c r="J45" s="1"/>
    </row>
    <row r="46" spans="1:10" x14ac:dyDescent="0.2">
      <c r="A46" s="2"/>
      <c r="B46" s="2"/>
      <c r="C46" s="2"/>
      <c r="D46" s="2"/>
      <c r="E46" s="2"/>
      <c r="F46" s="2"/>
      <c r="G46" s="2"/>
      <c r="H46" s="2"/>
      <c r="I46" s="2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mergeCells count="8">
    <mergeCell ref="B39:H39"/>
    <mergeCell ref="A37:I37"/>
    <mergeCell ref="G7:H7"/>
    <mergeCell ref="D13:G13"/>
    <mergeCell ref="A19:I22"/>
    <mergeCell ref="A25:I27"/>
    <mergeCell ref="A28:I28"/>
    <mergeCell ref="A31:I35"/>
  </mergeCells>
  <phoneticPr fontId="34" type="noConversion"/>
  <pageMargins left="0.59027777777777779" right="0.39374999999999999" top="0.98402777777777772" bottom="0.98402777777777772" header="0.51180555555555551" footer="0.51180555555555551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Z36"/>
  <sheetViews>
    <sheetView showGridLines="0" zoomScale="70" zoomScaleNormal="70" zoomScalePageLayoutView="97" workbookViewId="0">
      <pane xSplit="1" ySplit="4" topLeftCell="B5" activePane="bottomRight" state="frozenSplit"/>
      <selection pane="topRight" activeCell="B1" sqref="B1"/>
      <selection pane="bottomLeft" activeCell="A6" sqref="A6"/>
      <selection pane="bottomRight"/>
    </sheetView>
  </sheetViews>
  <sheetFormatPr defaultColWidth="8.85546875" defaultRowHeight="12.75" x14ac:dyDescent="0.2"/>
  <cols>
    <col min="1" max="1" width="57.7109375" style="227" customWidth="1"/>
    <col min="2" max="2" width="12.28515625" style="172" bestFit="1" customWidth="1"/>
    <col min="3" max="3" width="11" style="172" bestFit="1" customWidth="1"/>
    <col min="4" max="5" width="12.28515625" style="172" bestFit="1" customWidth="1"/>
    <col min="6" max="6" width="11.7109375" style="172" bestFit="1" customWidth="1"/>
    <col min="7" max="7" width="12.28515625" style="172" bestFit="1" customWidth="1"/>
    <col min="8" max="8" width="10.7109375" style="172" customWidth="1"/>
    <col min="9" max="9" width="9.7109375" style="172" bestFit="1" customWidth="1"/>
    <col min="10" max="11" width="10.7109375" style="172" customWidth="1"/>
    <col min="12" max="12" width="8.7109375" style="172" bestFit="1" customWidth="1"/>
    <col min="13" max="13" width="10.7109375" style="172" customWidth="1"/>
    <col min="14" max="14" width="10" style="172" bestFit="1" customWidth="1"/>
    <col min="15" max="15" width="9.5703125" style="172" bestFit="1" customWidth="1"/>
    <col min="16" max="16" width="10.28515625" style="172" customWidth="1"/>
    <col min="17" max="17" width="10.7109375" style="172" customWidth="1"/>
    <col min="18" max="18" width="9.7109375" style="172" customWidth="1"/>
    <col min="19" max="19" width="10.7109375" style="172" customWidth="1"/>
    <col min="20" max="20" width="0" style="172" hidden="1" customWidth="1"/>
    <col min="21" max="21" width="9" style="228" customWidth="1"/>
    <col min="22" max="22" width="11.28515625" style="172" customWidth="1"/>
    <col min="23" max="23" width="11.42578125" style="172" customWidth="1"/>
    <col min="24" max="25" width="11.28515625" style="172" customWidth="1"/>
    <col min="26" max="26" width="10.28515625" style="172" customWidth="1"/>
    <col min="27" max="16384" width="8.85546875" style="172"/>
  </cols>
  <sheetData>
    <row r="1" spans="1:26" ht="24.75" customHeight="1" thickBot="1" x14ac:dyDescent="0.25">
      <c r="A1" s="229" t="s">
        <v>343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1"/>
    </row>
    <row r="2" spans="1:26" ht="12.75" customHeight="1" thickBot="1" x14ac:dyDescent="0.25">
      <c r="A2" s="1074" t="s">
        <v>344</v>
      </c>
      <c r="B2" s="1075" t="s">
        <v>337</v>
      </c>
      <c r="C2" s="1075"/>
      <c r="D2" s="1076"/>
      <c r="E2" s="1077" t="s">
        <v>338</v>
      </c>
      <c r="F2" s="1078"/>
      <c r="G2" s="1079"/>
      <c r="H2" s="1080" t="s">
        <v>339</v>
      </c>
      <c r="I2" s="1075"/>
      <c r="J2" s="1076"/>
      <c r="K2" s="1077" t="s">
        <v>340</v>
      </c>
      <c r="L2" s="1078"/>
      <c r="M2" s="1079"/>
      <c r="N2" s="1081" t="s">
        <v>341</v>
      </c>
      <c r="O2" s="1082"/>
      <c r="P2" s="1076"/>
      <c r="Q2" s="1072" t="s">
        <v>317</v>
      </c>
      <c r="R2" s="1073"/>
      <c r="S2" s="1073"/>
    </row>
    <row r="3" spans="1:26" ht="13.5" thickBot="1" x14ac:dyDescent="0.25">
      <c r="A3" s="1074"/>
      <c r="B3" s="232" t="s">
        <v>345</v>
      </c>
      <c r="C3" s="232" t="s">
        <v>346</v>
      </c>
      <c r="D3" s="899" t="s">
        <v>262</v>
      </c>
      <c r="E3" s="893" t="s">
        <v>345</v>
      </c>
      <c r="F3" s="233" t="s">
        <v>346</v>
      </c>
      <c r="G3" s="906" t="s">
        <v>262</v>
      </c>
      <c r="H3" s="903" t="s">
        <v>345</v>
      </c>
      <c r="I3" s="232" t="s">
        <v>346</v>
      </c>
      <c r="J3" s="899" t="s">
        <v>262</v>
      </c>
      <c r="K3" s="893" t="s">
        <v>345</v>
      </c>
      <c r="L3" s="233" t="s">
        <v>346</v>
      </c>
      <c r="M3" s="906" t="s">
        <v>262</v>
      </c>
      <c r="N3" s="903" t="s">
        <v>345</v>
      </c>
      <c r="O3" s="232" t="s">
        <v>346</v>
      </c>
      <c r="P3" s="899" t="s">
        <v>262</v>
      </c>
      <c r="Q3" s="904" t="s">
        <v>345</v>
      </c>
      <c r="R3" s="234" t="s">
        <v>346</v>
      </c>
      <c r="S3" s="235" t="s">
        <v>262</v>
      </c>
      <c r="U3" s="236"/>
    </row>
    <row r="4" spans="1:26" s="241" customFormat="1" ht="13.5" thickBot="1" x14ac:dyDescent="0.25">
      <c r="A4" s="237" t="s">
        <v>347</v>
      </c>
      <c r="B4" s="238">
        <f>+B5+B12+B17+B23</f>
        <v>12037412</v>
      </c>
      <c r="C4" s="238">
        <f t="shared" ref="C4:S4" si="0">+C5+C12+C17+C23</f>
        <v>3595087</v>
      </c>
      <c r="D4" s="900">
        <f t="shared" si="0"/>
        <v>15632499</v>
      </c>
      <c r="E4" s="894">
        <f t="shared" si="0"/>
        <v>27631562</v>
      </c>
      <c r="F4" s="238">
        <f t="shared" si="0"/>
        <v>7238375</v>
      </c>
      <c r="G4" s="900">
        <f>+G5+G12+G17+G23</f>
        <v>34869937</v>
      </c>
      <c r="H4" s="894">
        <f t="shared" si="0"/>
        <v>5443677</v>
      </c>
      <c r="I4" s="238">
        <f t="shared" si="0"/>
        <v>1055513</v>
      </c>
      <c r="J4" s="900">
        <f t="shared" si="0"/>
        <v>6499190</v>
      </c>
      <c r="K4" s="894">
        <f t="shared" si="0"/>
        <v>5443677</v>
      </c>
      <c r="L4" s="238">
        <f t="shared" si="0"/>
        <v>1055513</v>
      </c>
      <c r="M4" s="900">
        <f t="shared" si="0"/>
        <v>6499190</v>
      </c>
      <c r="N4" s="894">
        <f t="shared" si="0"/>
        <v>5443677</v>
      </c>
      <c r="O4" s="238">
        <f t="shared" si="0"/>
        <v>1055513</v>
      </c>
      <c r="P4" s="900">
        <f t="shared" si="0"/>
        <v>6499190</v>
      </c>
      <c r="Q4" s="894">
        <f t="shared" si="0"/>
        <v>56000005</v>
      </c>
      <c r="R4" s="238">
        <f t="shared" si="0"/>
        <v>14000001</v>
      </c>
      <c r="S4" s="900">
        <f t="shared" si="0"/>
        <v>70000006</v>
      </c>
      <c r="T4" s="239" t="e">
        <f>#REF!+T23</f>
        <v>#REF!</v>
      </c>
      <c r="U4" s="240"/>
    </row>
    <row r="5" spans="1:26" s="177" customFormat="1" ht="39" thickBot="1" x14ac:dyDescent="0.25">
      <c r="A5" s="243" t="str">
        <f>'3_Comp e Produtos'!A6</f>
        <v>COMPONENTE 1: MELHORA DA EFETIVIDADE POLICIAL PARA A PREVENÇÃO, CONTROLE E INVESTIGAÇÃO DO CRIME</v>
      </c>
      <c r="B5" s="244">
        <f>SUM(B6:B11)</f>
        <v>7609783</v>
      </c>
      <c r="C5" s="244">
        <f t="shared" ref="C5:R5" si="1">SUM(C6:C11)</f>
        <v>3395189</v>
      </c>
      <c r="D5" s="245">
        <f t="shared" si="1"/>
        <v>11004972</v>
      </c>
      <c r="E5" s="895">
        <f t="shared" si="1"/>
        <v>12997224</v>
      </c>
      <c r="F5" s="244">
        <f t="shared" si="1"/>
        <v>2030655</v>
      </c>
      <c r="G5" s="245">
        <f t="shared" si="1"/>
        <v>15027879</v>
      </c>
      <c r="H5" s="895">
        <f t="shared" si="1"/>
        <v>0</v>
      </c>
      <c r="I5" s="244">
        <f t="shared" si="1"/>
        <v>655717</v>
      </c>
      <c r="J5" s="245">
        <f t="shared" si="1"/>
        <v>655717</v>
      </c>
      <c r="K5" s="895">
        <f t="shared" si="1"/>
        <v>0</v>
      </c>
      <c r="L5" s="244">
        <f t="shared" si="1"/>
        <v>655717</v>
      </c>
      <c r="M5" s="245">
        <f t="shared" si="1"/>
        <v>655717</v>
      </c>
      <c r="N5" s="895">
        <f t="shared" si="1"/>
        <v>0</v>
      </c>
      <c r="O5" s="244">
        <f t="shared" si="1"/>
        <v>655717</v>
      </c>
      <c r="P5" s="245">
        <f t="shared" si="1"/>
        <v>655717</v>
      </c>
      <c r="Q5" s="895">
        <f t="shared" si="1"/>
        <v>20607007</v>
      </c>
      <c r="R5" s="244">
        <f t="shared" si="1"/>
        <v>7392995</v>
      </c>
      <c r="S5" s="245">
        <f>SUM(S6:S11)</f>
        <v>28000002</v>
      </c>
      <c r="T5" s="246">
        <f>SUM(T6:T10)</f>
        <v>13214</v>
      </c>
      <c r="U5" s="247"/>
    </row>
    <row r="6" spans="1:26" s="173" customFormat="1" ht="51" x14ac:dyDescent="0.2">
      <c r="A6" s="248" t="str">
        <f>'3_Comp e Produtos'!A7</f>
        <v>1.1. Modelo de planejamento e gestão integrada orientada para resultados da segurança pública, incluindo a modernização das tecnologias de informação sobre o crime, apoio para a análise e investigação criminal, implementado</v>
      </c>
      <c r="B6" s="249"/>
      <c r="C6" s="250">
        <f>'9_Cronograma Físico'!AI7</f>
        <v>1086957</v>
      </c>
      <c r="D6" s="901">
        <f t="shared" ref="D6:D11" si="2">SUM(B6:C6)</f>
        <v>1086957</v>
      </c>
      <c r="E6" s="896">
        <f>'9_Cronograma Físico'!AN7/2</f>
        <v>1304348</v>
      </c>
      <c r="F6" s="250">
        <f>'9_Cronograma Físico'!AN7/2</f>
        <v>1304348</v>
      </c>
      <c r="G6" s="901">
        <f>SUM(E6:F6)</f>
        <v>2608696</v>
      </c>
      <c r="H6" s="896"/>
      <c r="I6" s="250"/>
      <c r="J6" s="901">
        <f>SUM(H6:I6)</f>
        <v>0</v>
      </c>
      <c r="K6" s="896"/>
      <c r="L6" s="250"/>
      <c r="M6" s="901">
        <f>SUM(K6:L6)</f>
        <v>0</v>
      </c>
      <c r="N6" s="896"/>
      <c r="O6" s="250"/>
      <c r="P6" s="901">
        <f>SUM(N6:O6)</f>
        <v>0</v>
      </c>
      <c r="Q6" s="905">
        <f>B6+E6+H6+K6+N6</f>
        <v>1304348</v>
      </c>
      <c r="R6" s="907">
        <f>C6+F6+I6+L6+O6</f>
        <v>2391305</v>
      </c>
      <c r="S6" s="251">
        <f>D6+G6+J6+M6+P6</f>
        <v>3695653</v>
      </c>
      <c r="T6" s="252">
        <f t="shared" ref="T6:T11" si="3">S6/2.1/1000</f>
        <v>1760</v>
      </c>
      <c r="U6" s="253"/>
      <c r="V6" s="253"/>
      <c r="W6" s="253"/>
      <c r="X6" s="253"/>
      <c r="Y6" s="253"/>
      <c r="Z6" s="253"/>
    </row>
    <row r="7" spans="1:26" s="173" customFormat="1" ht="25.5" x14ac:dyDescent="0.2">
      <c r="A7" s="248" t="str">
        <f>'3_Comp e Produtos'!A8</f>
        <v>1.2. Centro que integre a Perícia Técnico-Científica do Espírito Santo construído</v>
      </c>
      <c r="B7" s="249">
        <f>'9_Cronograma Físico'!AN8</f>
        <v>5725000</v>
      </c>
      <c r="C7" s="250"/>
      <c r="D7" s="901">
        <f t="shared" si="2"/>
        <v>5725000</v>
      </c>
      <c r="E7" s="896">
        <f>'9_Cronograma Físico'!AS8</f>
        <v>5725000</v>
      </c>
      <c r="F7" s="250"/>
      <c r="G7" s="901">
        <f t="shared" ref="G7:G11" si="4">SUM(E7:F7)</f>
        <v>5725000</v>
      </c>
      <c r="H7" s="896"/>
      <c r="I7" s="250"/>
      <c r="J7" s="901">
        <f t="shared" ref="J7:J11" si="5">SUM(H7:I7)</f>
        <v>0</v>
      </c>
      <c r="K7" s="896"/>
      <c r="L7" s="250"/>
      <c r="M7" s="901">
        <f t="shared" ref="M7:M11" si="6">SUM(K7:L7)</f>
        <v>0</v>
      </c>
      <c r="N7" s="896"/>
      <c r="O7" s="250"/>
      <c r="P7" s="901">
        <f t="shared" ref="P7:P11" si="7">SUM(N7:O7)</f>
        <v>0</v>
      </c>
      <c r="Q7" s="905">
        <f t="shared" ref="Q7:Q11" si="8">B7+E7+H7+K7+N7</f>
        <v>11450000</v>
      </c>
      <c r="R7" s="907">
        <f t="shared" ref="R7:R11" si="9">C7+F7+I7+L7+O7</f>
        <v>0</v>
      </c>
      <c r="S7" s="251">
        <f t="shared" ref="S7:S11" si="10">D7+G7+J7+M7+P7</f>
        <v>11450000</v>
      </c>
      <c r="T7" s="252">
        <f t="shared" si="3"/>
        <v>5452</v>
      </c>
      <c r="U7" s="253"/>
      <c r="V7" s="253"/>
      <c r="W7" s="253"/>
      <c r="X7" s="253"/>
      <c r="Y7" s="253"/>
      <c r="Z7" s="254"/>
    </row>
    <row r="8" spans="1:26" s="173" customFormat="1" x14ac:dyDescent="0.2">
      <c r="A8" s="248" t="str">
        <f>'3_Comp e Produtos'!A9</f>
        <v>1.3. Efetivo de policiamento comunitário capacitado</v>
      </c>
      <c r="B8" s="249"/>
      <c r="C8" s="250">
        <f>'9_Cronograma Físico'!AI9</f>
        <v>302859</v>
      </c>
      <c r="D8" s="901">
        <f t="shared" si="2"/>
        <v>302859</v>
      </c>
      <c r="E8" s="896"/>
      <c r="F8" s="250">
        <f>'9_Cronograma Físico'!AN9</f>
        <v>605717</v>
      </c>
      <c r="G8" s="901">
        <f t="shared" si="4"/>
        <v>605717</v>
      </c>
      <c r="H8" s="896"/>
      <c r="I8" s="250">
        <f>'9_Cronograma Físico'!AS9</f>
        <v>605717</v>
      </c>
      <c r="J8" s="901">
        <f t="shared" si="5"/>
        <v>605717</v>
      </c>
      <c r="K8" s="896"/>
      <c r="L8" s="250">
        <f>'9_Cronograma Físico'!AX9</f>
        <v>605717</v>
      </c>
      <c r="M8" s="901">
        <f t="shared" si="6"/>
        <v>605717</v>
      </c>
      <c r="N8" s="896"/>
      <c r="O8" s="250">
        <f>'9_Cronograma Físico'!BC9</f>
        <v>605717</v>
      </c>
      <c r="P8" s="901">
        <f t="shared" si="7"/>
        <v>605717</v>
      </c>
      <c r="Q8" s="905">
        <f t="shared" si="8"/>
        <v>0</v>
      </c>
      <c r="R8" s="907">
        <f t="shared" si="9"/>
        <v>2725727</v>
      </c>
      <c r="S8" s="251">
        <f t="shared" si="10"/>
        <v>2725727</v>
      </c>
      <c r="T8" s="252">
        <f t="shared" si="3"/>
        <v>1298</v>
      </c>
      <c r="U8" s="253"/>
      <c r="V8" s="253"/>
      <c r="W8" s="253"/>
      <c r="X8" s="253"/>
      <c r="Y8" s="253"/>
      <c r="Z8" s="254"/>
    </row>
    <row r="9" spans="1:26" s="173" customFormat="1" ht="25.5" x14ac:dyDescent="0.2">
      <c r="A9" s="248" t="str">
        <f>'3_Comp e Produtos'!A10</f>
        <v>1.4. Equipes de policiais militares capacitados e equipados para a execuçao do policiamento comunitário</v>
      </c>
      <c r="B9" s="249">
        <f>'9_Cronograma Físico'!AG10</f>
        <v>1884783</v>
      </c>
      <c r="C9" s="250">
        <f>'9_Cronograma Físico'!AH10</f>
        <v>1884783</v>
      </c>
      <c r="D9" s="901">
        <f t="shared" si="2"/>
        <v>3769566</v>
      </c>
      <c r="E9" s="896">
        <f>'9_Cronograma Físico'!AN10</f>
        <v>5967876</v>
      </c>
      <c r="F9" s="250"/>
      <c r="G9" s="901">
        <f t="shared" si="4"/>
        <v>5967876</v>
      </c>
      <c r="H9" s="896"/>
      <c r="I9" s="250"/>
      <c r="J9" s="901">
        <f t="shared" si="5"/>
        <v>0</v>
      </c>
      <c r="K9" s="896"/>
      <c r="L9" s="250"/>
      <c r="M9" s="901">
        <f t="shared" si="6"/>
        <v>0</v>
      </c>
      <c r="N9" s="896"/>
      <c r="O9" s="250"/>
      <c r="P9" s="901">
        <f t="shared" si="7"/>
        <v>0</v>
      </c>
      <c r="Q9" s="905">
        <f t="shared" si="8"/>
        <v>7852659</v>
      </c>
      <c r="R9" s="907">
        <f t="shared" si="9"/>
        <v>1884783</v>
      </c>
      <c r="S9" s="251">
        <f t="shared" si="10"/>
        <v>9737442</v>
      </c>
      <c r="T9" s="252">
        <f t="shared" si="3"/>
        <v>4637</v>
      </c>
      <c r="U9" s="253"/>
      <c r="V9" s="253"/>
      <c r="W9" s="253"/>
      <c r="X9" s="254"/>
      <c r="Y9" s="254"/>
      <c r="Z9" s="254"/>
    </row>
    <row r="10" spans="1:26" s="173" customFormat="1" ht="25.5" x14ac:dyDescent="0.2">
      <c r="A10" s="248" t="str">
        <f>'3_Comp e Produtos'!A11</f>
        <v>1.5. Foros Comunitários de Segurança Pública implantados e operando nos territórios do Programa</v>
      </c>
      <c r="B10" s="249"/>
      <c r="C10" s="250">
        <f>'9_Cronograma Físico'!AI11</f>
        <v>70590</v>
      </c>
      <c r="D10" s="901">
        <f t="shared" si="2"/>
        <v>70590</v>
      </c>
      <c r="E10" s="896"/>
      <c r="F10" s="250">
        <f>'9_Cronograma Físico'!AN11</f>
        <v>70590</v>
      </c>
      <c r="G10" s="901">
        <f t="shared" si="4"/>
        <v>70590</v>
      </c>
      <c r="H10" s="896">
        <f>'9_Cronograma Físico'!$AS$11</f>
        <v>0</v>
      </c>
      <c r="I10" s="250"/>
      <c r="J10" s="901">
        <f t="shared" si="5"/>
        <v>0</v>
      </c>
      <c r="K10" s="896">
        <f>'9_Cronograma Físico'!$AX$11</f>
        <v>0</v>
      </c>
      <c r="L10" s="250">
        <v>0</v>
      </c>
      <c r="M10" s="901">
        <f t="shared" si="6"/>
        <v>0</v>
      </c>
      <c r="N10" s="896"/>
      <c r="O10" s="250"/>
      <c r="P10" s="901">
        <f t="shared" si="7"/>
        <v>0</v>
      </c>
      <c r="Q10" s="905">
        <f t="shared" si="8"/>
        <v>0</v>
      </c>
      <c r="R10" s="907">
        <f t="shared" si="9"/>
        <v>141180</v>
      </c>
      <c r="S10" s="251">
        <f t="shared" si="10"/>
        <v>141180</v>
      </c>
      <c r="T10" s="252">
        <f t="shared" si="3"/>
        <v>67</v>
      </c>
      <c r="U10" s="254"/>
      <c r="V10" s="254"/>
      <c r="W10" s="254"/>
      <c r="X10" s="254"/>
      <c r="Y10" s="254"/>
      <c r="Z10" s="254"/>
    </row>
    <row r="11" spans="1:26" s="173" customFormat="1" ht="25.5" x14ac:dyDescent="0.2">
      <c r="A11" s="248" t="str">
        <f>'3_Comp e Produtos'!A12</f>
        <v xml:space="preserve">1.6. Certificação do adequado funcionamento do controle externo e interno das polícias nos territórios do Programa </v>
      </c>
      <c r="B11" s="249"/>
      <c r="C11" s="250">
        <f>'9_Cronograma Físico'!AI12</f>
        <v>50000</v>
      </c>
      <c r="D11" s="901">
        <f t="shared" si="2"/>
        <v>50000</v>
      </c>
      <c r="E11" s="896"/>
      <c r="F11" s="250">
        <f>'9_Cronograma Físico'!AN12</f>
        <v>50000</v>
      </c>
      <c r="G11" s="901">
        <f t="shared" si="4"/>
        <v>50000</v>
      </c>
      <c r="H11" s="896"/>
      <c r="I11" s="250">
        <f>'9_Cronograma Físico'!AS12</f>
        <v>50000</v>
      </c>
      <c r="J11" s="901">
        <f t="shared" si="5"/>
        <v>50000</v>
      </c>
      <c r="K11" s="896"/>
      <c r="L11" s="250">
        <f>'9_Cronograma Físico'!AX12</f>
        <v>50000</v>
      </c>
      <c r="M11" s="901">
        <f t="shared" si="6"/>
        <v>50000</v>
      </c>
      <c r="N11" s="896"/>
      <c r="O11" s="250">
        <f>'9_Cronograma Físico'!BC12</f>
        <v>50000</v>
      </c>
      <c r="P11" s="901">
        <f t="shared" si="7"/>
        <v>50000</v>
      </c>
      <c r="Q11" s="905">
        <f t="shared" si="8"/>
        <v>0</v>
      </c>
      <c r="R11" s="907">
        <f t="shared" si="9"/>
        <v>250000</v>
      </c>
      <c r="S11" s="251">
        <f t="shared" si="10"/>
        <v>250000</v>
      </c>
      <c r="T11" s="252">
        <f t="shared" si="3"/>
        <v>119</v>
      </c>
      <c r="U11" s="254"/>
      <c r="V11" s="254"/>
      <c r="W11" s="254"/>
      <c r="X11" s="254"/>
      <c r="Y11" s="254"/>
      <c r="Z11" s="254"/>
    </row>
    <row r="12" spans="1:26" s="173" customFormat="1" ht="25.5" x14ac:dyDescent="0.2">
      <c r="A12" s="243" t="str">
        <f>'3_Comp e Produtos'!A13</f>
        <v>COMPONENTE 2: PREVENÇÃO SOCIAL DA VIOLÊNCIA PARA A POPULAÇÃO JOVEM</v>
      </c>
      <c r="B12" s="244">
        <f t="shared" ref="B12:S12" si="11">SUM(B13:B16)</f>
        <v>1944677</v>
      </c>
      <c r="C12" s="244">
        <f t="shared" si="11"/>
        <v>0</v>
      </c>
      <c r="D12" s="245">
        <f t="shared" si="11"/>
        <v>1944677</v>
      </c>
      <c r="E12" s="895">
        <f t="shared" si="11"/>
        <v>11374223</v>
      </c>
      <c r="F12" s="244">
        <f t="shared" si="11"/>
        <v>3013043</v>
      </c>
      <c r="G12" s="245">
        <f t="shared" si="11"/>
        <v>14387266</v>
      </c>
      <c r="H12" s="895">
        <f t="shared" si="11"/>
        <v>3889353</v>
      </c>
      <c r="I12" s="244">
        <f t="shared" si="11"/>
        <v>0</v>
      </c>
      <c r="J12" s="245">
        <f t="shared" si="11"/>
        <v>3889353</v>
      </c>
      <c r="K12" s="895">
        <f t="shared" si="11"/>
        <v>3889353</v>
      </c>
      <c r="L12" s="244">
        <f t="shared" si="11"/>
        <v>0</v>
      </c>
      <c r="M12" s="245">
        <f t="shared" si="11"/>
        <v>3889353</v>
      </c>
      <c r="N12" s="895">
        <f t="shared" si="11"/>
        <v>3889353</v>
      </c>
      <c r="O12" s="244">
        <f t="shared" si="11"/>
        <v>0</v>
      </c>
      <c r="P12" s="245">
        <f t="shared" si="11"/>
        <v>3889353</v>
      </c>
      <c r="Q12" s="895">
        <f t="shared" si="11"/>
        <v>24986959</v>
      </c>
      <c r="R12" s="244">
        <f t="shared" si="11"/>
        <v>3013043</v>
      </c>
      <c r="S12" s="245">
        <f t="shared" si="11"/>
        <v>28000002</v>
      </c>
      <c r="T12" s="252"/>
      <c r="U12" s="242"/>
    </row>
    <row r="13" spans="1:26" s="173" customFormat="1" ht="38.25" x14ac:dyDescent="0.2">
      <c r="A13" s="248" t="str">
        <f>'3_Comp e Produtos'!A14</f>
        <v>2.1. Centros de Cidadania (CC) para práticas esportivas, culturais, recreativas, de educação supletiva e formação para o trabalho implantadas</v>
      </c>
      <c r="B13" s="249">
        <f>'9_Cronograma Físico'!AI14</f>
        <v>1263732</v>
      </c>
      <c r="C13" s="250"/>
      <c r="D13" s="901">
        <f>SUM(B13:C13)</f>
        <v>1263732</v>
      </c>
      <c r="E13" s="896">
        <f>'9_Cronograma Físico'!AN14</f>
        <v>2527464</v>
      </c>
      <c r="F13" s="250"/>
      <c r="G13" s="901">
        <f>SUM(E13:F13)</f>
        <v>2527464</v>
      </c>
      <c r="H13" s="896">
        <f>'9_Cronograma Físico'!AS14</f>
        <v>2527464</v>
      </c>
      <c r="I13" s="250"/>
      <c r="J13" s="901">
        <f>SUM(H13:I13)</f>
        <v>2527464</v>
      </c>
      <c r="K13" s="896">
        <f>'9_Cronograma Físico'!AX14</f>
        <v>2527464</v>
      </c>
      <c r="L13" s="250"/>
      <c r="M13" s="901">
        <f>SUM(K13:L13)</f>
        <v>2527464</v>
      </c>
      <c r="N13" s="896">
        <f>'9_Cronograma Físico'!BC14</f>
        <v>2527464</v>
      </c>
      <c r="O13" s="250"/>
      <c r="P13" s="901">
        <f>SUM(N13:O13)</f>
        <v>2527464</v>
      </c>
      <c r="Q13" s="905">
        <f>B13+E13+H13+K13+N13</f>
        <v>11373588</v>
      </c>
      <c r="R13" s="907">
        <f>C13+F13+I13+L13+O13</f>
        <v>0</v>
      </c>
      <c r="S13" s="251">
        <f>D13+G13+J13+M13+P13</f>
        <v>11373588</v>
      </c>
      <c r="T13" s="176">
        <f>S13/2.1/1000</f>
        <v>5415.99</v>
      </c>
      <c r="U13" s="255"/>
    </row>
    <row r="14" spans="1:26" s="173" customFormat="1" x14ac:dyDescent="0.2">
      <c r="A14" s="248" t="str">
        <f>'3_Comp e Produtos'!A15</f>
        <v>2.2. Estação de Conhecimento implantado</v>
      </c>
      <c r="B14" s="249"/>
      <c r="C14" s="250"/>
      <c r="D14" s="901">
        <f t="shared" ref="D14:D16" si="12">SUM(B14:C14)</f>
        <v>0</v>
      </c>
      <c r="E14" s="896">
        <f>G14-F14</f>
        <v>5682609</v>
      </c>
      <c r="F14" s="250">
        <f>G14*0.34649999975745</f>
        <v>3013043</v>
      </c>
      <c r="G14" s="901">
        <f>'9_Cronograma Físico'!AN15</f>
        <v>8695652</v>
      </c>
      <c r="H14" s="896"/>
      <c r="I14" s="250"/>
      <c r="J14" s="901">
        <f t="shared" ref="J14:J16" si="13">SUM(H14:I14)</f>
        <v>0</v>
      </c>
      <c r="K14" s="896"/>
      <c r="L14" s="250"/>
      <c r="M14" s="901">
        <f t="shared" ref="M14:M16" si="14">SUM(K14:L14)</f>
        <v>0</v>
      </c>
      <c r="N14" s="896"/>
      <c r="O14" s="250"/>
      <c r="P14" s="901">
        <f t="shared" ref="P14:P16" si="15">SUM(N14:O14)</f>
        <v>0</v>
      </c>
      <c r="Q14" s="905">
        <f t="shared" ref="Q14:Q16" si="16">B14+E14+H14+K14+N14</f>
        <v>5682609</v>
      </c>
      <c r="R14" s="907">
        <f t="shared" ref="R14:R16" si="17">C14+F14+I14+L14+O14</f>
        <v>3013043</v>
      </c>
      <c r="S14" s="251">
        <f t="shared" ref="S14:S16" si="18">D14+G14+J14+M14+P14</f>
        <v>8695652</v>
      </c>
      <c r="T14" s="176">
        <f>S14/2.1/1000</f>
        <v>4140.79</v>
      </c>
      <c r="U14" s="908"/>
    </row>
    <row r="15" spans="1:26" s="173" customFormat="1" ht="25.5" x14ac:dyDescent="0.2">
      <c r="A15" s="248" t="str">
        <f>'3_Comp e Produtos'!A16</f>
        <v>2.3. Cobertura de serviços de assistência a dependentes de álcool e drogas, ampliada</v>
      </c>
      <c r="B15" s="249"/>
      <c r="C15" s="250"/>
      <c r="D15" s="901">
        <f t="shared" si="12"/>
        <v>0</v>
      </c>
      <c r="E15" s="896">
        <f>'9_Cronograma Físico'!AN16</f>
        <v>1802261</v>
      </c>
      <c r="F15" s="250"/>
      <c r="G15" s="901">
        <f t="shared" ref="G15:G16" si="19">SUM(E15:F15)</f>
        <v>1802261</v>
      </c>
      <c r="H15" s="896"/>
      <c r="I15" s="250"/>
      <c r="J15" s="901">
        <f t="shared" si="13"/>
        <v>0</v>
      </c>
      <c r="K15" s="896"/>
      <c r="L15" s="250"/>
      <c r="M15" s="901">
        <f t="shared" si="14"/>
        <v>0</v>
      </c>
      <c r="N15" s="896"/>
      <c r="O15" s="250"/>
      <c r="P15" s="901">
        <f t="shared" si="15"/>
        <v>0</v>
      </c>
      <c r="Q15" s="905">
        <f t="shared" si="16"/>
        <v>1802261</v>
      </c>
      <c r="R15" s="907">
        <f t="shared" si="17"/>
        <v>0</v>
      </c>
      <c r="S15" s="251">
        <f t="shared" si="18"/>
        <v>1802261</v>
      </c>
      <c r="T15" s="176">
        <f>S15/2.1/1000</f>
        <v>858.22</v>
      </c>
      <c r="U15" s="255"/>
    </row>
    <row r="16" spans="1:26" s="173" customFormat="1" ht="38.25" x14ac:dyDescent="0.2">
      <c r="A16" s="248" t="str">
        <f>'3_Comp e Produtos'!A17</f>
        <v>2.4. Ações voltadas ao sistema educativo que promovam a permanência dos jovens na escola e a conclusão do Ensino Fundamental e Ensino Médio implantadas</v>
      </c>
      <c r="B16" s="249">
        <f>'9_Cronograma Físico'!AI17</f>
        <v>680945</v>
      </c>
      <c r="C16" s="250"/>
      <c r="D16" s="901">
        <f t="shared" si="12"/>
        <v>680945</v>
      </c>
      <c r="E16" s="896">
        <f>'9_Cronograma Físico'!AN17</f>
        <v>1361889</v>
      </c>
      <c r="F16" s="250"/>
      <c r="G16" s="901">
        <f t="shared" si="19"/>
        <v>1361889</v>
      </c>
      <c r="H16" s="896">
        <f>'9_Cronograma Físico'!AS17</f>
        <v>1361889</v>
      </c>
      <c r="I16" s="250"/>
      <c r="J16" s="901">
        <f t="shared" si="13"/>
        <v>1361889</v>
      </c>
      <c r="K16" s="896">
        <f>'9_Cronograma Físico'!AX17</f>
        <v>1361889</v>
      </c>
      <c r="L16" s="250"/>
      <c r="M16" s="901">
        <f t="shared" si="14"/>
        <v>1361889</v>
      </c>
      <c r="N16" s="896">
        <f>'9_Cronograma Físico'!BC17</f>
        <v>1361889</v>
      </c>
      <c r="O16" s="250"/>
      <c r="P16" s="901">
        <f t="shared" si="15"/>
        <v>1361889</v>
      </c>
      <c r="Q16" s="905">
        <f t="shared" si="16"/>
        <v>6128501</v>
      </c>
      <c r="R16" s="907">
        <f t="shared" si="17"/>
        <v>0</v>
      </c>
      <c r="S16" s="251">
        <f t="shared" si="18"/>
        <v>6128501</v>
      </c>
      <c r="T16" s="176">
        <f>S16/2.1/1000</f>
        <v>2918.33</v>
      </c>
      <c r="U16" s="255"/>
    </row>
    <row r="17" spans="1:21" s="173" customFormat="1" ht="25.5" x14ac:dyDescent="0.2">
      <c r="A17" s="243" t="str">
        <f>'3_Comp e Produtos'!A18</f>
        <v>COMPONENTE 3: MODERNIZAÇÃO DO PROCESSO DE RESSOCIALIZAÇÃO</v>
      </c>
      <c r="B17" s="364">
        <f>SUM(B18:B22)</f>
        <v>2105175</v>
      </c>
      <c r="C17" s="364">
        <f t="shared" ref="C17:S17" si="20">SUM(C18:C22)</f>
        <v>199898</v>
      </c>
      <c r="D17" s="902">
        <f t="shared" si="20"/>
        <v>2305073</v>
      </c>
      <c r="E17" s="897">
        <f t="shared" si="20"/>
        <v>2504559</v>
      </c>
      <c r="F17" s="364">
        <f t="shared" si="20"/>
        <v>2194677</v>
      </c>
      <c r="G17" s="902">
        <f t="shared" si="20"/>
        <v>4699236</v>
      </c>
      <c r="H17" s="897">
        <f t="shared" si="20"/>
        <v>798768</v>
      </c>
      <c r="I17" s="364">
        <f t="shared" si="20"/>
        <v>399796</v>
      </c>
      <c r="J17" s="902">
        <f t="shared" si="20"/>
        <v>1198564</v>
      </c>
      <c r="K17" s="897">
        <f t="shared" si="20"/>
        <v>798768</v>
      </c>
      <c r="L17" s="364">
        <f t="shared" si="20"/>
        <v>399796</v>
      </c>
      <c r="M17" s="902">
        <f t="shared" si="20"/>
        <v>1198564</v>
      </c>
      <c r="N17" s="897">
        <f t="shared" si="20"/>
        <v>798768</v>
      </c>
      <c r="O17" s="364">
        <f t="shared" si="20"/>
        <v>399796</v>
      </c>
      <c r="P17" s="902">
        <f t="shared" si="20"/>
        <v>1198564</v>
      </c>
      <c r="Q17" s="897">
        <f t="shared" si="20"/>
        <v>7006038</v>
      </c>
      <c r="R17" s="364">
        <f t="shared" si="20"/>
        <v>3593963</v>
      </c>
      <c r="S17" s="902">
        <f t="shared" si="20"/>
        <v>10600001</v>
      </c>
      <c r="T17" s="176"/>
      <c r="U17" s="255"/>
    </row>
    <row r="18" spans="1:21" s="173" customFormat="1" ht="25.5" x14ac:dyDescent="0.2">
      <c r="A18" s="248" t="str">
        <f>'3_Comp e Produtos'!A19</f>
        <v>3.1. Plano de formação contínua para servidores do IASES, implantado</v>
      </c>
      <c r="B18" s="249">
        <f>'9_Cronograma Físico'!AI19</f>
        <v>164499</v>
      </c>
      <c r="C18" s="250"/>
      <c r="D18" s="901">
        <f>SUM(B18:C18)</f>
        <v>164499</v>
      </c>
      <c r="E18" s="896">
        <f>'9_Cronograma Físico'!AN19</f>
        <v>328999</v>
      </c>
      <c r="F18" s="250"/>
      <c r="G18" s="901">
        <f>SUM(E18:F18)</f>
        <v>328999</v>
      </c>
      <c r="H18" s="896">
        <f>'9_Cronograma Físico'!AS19</f>
        <v>328999</v>
      </c>
      <c r="I18" s="250"/>
      <c r="J18" s="901">
        <f>SUM(H18:I18)</f>
        <v>328999</v>
      </c>
      <c r="K18" s="896">
        <f>'9_Cronograma Físico'!AX19</f>
        <v>328999</v>
      </c>
      <c r="L18" s="250"/>
      <c r="M18" s="901">
        <f>SUM(K18:L18)</f>
        <v>328999</v>
      </c>
      <c r="N18" s="896">
        <f>'9_Cronograma Físico'!BC19</f>
        <v>328999</v>
      </c>
      <c r="O18" s="250"/>
      <c r="P18" s="901">
        <f>SUM(N18:O18)</f>
        <v>328999</v>
      </c>
      <c r="Q18" s="905">
        <f>SUM(B18+E18+H18+K18+N18)</f>
        <v>1480495</v>
      </c>
      <c r="R18" s="907">
        <f>SUM(C18+F18+I18+L18+O18)</f>
        <v>0</v>
      </c>
      <c r="S18" s="251">
        <f>SUM(D18+G18+J18+M18+P18)</f>
        <v>1480495</v>
      </c>
      <c r="T18" s="176"/>
      <c r="U18" s="255"/>
    </row>
    <row r="19" spans="1:21" s="173" customFormat="1" ht="25.5" x14ac:dyDescent="0.2">
      <c r="A19" s="248" t="str">
        <f>'3_Comp e Produtos'!A20</f>
        <v>3.2. Modernização do sistema de gestão de dados do IASES, implementada</v>
      </c>
      <c r="B19" s="249">
        <f>'9_Cronograma Físico'!AI20</f>
        <v>965543</v>
      </c>
      <c r="C19" s="250"/>
      <c r="D19" s="901">
        <f t="shared" ref="D19:D22" si="21">SUM(B19:C19)</f>
        <v>965543</v>
      </c>
      <c r="E19" s="896">
        <f>'9_Cronograma Físico'!AN20</f>
        <v>965543</v>
      </c>
      <c r="F19" s="250"/>
      <c r="G19" s="901">
        <f t="shared" ref="G19:G22" si="22">SUM(E19:F19)</f>
        <v>965543</v>
      </c>
      <c r="H19" s="896"/>
      <c r="I19" s="250"/>
      <c r="J19" s="901">
        <f t="shared" ref="J19:J22" si="23">SUM(H19:I19)</f>
        <v>0</v>
      </c>
      <c r="K19" s="896"/>
      <c r="L19" s="250"/>
      <c r="M19" s="901">
        <f t="shared" ref="M19:M22" si="24">SUM(K19:L19)</f>
        <v>0</v>
      </c>
      <c r="N19" s="896"/>
      <c r="O19" s="250"/>
      <c r="P19" s="901">
        <f t="shared" ref="P19:P22" si="25">SUM(N19:O19)</f>
        <v>0</v>
      </c>
      <c r="Q19" s="905">
        <f t="shared" ref="Q19:Q22" si="26">SUM(B19+E19+H19+K19+N19)</f>
        <v>1931086</v>
      </c>
      <c r="R19" s="907">
        <f t="shared" ref="R19:R22" si="27">SUM(C19+F19+I19+L19+O19)</f>
        <v>0</v>
      </c>
      <c r="S19" s="251">
        <f t="shared" ref="S19:S22" si="28">SUM(D19+G19+J19+M19+P19)</f>
        <v>1931086</v>
      </c>
      <c r="T19" s="176"/>
      <c r="U19" s="255"/>
    </row>
    <row r="20" spans="1:21" s="173" customFormat="1" ht="38.25" x14ac:dyDescent="0.2">
      <c r="A20" s="248" t="str">
        <f>'3_Comp e Produtos'!A21</f>
        <v>3.3. Centro de Atenção e Inclusão Social (CAIS) de apio à reintegração de jovens egressos das unidades socioeducativas do IASES, implantado</v>
      </c>
      <c r="B20" s="249"/>
      <c r="C20" s="250"/>
      <c r="D20" s="901">
        <f t="shared" si="21"/>
        <v>0</v>
      </c>
      <c r="E20" s="896"/>
      <c r="F20" s="250">
        <f>'9_Cronograma Físico'!AN21</f>
        <v>1794881</v>
      </c>
      <c r="G20" s="901">
        <f t="shared" si="22"/>
        <v>1794881</v>
      </c>
      <c r="H20" s="896"/>
      <c r="I20" s="250"/>
      <c r="J20" s="901">
        <f t="shared" si="23"/>
        <v>0</v>
      </c>
      <c r="K20" s="896"/>
      <c r="L20" s="250"/>
      <c r="M20" s="901">
        <f t="shared" si="24"/>
        <v>0</v>
      </c>
      <c r="N20" s="896"/>
      <c r="O20" s="250"/>
      <c r="P20" s="901">
        <f t="shared" si="25"/>
        <v>0</v>
      </c>
      <c r="Q20" s="905">
        <f t="shared" si="26"/>
        <v>0</v>
      </c>
      <c r="R20" s="907">
        <f t="shared" si="27"/>
        <v>1794881</v>
      </c>
      <c r="S20" s="251">
        <f t="shared" si="28"/>
        <v>1794881</v>
      </c>
      <c r="T20" s="176"/>
      <c r="U20" s="255"/>
    </row>
    <row r="21" spans="1:21" s="173" customFormat="1" ht="25.5" x14ac:dyDescent="0.2">
      <c r="A21" s="248" t="str">
        <f>'3_Comp e Produtos'!A22</f>
        <v>3.4. Jovens internados atendidos com serviços de esporte, lazer, cultura, formação profissional, capacitação laboral, etc.</v>
      </c>
      <c r="B21" s="249">
        <f>D21-C21</f>
        <v>234885</v>
      </c>
      <c r="C21" s="250">
        <f>D21*0.45976514</f>
        <v>199898</v>
      </c>
      <c r="D21" s="901">
        <f>'9_Cronograma Físico'!AI22</f>
        <v>434783</v>
      </c>
      <c r="E21" s="896">
        <f>G21-F21</f>
        <v>469769</v>
      </c>
      <c r="F21" s="250">
        <f>G21*0.45976514</f>
        <v>399796</v>
      </c>
      <c r="G21" s="901">
        <f>'9_Cronograma Físico'!AN22</f>
        <v>869565</v>
      </c>
      <c r="H21" s="896">
        <f>J21-I21</f>
        <v>469769</v>
      </c>
      <c r="I21" s="250">
        <f>J21*0.45976514</f>
        <v>399796</v>
      </c>
      <c r="J21" s="901">
        <f>'9_Cronograma Físico'!AS22</f>
        <v>869565</v>
      </c>
      <c r="K21" s="896">
        <f>M21-L21</f>
        <v>469769</v>
      </c>
      <c r="L21" s="250">
        <f>M21*0.45976514</f>
        <v>399796</v>
      </c>
      <c r="M21" s="901">
        <f>'9_Cronograma Físico'!AX22</f>
        <v>869565</v>
      </c>
      <c r="N21" s="896">
        <f>P21-O21</f>
        <v>469769</v>
      </c>
      <c r="O21" s="250">
        <f>P21*0.45976514</f>
        <v>399796</v>
      </c>
      <c r="P21" s="901">
        <f>'9_Cronograma Físico'!BC22</f>
        <v>869565</v>
      </c>
      <c r="Q21" s="905">
        <f t="shared" si="26"/>
        <v>2113961</v>
      </c>
      <c r="R21" s="907">
        <f t="shared" si="27"/>
        <v>1799082</v>
      </c>
      <c r="S21" s="251">
        <f t="shared" si="28"/>
        <v>3913043</v>
      </c>
      <c r="T21" s="176"/>
      <c r="U21" s="908"/>
    </row>
    <row r="22" spans="1:21" s="173" customFormat="1" ht="26.25" thickBot="1" x14ac:dyDescent="0.25">
      <c r="A22" s="248" t="str">
        <f>'3_Comp e Produtos'!A23</f>
        <v>3.5. Sistema de videomonitoramento implantado nas unidades do IASES</v>
      </c>
      <c r="B22" s="249">
        <f>'9_Cronograma Físico'!AI23</f>
        <v>740248</v>
      </c>
      <c r="C22" s="250"/>
      <c r="D22" s="901">
        <f t="shared" si="21"/>
        <v>740248</v>
      </c>
      <c r="E22" s="896">
        <f>'9_Cronograma Físico'!AN23</f>
        <v>740248</v>
      </c>
      <c r="F22" s="250"/>
      <c r="G22" s="901">
        <f t="shared" si="22"/>
        <v>740248</v>
      </c>
      <c r="H22" s="896"/>
      <c r="I22" s="250"/>
      <c r="J22" s="901">
        <f t="shared" si="23"/>
        <v>0</v>
      </c>
      <c r="K22" s="896"/>
      <c r="L22" s="250"/>
      <c r="M22" s="901">
        <f t="shared" si="24"/>
        <v>0</v>
      </c>
      <c r="N22" s="896"/>
      <c r="O22" s="250"/>
      <c r="P22" s="901">
        <f t="shared" si="25"/>
        <v>0</v>
      </c>
      <c r="Q22" s="905">
        <f t="shared" si="26"/>
        <v>1480496</v>
      </c>
      <c r="R22" s="907">
        <f t="shared" si="27"/>
        <v>0</v>
      </c>
      <c r="S22" s="251">
        <f t="shared" si="28"/>
        <v>1480496</v>
      </c>
      <c r="T22" s="176"/>
      <c r="U22" s="255"/>
    </row>
    <row r="23" spans="1:21" s="177" customFormat="1" x14ac:dyDescent="0.2">
      <c r="A23" s="886" t="str">
        <f>'3_Comp e Produtos'!A24</f>
        <v>Administração</v>
      </c>
      <c r="B23" s="66">
        <f>SUM(B24:B25)</f>
        <v>377777</v>
      </c>
      <c r="C23" s="66">
        <f t="shared" ref="C23:R23" si="29">SUM(C24:C25)</f>
        <v>0</v>
      </c>
      <c r="D23" s="256">
        <f t="shared" si="29"/>
        <v>377777</v>
      </c>
      <c r="E23" s="898">
        <f t="shared" si="29"/>
        <v>755556</v>
      </c>
      <c r="F23" s="66">
        <f t="shared" si="29"/>
        <v>0</v>
      </c>
      <c r="G23" s="256">
        <f t="shared" si="29"/>
        <v>755556</v>
      </c>
      <c r="H23" s="898">
        <f t="shared" si="29"/>
        <v>755556</v>
      </c>
      <c r="I23" s="66">
        <f t="shared" si="29"/>
        <v>0</v>
      </c>
      <c r="J23" s="256">
        <f t="shared" si="29"/>
        <v>755556</v>
      </c>
      <c r="K23" s="898">
        <f t="shared" si="29"/>
        <v>755556</v>
      </c>
      <c r="L23" s="66">
        <f t="shared" si="29"/>
        <v>0</v>
      </c>
      <c r="M23" s="256">
        <f t="shared" si="29"/>
        <v>755556</v>
      </c>
      <c r="N23" s="898">
        <f t="shared" si="29"/>
        <v>755556</v>
      </c>
      <c r="O23" s="66">
        <f t="shared" si="29"/>
        <v>0</v>
      </c>
      <c r="P23" s="256">
        <f t="shared" si="29"/>
        <v>755556</v>
      </c>
      <c r="Q23" s="898">
        <f t="shared" si="29"/>
        <v>3400001</v>
      </c>
      <c r="R23" s="66">
        <f t="shared" si="29"/>
        <v>0</v>
      </c>
      <c r="S23" s="256">
        <f>SUM(S24:S25)</f>
        <v>3400001</v>
      </c>
      <c r="T23" s="257">
        <f t="shared" ref="T23" si="30">SUM(T25:T25)</f>
        <v>630.42999999999995</v>
      </c>
      <c r="U23" s="258"/>
    </row>
    <row r="24" spans="1:21" s="173" customFormat="1" x14ac:dyDescent="0.2">
      <c r="A24" s="292" t="str">
        <f>'3_Comp e Produtos'!A25</f>
        <v>A.1. Estruturação da Unidade de Gestão do Programa</v>
      </c>
      <c r="B24" s="249">
        <f>'9_Cronograma Físico'!AI25</f>
        <v>230676</v>
      </c>
      <c r="C24" s="250"/>
      <c r="D24" s="901">
        <f>SUM(B24:C24)</f>
        <v>230676</v>
      </c>
      <c r="E24" s="896">
        <f>'9_Cronograma Físico'!AN25</f>
        <v>461353</v>
      </c>
      <c r="F24" s="250"/>
      <c r="G24" s="901">
        <f>SUM(E24:F24)</f>
        <v>461353</v>
      </c>
      <c r="H24" s="896">
        <f>'9_Cronograma Físico'!AS25</f>
        <v>461353</v>
      </c>
      <c r="I24" s="250"/>
      <c r="J24" s="901">
        <f>SUM(H24:I24)</f>
        <v>461353</v>
      </c>
      <c r="K24" s="896">
        <f>'9_Cronograma Físico'!AX25</f>
        <v>461353</v>
      </c>
      <c r="L24" s="250"/>
      <c r="M24" s="901">
        <f>SUM(K24:L24)</f>
        <v>461353</v>
      </c>
      <c r="N24" s="896">
        <f>'9_Cronograma Físico'!BC25</f>
        <v>461353</v>
      </c>
      <c r="O24" s="250"/>
      <c r="P24" s="901">
        <f>SUM(N24:O24)</f>
        <v>461353</v>
      </c>
      <c r="Q24" s="905">
        <f t="shared" ref="Q24:S25" si="31">SUM(B24+E24+H24+K24+N24)</f>
        <v>2076088</v>
      </c>
      <c r="R24" s="907">
        <f t="shared" si="31"/>
        <v>0</v>
      </c>
      <c r="S24" s="251">
        <f t="shared" si="31"/>
        <v>2076088</v>
      </c>
      <c r="T24" s="176"/>
      <c r="U24" s="255"/>
    </row>
    <row r="25" spans="1:21" s="173" customFormat="1" x14ac:dyDescent="0.2">
      <c r="A25" s="292" t="str">
        <f>'3_Comp e Produtos'!A26</f>
        <v>A.2. Sistemática de Monitoramento e Avaliação do Programa</v>
      </c>
      <c r="B25" s="249">
        <f>'9_Cronograma Físico'!AI26</f>
        <v>147101</v>
      </c>
      <c r="C25" s="250"/>
      <c r="D25" s="901">
        <f>SUM(B25:C25)</f>
        <v>147101</v>
      </c>
      <c r="E25" s="896">
        <f>'9_Cronograma Físico'!AN26</f>
        <v>294203</v>
      </c>
      <c r="F25" s="250"/>
      <c r="G25" s="901">
        <f>SUM(E25:F25)</f>
        <v>294203</v>
      </c>
      <c r="H25" s="896">
        <f>'9_Cronograma Físico'!AS26</f>
        <v>294203</v>
      </c>
      <c r="I25" s="250"/>
      <c r="J25" s="901">
        <f>SUM(H25:I25)</f>
        <v>294203</v>
      </c>
      <c r="K25" s="896">
        <f>'9_Cronograma Físico'!AX26</f>
        <v>294203</v>
      </c>
      <c r="L25" s="250"/>
      <c r="M25" s="901">
        <f>SUM(K25:L25)</f>
        <v>294203</v>
      </c>
      <c r="N25" s="896">
        <f>'9_Cronograma Físico'!BC26</f>
        <v>294203</v>
      </c>
      <c r="O25" s="250"/>
      <c r="P25" s="901">
        <f>SUM(N25:O25)</f>
        <v>294203</v>
      </c>
      <c r="Q25" s="905">
        <f t="shared" si="31"/>
        <v>1323913</v>
      </c>
      <c r="R25" s="907">
        <f t="shared" si="31"/>
        <v>0</v>
      </c>
      <c r="S25" s="251">
        <f t="shared" si="31"/>
        <v>1323913</v>
      </c>
      <c r="T25" s="176">
        <f>S25/2.1/1000</f>
        <v>630.42999999999995</v>
      </c>
      <c r="U25" s="255"/>
    </row>
    <row r="26" spans="1:21" x14ac:dyDescent="0.2"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259">
        <f>S26/2.1/1000</f>
        <v>0</v>
      </c>
    </row>
    <row r="27" spans="1:21" x14ac:dyDescent="0.2">
      <c r="D27" s="175"/>
      <c r="Q27" s="22"/>
      <c r="R27" s="179"/>
      <c r="S27" s="179"/>
    </row>
    <row r="29" spans="1:21" x14ac:dyDescent="0.2">
      <c r="M29" s="909"/>
      <c r="N29" s="909"/>
      <c r="O29" s="909">
        <v>14000000</v>
      </c>
      <c r="P29" s="909"/>
      <c r="Q29" s="910"/>
    </row>
    <row r="30" spans="1:21" x14ac:dyDescent="0.2">
      <c r="M30" s="909"/>
      <c r="N30" s="909"/>
      <c r="O30" s="910">
        <f>O29-R5-R12-R20</f>
        <v>1799081</v>
      </c>
      <c r="P30" s="909"/>
      <c r="Q30" s="909">
        <v>14000000</v>
      </c>
    </row>
    <row r="31" spans="1:21" x14ac:dyDescent="0.2">
      <c r="M31" s="909"/>
      <c r="N31" s="909"/>
      <c r="O31" s="909"/>
      <c r="P31" s="909"/>
      <c r="Q31" s="910">
        <f>R12+R5</f>
        <v>10406038</v>
      </c>
      <c r="R31" s="179"/>
    </row>
    <row r="32" spans="1:21" x14ac:dyDescent="0.2">
      <c r="M32" s="909"/>
      <c r="N32" s="909"/>
      <c r="O32" s="909"/>
      <c r="P32" s="909"/>
      <c r="Q32" s="910">
        <f>Q30-Q31</f>
        <v>3593962</v>
      </c>
    </row>
    <row r="33" spans="13:17" x14ac:dyDescent="0.2">
      <c r="M33" s="911">
        <f>O30/'9_Cronograma Físico'!Y22</f>
        <v>0.45976514000000002</v>
      </c>
      <c r="N33" s="909"/>
      <c r="O33" s="909"/>
      <c r="P33" s="909"/>
      <c r="Q33" s="909">
        <v>3400000</v>
      </c>
    </row>
    <row r="34" spans="13:17" x14ac:dyDescent="0.2">
      <c r="M34" s="909"/>
      <c r="N34" s="909"/>
      <c r="O34" s="909"/>
      <c r="P34" s="909"/>
      <c r="Q34" s="910">
        <f>Q33-Q32</f>
        <v>-193962</v>
      </c>
    </row>
    <row r="35" spans="13:17" x14ac:dyDescent="0.2">
      <c r="M35" s="909"/>
      <c r="N35" s="909"/>
      <c r="O35" s="909"/>
      <c r="P35" s="909"/>
      <c r="Q35" s="909"/>
    </row>
    <row r="36" spans="13:17" x14ac:dyDescent="0.2">
      <c r="M36" s="909"/>
      <c r="N36" s="909"/>
      <c r="O36" s="909"/>
      <c r="P36" s="909"/>
      <c r="Q36" s="909"/>
    </row>
  </sheetData>
  <mergeCells count="7">
    <mergeCell ref="Q2:S2"/>
    <mergeCell ref="A2:A3"/>
    <mergeCell ref="B2:D2"/>
    <mergeCell ref="E2:G2"/>
    <mergeCell ref="H2:J2"/>
    <mergeCell ref="K2:M2"/>
    <mergeCell ref="N2:P2"/>
  </mergeCells>
  <phoneticPr fontId="34" type="noConversion"/>
  <printOptions horizontalCentered="1"/>
  <pageMargins left="0.25" right="0.25" top="0.28749999999999998" bottom="0.59097222222222201" header="0.25" footer="0.31527777777777799"/>
  <pageSetup orientation="portrait" verticalDpi="0" r:id="rId1"/>
  <headerFooter alignWithMargins="0">
    <oddHeader>&amp;LBID Modernização da AGU&amp;CPLANO DE AÇÃO E DE INVESTIMENTOS - PAI</oddHeader>
    <oddFooter>&amp;L&amp;D&amp;C&amp;A&amp;R&amp;P / &amp;N</oddFooter>
  </headerFooter>
  <colBreaks count="1" manualBreakCount="1">
    <brk id="10" max="1048575" man="1"/>
  </colBreaks>
  <ignoredErrors>
    <ignoredError sqref="B23:S23 D17:P17 Q12:S12 D21:E21 P21" formula="1"/>
    <ignoredError sqref="F20 C21 C8:O8 C6:P7 C13:P13 C12 C9:P11 P8 C15:P16 C14:F14 H14:P14" unlockedFormula="1"/>
    <ignoredError sqref="D12:P12 F21:O21 G14" formula="1" unlocked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L37"/>
  <sheetViews>
    <sheetView showGridLines="0" zoomScale="97" zoomScaleNormal="97" zoomScaleSheetLayoutView="70" zoomScalePageLayoutView="97" workbookViewId="0"/>
  </sheetViews>
  <sheetFormatPr defaultColWidth="9" defaultRowHeight="12.75" x14ac:dyDescent="0.2"/>
  <cols>
    <col min="1" max="1" width="75.140625" style="260" customWidth="1"/>
    <col min="2" max="2" width="16" style="260" bestFit="1" customWidth="1"/>
    <col min="3" max="3" width="11" style="260" bestFit="1" customWidth="1"/>
    <col min="4" max="4" width="13.42578125" style="260" customWidth="1"/>
    <col min="5" max="6" width="0" style="173" hidden="1" customWidth="1"/>
    <col min="7" max="7" width="6.140625" style="173" bestFit="1" customWidth="1"/>
    <col min="8" max="8" width="12.42578125" style="173" customWidth="1"/>
    <col min="9" max="9" width="10.42578125" style="173" bestFit="1" customWidth="1"/>
    <col min="10" max="10" width="9" style="173"/>
    <col min="11" max="11" width="14" style="173" customWidth="1"/>
    <col min="12" max="12" width="11.7109375" style="173" customWidth="1"/>
    <col min="13" max="16384" width="9" style="173"/>
  </cols>
  <sheetData>
    <row r="1" spans="1:9" ht="27" customHeight="1" thickBot="1" x14ac:dyDescent="0.25">
      <c r="A1" s="319" t="s">
        <v>308</v>
      </c>
      <c r="B1" s="1089"/>
      <c r="C1" s="1089"/>
      <c r="D1" s="1089" t="s">
        <v>330</v>
      </c>
      <c r="E1" s="1089"/>
      <c r="F1" s="1089"/>
      <c r="G1" s="1090"/>
    </row>
    <row r="2" spans="1:9" ht="12.75" customHeight="1" thickBot="1" x14ac:dyDescent="0.25">
      <c r="A2" s="1093" t="s">
        <v>348</v>
      </c>
      <c r="B2" s="834"/>
      <c r="C2" s="835" t="s">
        <v>287</v>
      </c>
      <c r="D2" s="836"/>
      <c r="E2" s="1095" t="s">
        <v>349</v>
      </c>
      <c r="F2" s="1097" t="s">
        <v>350</v>
      </c>
      <c r="G2" s="1085" t="s">
        <v>323</v>
      </c>
    </row>
    <row r="3" spans="1:9" ht="13.5" thickBot="1" x14ac:dyDescent="0.25">
      <c r="A3" s="1094"/>
      <c r="B3" s="837" t="s">
        <v>345</v>
      </c>
      <c r="C3" s="838" t="s">
        <v>346</v>
      </c>
      <c r="D3" s="839" t="s">
        <v>317</v>
      </c>
      <c r="E3" s="1096"/>
      <c r="F3" s="1098"/>
      <c r="G3" s="1086"/>
    </row>
    <row r="4" spans="1:9" x14ac:dyDescent="0.2">
      <c r="A4" s="840" t="s">
        <v>351</v>
      </c>
      <c r="B4" s="852">
        <f>D4*1</f>
        <v>3400000</v>
      </c>
      <c r="C4" s="852">
        <v>0</v>
      </c>
      <c r="D4" s="853">
        <v>3400000</v>
      </c>
      <c r="E4" s="832">
        <v>268650</v>
      </c>
      <c r="F4" s="833">
        <f>D4-E4</f>
        <v>3131350</v>
      </c>
      <c r="G4" s="928">
        <f>+D4/$D$12</f>
        <v>4.9000000000000002E-2</v>
      </c>
    </row>
    <row r="5" spans="1:9" x14ac:dyDescent="0.2">
      <c r="A5" s="844" t="str">
        <f>'3_Comp e Produtos'!A25</f>
        <v>A.1. Estruturação da Unidade de Gestão do Programa</v>
      </c>
      <c r="B5" s="312">
        <f>'3_Comp e Produtos'!D25</f>
        <v>2076087</v>
      </c>
      <c r="C5" s="932">
        <v>0</v>
      </c>
      <c r="D5" s="854">
        <f>SUM(B5:C5)</f>
        <v>2076087</v>
      </c>
      <c r="E5" s="261"/>
      <c r="F5" s="314"/>
      <c r="G5" s="914"/>
    </row>
    <row r="6" spans="1:9" hidden="1" x14ac:dyDescent="0.2">
      <c r="A6" s="844" t="str">
        <f>'3_Comp e Produtos'!A26</f>
        <v>A.2. Sistemática de Monitoramento e Avaliação do Programa</v>
      </c>
      <c r="B6" s="313">
        <v>0</v>
      </c>
      <c r="C6" s="933"/>
      <c r="D6" s="854">
        <f t="shared" ref="D6:D7" si="0">SUM(B6:C6)</f>
        <v>0</v>
      </c>
      <c r="E6" s="261"/>
      <c r="F6" s="314"/>
      <c r="G6" s="913"/>
    </row>
    <row r="7" spans="1:9" ht="13.5" thickBot="1" x14ac:dyDescent="0.25">
      <c r="A7" s="844" t="str">
        <f>'3_Comp e Produtos'!A26</f>
        <v>A.2. Sistemática de Monitoramento e Avaliação do Programa</v>
      </c>
      <c r="B7" s="313">
        <f>'3_Comp e Produtos'!D26</f>
        <v>1323913</v>
      </c>
      <c r="C7" s="313">
        <v>0</v>
      </c>
      <c r="D7" s="854">
        <f t="shared" si="0"/>
        <v>1323913</v>
      </c>
      <c r="E7" s="261"/>
      <c r="F7" s="314"/>
      <c r="G7" s="917"/>
    </row>
    <row r="8" spans="1:9" x14ac:dyDescent="0.2">
      <c r="A8" s="815" t="s">
        <v>353</v>
      </c>
      <c r="B8" s="922">
        <f>SUM(B9:B11)</f>
        <v>52600004</v>
      </c>
      <c r="C8" s="922">
        <f>SUM(C9:C11)</f>
        <v>14000001</v>
      </c>
      <c r="D8" s="924">
        <f>SUM(D9:D11)</f>
        <v>66600000</v>
      </c>
      <c r="E8" s="261">
        <v>7856160</v>
      </c>
      <c r="F8" s="314">
        <f>D8-E8</f>
        <v>58743840</v>
      </c>
      <c r="G8" s="912">
        <f>+D8/$D$12</f>
        <v>0.95099999999999996</v>
      </c>
    </row>
    <row r="9" spans="1:9" ht="30" customHeight="1" x14ac:dyDescent="0.2">
      <c r="A9" s="920" t="str">
        <f>'3_Comp e Produtos'!A6</f>
        <v>COMPONENTE 1: MELHORA DA EFETIVIDADE POLICIAL PARA A PREVENÇÃO, CONTROLE E INVESTIGAÇÃO DO CRIME</v>
      </c>
      <c r="B9" s="293">
        <f>'10_PEP &amp; POA'!Q5</f>
        <v>20607007</v>
      </c>
      <c r="C9" s="293">
        <f>'10_PEP &amp; POA'!R5</f>
        <v>7392995</v>
      </c>
      <c r="D9" s="925">
        <v>28000000</v>
      </c>
      <c r="E9" s="261"/>
      <c r="F9" s="314"/>
      <c r="G9" s="912">
        <f>+D9/D12</f>
        <v>0.4</v>
      </c>
      <c r="H9" s="320"/>
      <c r="I9" s="320"/>
    </row>
    <row r="10" spans="1:9" ht="30" customHeight="1" x14ac:dyDescent="0.2">
      <c r="A10" s="920" t="str">
        <f>'3_Comp e Produtos'!A13</f>
        <v>COMPONENTE 2: PREVENÇÃO SOCIAL DA VIOLÊNCIA PARA A POPULAÇÃO JOVEM</v>
      </c>
      <c r="B10" s="293">
        <f>'10_PEP &amp; POA'!Q12</f>
        <v>24986959</v>
      </c>
      <c r="C10" s="293">
        <f>'10_PEP &amp; POA'!R12</f>
        <v>3013043</v>
      </c>
      <c r="D10" s="925">
        <f>'5_Componente 2'!B25</f>
        <v>28000000</v>
      </c>
      <c r="E10" s="261"/>
      <c r="F10" s="314"/>
      <c r="G10" s="912">
        <f>+D10/D12</f>
        <v>0.4</v>
      </c>
    </row>
    <row r="11" spans="1:9" ht="30" customHeight="1" thickBot="1" x14ac:dyDescent="0.25">
      <c r="A11" s="921" t="str">
        <f>'3_Comp e Produtos'!A18</f>
        <v>COMPONENTE 3: MODERNIZAÇÃO DO PROCESSO DE RESSOCIALIZAÇÃO</v>
      </c>
      <c r="B11" s="923">
        <f>'10_PEP &amp; POA'!Q17</f>
        <v>7006038</v>
      </c>
      <c r="C11" s="923">
        <f>'10_PEP &amp; POA'!R17</f>
        <v>3593963</v>
      </c>
      <c r="D11" s="926">
        <v>10600000</v>
      </c>
      <c r="E11" s="261"/>
      <c r="F11" s="314"/>
      <c r="G11" s="913">
        <f>D11/D12</f>
        <v>0.151</v>
      </c>
    </row>
    <row r="12" spans="1:9" s="263" customFormat="1" x14ac:dyDescent="0.2">
      <c r="A12" s="847" t="s">
        <v>354</v>
      </c>
      <c r="B12" s="841">
        <f>B4+B8</f>
        <v>56000004</v>
      </c>
      <c r="C12" s="842">
        <f>C4+C8</f>
        <v>14000001</v>
      </c>
      <c r="D12" s="855">
        <f>D4+D8</f>
        <v>70000000</v>
      </c>
      <c r="E12" s="262">
        <f>E4+E8</f>
        <v>8124810</v>
      </c>
      <c r="F12" s="315">
        <f>D12-E12</f>
        <v>61875190</v>
      </c>
      <c r="G12" s="856">
        <f>+D12/$D$12</f>
        <v>1</v>
      </c>
    </row>
    <row r="13" spans="1:9" s="263" customFormat="1" ht="13.5" thickBot="1" x14ac:dyDescent="0.25">
      <c r="A13" s="848" t="s">
        <v>323</v>
      </c>
      <c r="B13" s="849">
        <f>B12/D12</f>
        <v>0.8</v>
      </c>
      <c r="C13" s="849">
        <f>C12/D12</f>
        <v>0.2</v>
      </c>
      <c r="D13" s="849">
        <v>1</v>
      </c>
      <c r="E13" s="850"/>
      <c r="F13" s="851"/>
      <c r="G13" s="857"/>
    </row>
    <row r="15" spans="1:9" x14ac:dyDescent="0.2">
      <c r="B15" s="22"/>
    </row>
    <row r="16" spans="1:9" x14ac:dyDescent="0.2">
      <c r="B16" s="22"/>
    </row>
    <row r="17" spans="1:12" ht="13.5" thickBot="1" x14ac:dyDescent="0.25">
      <c r="K17" s="180"/>
    </row>
    <row r="18" spans="1:12" ht="27" customHeight="1" thickBot="1" x14ac:dyDescent="0.25">
      <c r="A18" s="316" t="s">
        <v>309</v>
      </c>
      <c r="B18" s="317" t="s">
        <v>359</v>
      </c>
      <c r="C18" s="318" t="s">
        <v>355</v>
      </c>
      <c r="D18" s="1091">
        <f>'8_Consolidação Tipo Recurso'!H18</f>
        <v>2.2999999999999998</v>
      </c>
      <c r="E18" s="1091"/>
      <c r="F18" s="1091"/>
      <c r="G18" s="1092"/>
    </row>
    <row r="19" spans="1:12" ht="12.75" customHeight="1" x14ac:dyDescent="0.2">
      <c r="A19" s="1083" t="s">
        <v>348</v>
      </c>
      <c r="B19" s="824"/>
      <c r="C19" s="825" t="s">
        <v>288</v>
      </c>
      <c r="D19" s="826"/>
      <c r="E19" s="827"/>
      <c r="F19" s="827"/>
      <c r="G19" s="1087" t="s">
        <v>323</v>
      </c>
    </row>
    <row r="20" spans="1:12" ht="13.5" thickBot="1" x14ac:dyDescent="0.25">
      <c r="A20" s="1084"/>
      <c r="B20" s="828" t="s">
        <v>345</v>
      </c>
      <c r="C20" s="829" t="s">
        <v>346</v>
      </c>
      <c r="D20" s="830" t="s">
        <v>317</v>
      </c>
      <c r="E20" s="831"/>
      <c r="F20" s="831"/>
      <c r="G20" s="1088"/>
      <c r="L20" s="264"/>
    </row>
    <row r="21" spans="1:12" ht="19.5" customHeight="1" x14ac:dyDescent="0.2">
      <c r="A21" s="840" t="s">
        <v>351</v>
      </c>
      <c r="B21" s="841">
        <f>D21*1</f>
        <v>7820000</v>
      </c>
      <c r="C21" s="841">
        <v>0</v>
      </c>
      <c r="D21" s="843">
        <f>D4*2.3</f>
        <v>7820000</v>
      </c>
      <c r="E21" s="260"/>
      <c r="F21" s="260"/>
      <c r="G21" s="928">
        <f>+D21/D29</f>
        <v>4.9000000000000002E-2</v>
      </c>
    </row>
    <row r="22" spans="1:12" x14ac:dyDescent="0.2">
      <c r="A22" s="844" t="str">
        <f>A5</f>
        <v>A.1. Estruturação da Unidade de Gestão do Programa</v>
      </c>
      <c r="B22" s="930">
        <f>B5*2.3</f>
        <v>4775000</v>
      </c>
      <c r="C22" s="934">
        <v>0</v>
      </c>
      <c r="D22" s="845">
        <f>SUM(B22:C22)</f>
        <v>4775000</v>
      </c>
      <c r="E22" s="260"/>
      <c r="F22" s="260"/>
      <c r="G22" s="914"/>
    </row>
    <row r="23" spans="1:12" ht="13.5" hidden="1" customHeight="1" thickBot="1" x14ac:dyDescent="0.25">
      <c r="A23" s="846" t="s">
        <v>352</v>
      </c>
      <c r="B23" s="816">
        <f>B6/$D$18</f>
        <v>0</v>
      </c>
      <c r="C23" s="935">
        <f>C6/$D$18</f>
        <v>0</v>
      </c>
      <c r="D23" s="845">
        <f t="shared" ref="D23:D24" si="1">SUM(B23:C23)</f>
        <v>0</v>
      </c>
      <c r="E23" s="260"/>
      <c r="F23" s="260"/>
      <c r="G23" s="916"/>
    </row>
    <row r="24" spans="1:12" ht="13.5" customHeight="1" thickBot="1" x14ac:dyDescent="0.25">
      <c r="A24" s="927" t="str">
        <f>A7</f>
        <v>A.2. Sistemática de Monitoramento e Avaliação do Programa</v>
      </c>
      <c r="B24" s="931">
        <f>B7*2.3</f>
        <v>3045000</v>
      </c>
      <c r="C24" s="929">
        <v>0</v>
      </c>
      <c r="D24" s="845">
        <f t="shared" si="1"/>
        <v>3045000</v>
      </c>
      <c r="E24" s="260"/>
      <c r="F24" s="260"/>
      <c r="G24" s="917"/>
    </row>
    <row r="25" spans="1:12" ht="17.25" customHeight="1" x14ac:dyDescent="0.2">
      <c r="A25" s="818" t="s">
        <v>353</v>
      </c>
      <c r="B25" s="819">
        <f>SUM(B26:B27)</f>
        <v>104866122</v>
      </c>
      <c r="C25" s="819">
        <f>SUM(C26:C27)</f>
        <v>23933888</v>
      </c>
      <c r="D25" s="820">
        <f>D8*2.3</f>
        <v>153180000</v>
      </c>
      <c r="E25" s="260"/>
      <c r="F25" s="260"/>
      <c r="G25" s="916">
        <f>+D25/D29</f>
        <v>0.95099999999999996</v>
      </c>
    </row>
    <row r="26" spans="1:12" ht="30" customHeight="1" x14ac:dyDescent="0.2">
      <c r="A26" s="918" t="str">
        <f>A9</f>
        <v>COMPONENTE 1: MELHORA DA EFETIVIDADE POLICIAL PARA A PREVENÇÃO, CONTROLE E INVESTIGAÇÃO DO CRIME</v>
      </c>
      <c r="B26" s="817">
        <f t="shared" ref="B26:C28" si="2">B9*2.3</f>
        <v>47396116</v>
      </c>
      <c r="C26" s="817">
        <f t="shared" si="2"/>
        <v>17003889</v>
      </c>
      <c r="D26" s="821">
        <f t="shared" ref="D26:D28" si="3">D9*2.3</f>
        <v>64400000</v>
      </c>
      <c r="E26" s="260"/>
      <c r="F26" s="260"/>
      <c r="G26" s="914">
        <f>D26/D29</f>
        <v>0.4</v>
      </c>
    </row>
    <row r="27" spans="1:12" ht="30" customHeight="1" x14ac:dyDescent="0.2">
      <c r="A27" s="918" t="str">
        <f>A10</f>
        <v>COMPONENTE 2: PREVENÇÃO SOCIAL DA VIOLÊNCIA PARA A POPULAÇÃO JOVEM</v>
      </c>
      <c r="B27" s="817">
        <f t="shared" si="2"/>
        <v>57470006</v>
      </c>
      <c r="C27" s="817">
        <f t="shared" si="2"/>
        <v>6929999</v>
      </c>
      <c r="D27" s="821">
        <f t="shared" si="3"/>
        <v>64400000</v>
      </c>
      <c r="E27" s="260"/>
      <c r="F27" s="260"/>
      <c r="G27" s="914">
        <f>D27/D29</f>
        <v>0.4</v>
      </c>
    </row>
    <row r="28" spans="1:12" ht="30" customHeight="1" thickBot="1" x14ac:dyDescent="0.25">
      <c r="A28" s="919" t="str">
        <f>A11</f>
        <v>COMPONENTE 3: MODERNIZAÇÃO DO PROCESSO DE RESSOCIALIZAÇÃO</v>
      </c>
      <c r="B28" s="822">
        <f t="shared" si="2"/>
        <v>16113887</v>
      </c>
      <c r="C28" s="822">
        <f t="shared" si="2"/>
        <v>8266115</v>
      </c>
      <c r="D28" s="823">
        <f t="shared" si="3"/>
        <v>24380000</v>
      </c>
      <c r="E28" s="260"/>
      <c r="F28" s="260"/>
      <c r="G28" s="915">
        <f>D28/D29</f>
        <v>0.151</v>
      </c>
    </row>
    <row r="29" spans="1:12" x14ac:dyDescent="0.2">
      <c r="A29" s="847" t="s">
        <v>354</v>
      </c>
      <c r="B29" s="841">
        <f>B21+B25</f>
        <v>112686122</v>
      </c>
      <c r="C29" s="842">
        <f>C21+C25</f>
        <v>23933888</v>
      </c>
      <c r="D29" s="843">
        <f>D21+D25</f>
        <v>161000000</v>
      </c>
      <c r="E29" s="260"/>
      <c r="F29" s="260"/>
      <c r="G29" s="858">
        <f>+D29/D29</f>
        <v>1</v>
      </c>
    </row>
    <row r="30" spans="1:12" s="263" customFormat="1" ht="13.5" thickBot="1" x14ac:dyDescent="0.25">
      <c r="A30" s="848" t="s">
        <v>323</v>
      </c>
      <c r="B30" s="849">
        <f>B29/D29</f>
        <v>0.7</v>
      </c>
      <c r="C30" s="849">
        <f>C29/D29</f>
        <v>0.15</v>
      </c>
      <c r="D30" s="849">
        <v>1</v>
      </c>
      <c r="E30" s="850"/>
      <c r="F30" s="851"/>
      <c r="G30" s="859"/>
    </row>
    <row r="31" spans="1:12" x14ac:dyDescent="0.2">
      <c r="A31" s="266"/>
      <c r="B31" s="22"/>
      <c r="C31" s="265"/>
      <c r="D31" s="22"/>
    </row>
    <row r="32" spans="1:12" x14ac:dyDescent="0.2">
      <c r="A32" s="266"/>
      <c r="B32" s="267"/>
      <c r="C32" s="267"/>
      <c r="D32" s="22"/>
    </row>
    <row r="33" spans="1:4" x14ac:dyDescent="0.2">
      <c r="A33" s="266"/>
      <c r="B33" s="265"/>
    </row>
    <row r="34" spans="1:4" x14ac:dyDescent="0.2">
      <c r="A34" s="266"/>
      <c r="B34" s="268"/>
      <c r="C34" s="265"/>
      <c r="D34" s="31"/>
    </row>
    <row r="35" spans="1:4" x14ac:dyDescent="0.2">
      <c r="A35" s="266"/>
      <c r="B35" s="269"/>
    </row>
    <row r="36" spans="1:4" x14ac:dyDescent="0.2">
      <c r="C36" s="268"/>
    </row>
    <row r="37" spans="1:4" x14ac:dyDescent="0.2">
      <c r="B37" s="265"/>
      <c r="C37" s="268"/>
    </row>
  </sheetData>
  <mergeCells count="9">
    <mergeCell ref="A19:A20"/>
    <mergeCell ref="G2:G3"/>
    <mergeCell ref="G19:G20"/>
    <mergeCell ref="D1:G1"/>
    <mergeCell ref="D18:G18"/>
    <mergeCell ref="B1:C1"/>
    <mergeCell ref="A2:A3"/>
    <mergeCell ref="E2:E3"/>
    <mergeCell ref="F2:F3"/>
  </mergeCells>
  <phoneticPr fontId="34" type="noConversion"/>
  <conditionalFormatting sqref="B4:C4 B21:C21">
    <cfRule type="cellIs" dxfId="1" priority="2" stopIfTrue="1" operator="notEqual">
      <formula>$D$4*"'10_Orçamento Global'.$#REF!$#REF!"</formula>
    </cfRule>
  </conditionalFormatting>
  <conditionalFormatting sqref="B8:B9 B25:D25 C8:C11 D8 D26:D28">
    <cfRule type="cellIs" dxfId="0" priority="3" stopIfTrue="1" operator="notEqual">
      <formula>$D$8*"'10_Orçamento Global'.$#REF!$#REF!"</formula>
    </cfRule>
  </conditionalFormatting>
  <printOptions horizontalCentered="1"/>
  <pageMargins left="0.39374999999999999" right="0.39374999999999999" top="0.78749999999999998" bottom="0.59097222222222223" header="0.31527777777777777" footer="0.31527777777777777"/>
  <headerFooter alignWithMargins="0">
    <oddHeader>&amp;LBID Modernização da AGU&amp;CPLANO DE AÇÃO E DE INVESTIMENTOS - PAI</oddHeader>
    <oddFooter>&amp;L&amp;D&amp;C&amp;A&amp;R&amp;P /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U75"/>
  <sheetViews>
    <sheetView zoomScale="85" zoomScaleNormal="85" zoomScaleSheetLayoutView="85" zoomScalePageLayoutView="85" workbookViewId="0">
      <selection sqref="A1:U3"/>
    </sheetView>
  </sheetViews>
  <sheetFormatPr defaultColWidth="8.85546875" defaultRowHeight="15" x14ac:dyDescent="0.25"/>
  <cols>
    <col min="1" max="1" width="4.28515625" style="628" customWidth="1"/>
    <col min="2" max="2" width="3" style="628" customWidth="1"/>
    <col min="3" max="3" width="44.140625" style="628" customWidth="1"/>
    <col min="4" max="5" width="14.85546875" style="628" bestFit="1" customWidth="1"/>
    <col min="6" max="9" width="8.85546875" style="628"/>
    <col min="10" max="10" width="11.28515625" style="674" hidden="1" customWidth="1"/>
    <col min="11" max="11" width="9.7109375" style="674" hidden="1" customWidth="1"/>
    <col min="12" max="12" width="10.28515625" style="674" hidden="1" customWidth="1"/>
    <col min="13" max="13" width="12.7109375" style="674" hidden="1" customWidth="1"/>
    <col min="14" max="14" width="10.7109375" style="628" customWidth="1"/>
    <col min="15" max="15" width="9.7109375" style="674" hidden="1" customWidth="1"/>
    <col min="16" max="16" width="10.140625" style="674" hidden="1" customWidth="1"/>
    <col min="17" max="17" width="11" style="674" hidden="1" customWidth="1"/>
    <col min="18" max="18" width="10.7109375" style="674" hidden="1" customWidth="1"/>
    <col min="19" max="19" width="11" style="628" hidden="1" customWidth="1"/>
    <col min="20" max="20" width="12.85546875" style="628" customWidth="1"/>
    <col min="21" max="21" width="42.140625" style="628" customWidth="1"/>
    <col min="22" max="16384" width="8.85546875" style="628"/>
  </cols>
  <sheetData>
    <row r="1" spans="1:21" ht="9" customHeight="1" x14ac:dyDescent="0.25">
      <c r="A1" s="1108" t="s">
        <v>150</v>
      </c>
      <c r="B1" s="1109"/>
      <c r="C1" s="1109"/>
      <c r="D1" s="1109"/>
      <c r="E1" s="1109"/>
      <c r="F1" s="1109"/>
      <c r="G1" s="1109"/>
      <c r="H1" s="1109"/>
      <c r="I1" s="1109"/>
      <c r="J1" s="1109"/>
      <c r="K1" s="1109"/>
      <c r="L1" s="1109"/>
      <c r="M1" s="1109"/>
      <c r="N1" s="1109"/>
      <c r="O1" s="1109"/>
      <c r="P1" s="1109"/>
      <c r="Q1" s="1109"/>
      <c r="R1" s="1109"/>
      <c r="S1" s="1109"/>
      <c r="T1" s="1109"/>
      <c r="U1" s="1110"/>
    </row>
    <row r="2" spans="1:21" ht="10.5" customHeight="1" x14ac:dyDescent="0.25">
      <c r="A2" s="1108"/>
      <c r="B2" s="1109"/>
      <c r="C2" s="1109"/>
      <c r="D2" s="1109"/>
      <c r="E2" s="1109"/>
      <c r="F2" s="1109"/>
      <c r="G2" s="1109"/>
      <c r="H2" s="1109"/>
      <c r="I2" s="1109"/>
      <c r="J2" s="1109"/>
      <c r="K2" s="1109"/>
      <c r="L2" s="1109"/>
      <c r="M2" s="1109"/>
      <c r="N2" s="1109"/>
      <c r="O2" s="1109"/>
      <c r="P2" s="1109"/>
      <c r="Q2" s="1109"/>
      <c r="R2" s="1109"/>
      <c r="S2" s="1109"/>
      <c r="T2" s="1109"/>
      <c r="U2" s="1110"/>
    </row>
    <row r="3" spans="1:21" ht="33.75" customHeight="1" x14ac:dyDescent="0.25">
      <c r="A3" s="1108"/>
      <c r="B3" s="1109"/>
      <c r="C3" s="1109"/>
      <c r="D3" s="1109"/>
      <c r="E3" s="1109"/>
      <c r="F3" s="1109"/>
      <c r="G3" s="1109"/>
      <c r="H3" s="1109"/>
      <c r="I3" s="1109"/>
      <c r="J3" s="1109"/>
      <c r="K3" s="1109"/>
      <c r="L3" s="1109"/>
      <c r="M3" s="1109"/>
      <c r="N3" s="1109"/>
      <c r="O3" s="1109"/>
      <c r="P3" s="1109"/>
      <c r="Q3" s="1109"/>
      <c r="R3" s="1109"/>
      <c r="S3" s="1109"/>
      <c r="T3" s="1109"/>
      <c r="U3" s="1110"/>
    </row>
    <row r="4" spans="1:21" x14ac:dyDescent="0.25">
      <c r="A4" s="1111" t="s">
        <v>151</v>
      </c>
      <c r="B4" s="1112"/>
      <c r="C4" s="1112"/>
      <c r="D4" s="1112"/>
      <c r="E4" s="1112"/>
      <c r="F4" s="1112"/>
      <c r="G4" s="1112"/>
      <c r="H4" s="1112"/>
      <c r="I4" s="1112"/>
      <c r="J4" s="1112"/>
      <c r="K4" s="1112"/>
      <c r="L4" s="1112"/>
      <c r="M4" s="1112"/>
      <c r="N4" s="1112"/>
      <c r="O4" s="1112"/>
      <c r="P4" s="1112"/>
      <c r="Q4" s="1112"/>
      <c r="R4" s="1112"/>
      <c r="S4" s="1112"/>
      <c r="T4" s="1112"/>
      <c r="U4" s="1113"/>
    </row>
    <row r="5" spans="1:21" ht="18" customHeight="1" x14ac:dyDescent="0.25">
      <c r="A5" s="1114" t="s">
        <v>152</v>
      </c>
      <c r="B5" s="1115"/>
      <c r="C5" s="1115"/>
      <c r="D5" s="1115"/>
      <c r="E5" s="1115"/>
      <c r="F5" s="1115"/>
      <c r="G5" s="1115"/>
      <c r="H5" s="1115"/>
      <c r="I5" s="1115"/>
      <c r="J5" s="1115"/>
      <c r="K5" s="1115"/>
      <c r="L5" s="1115"/>
      <c r="M5" s="1115"/>
      <c r="N5" s="1115"/>
      <c r="O5" s="1115"/>
      <c r="P5" s="1115"/>
      <c r="Q5" s="1115"/>
      <c r="R5" s="1115"/>
      <c r="S5" s="1115"/>
      <c r="T5" s="1115"/>
      <c r="U5" s="1116"/>
    </row>
    <row r="6" spans="1:21" ht="14.25" customHeight="1" x14ac:dyDescent="0.25">
      <c r="A6" s="1117" t="s">
        <v>363</v>
      </c>
      <c r="B6" s="1118"/>
      <c r="C6" s="1118"/>
      <c r="D6" s="1118"/>
      <c r="E6" s="1118"/>
      <c r="F6" s="1118"/>
      <c r="G6" s="1118"/>
      <c r="H6" s="1118"/>
      <c r="I6" s="1118"/>
      <c r="J6" s="1118"/>
      <c r="K6" s="1118"/>
      <c r="L6" s="1118"/>
      <c r="M6" s="1118"/>
      <c r="N6" s="1118"/>
      <c r="O6" s="1118"/>
      <c r="P6" s="1118"/>
      <c r="Q6" s="1118"/>
      <c r="R6" s="1118"/>
      <c r="S6" s="1118"/>
      <c r="T6" s="1118"/>
      <c r="U6" s="1119"/>
    </row>
    <row r="7" spans="1:21" ht="11.25" customHeight="1" thickBot="1" x14ac:dyDescent="0.3">
      <c r="A7" s="1120"/>
      <c r="B7" s="1121"/>
      <c r="C7" s="1121"/>
      <c r="D7" s="1121"/>
      <c r="E7" s="1121"/>
      <c r="F7" s="1121"/>
      <c r="G7" s="1121"/>
      <c r="H7" s="1121"/>
      <c r="I7" s="1121"/>
      <c r="J7" s="1121"/>
      <c r="K7" s="1121"/>
      <c r="L7" s="1121"/>
      <c r="M7" s="1121"/>
      <c r="N7" s="1121"/>
      <c r="O7" s="1121"/>
      <c r="P7" s="1121"/>
      <c r="Q7" s="1121"/>
      <c r="R7" s="1121"/>
      <c r="S7" s="1121"/>
      <c r="T7" s="1121"/>
      <c r="U7" s="1122"/>
    </row>
    <row r="8" spans="1:21" x14ac:dyDescent="0.25">
      <c r="A8" s="1123" t="s">
        <v>153</v>
      </c>
      <c r="B8" s="1125" t="s">
        <v>154</v>
      </c>
      <c r="C8" s="1127" t="s">
        <v>155</v>
      </c>
      <c r="D8" s="1127" t="s">
        <v>156</v>
      </c>
      <c r="E8" s="1127" t="s">
        <v>157</v>
      </c>
      <c r="F8" s="1129" t="s">
        <v>158</v>
      </c>
      <c r="G8" s="1130"/>
      <c r="H8" s="1127" t="s">
        <v>159</v>
      </c>
      <c r="I8" s="1127" t="s">
        <v>160</v>
      </c>
      <c r="J8" s="629"/>
      <c r="K8" s="629"/>
      <c r="L8" s="629"/>
      <c r="M8" s="629"/>
      <c r="N8" s="1129" t="s">
        <v>161</v>
      </c>
      <c r="O8" s="1131"/>
      <c r="P8" s="1131"/>
      <c r="Q8" s="1131"/>
      <c r="R8" s="1131"/>
      <c r="S8" s="1131"/>
      <c r="T8" s="1130"/>
      <c r="U8" s="1132" t="s">
        <v>162</v>
      </c>
    </row>
    <row r="9" spans="1:21" ht="27.75" customHeight="1" thickBot="1" x14ac:dyDescent="0.3">
      <c r="A9" s="1124"/>
      <c r="B9" s="1126"/>
      <c r="C9" s="1128"/>
      <c r="D9" s="1128"/>
      <c r="E9" s="1128"/>
      <c r="F9" s="630" t="s">
        <v>345</v>
      </c>
      <c r="G9" s="630" t="s">
        <v>346</v>
      </c>
      <c r="H9" s="1128"/>
      <c r="I9" s="1128"/>
      <c r="J9" s="631" t="s">
        <v>93</v>
      </c>
      <c r="K9" s="631" t="s">
        <v>94</v>
      </c>
      <c r="L9" s="631" t="s">
        <v>95</v>
      </c>
      <c r="M9" s="631" t="s">
        <v>96</v>
      </c>
      <c r="N9" s="630" t="s">
        <v>97</v>
      </c>
      <c r="O9" s="632" t="s">
        <v>98</v>
      </c>
      <c r="P9" s="632" t="s">
        <v>99</v>
      </c>
      <c r="Q9" s="632" t="s">
        <v>100</v>
      </c>
      <c r="R9" s="632" t="s">
        <v>101</v>
      </c>
      <c r="S9" s="630" t="s">
        <v>102</v>
      </c>
      <c r="T9" s="630" t="s">
        <v>103</v>
      </c>
      <c r="U9" s="1133"/>
    </row>
    <row r="10" spans="1:21" ht="20.25" customHeight="1" thickBot="1" x14ac:dyDescent="0.3">
      <c r="A10" s="1134" t="s">
        <v>356</v>
      </c>
      <c r="B10" s="1135"/>
      <c r="C10" s="1135"/>
      <c r="D10" s="1135"/>
      <c r="E10" s="1135"/>
      <c r="F10" s="1135"/>
      <c r="G10" s="1135"/>
      <c r="H10" s="1135"/>
      <c r="I10" s="1135"/>
      <c r="J10" s="1135"/>
      <c r="K10" s="1135"/>
      <c r="L10" s="1135"/>
      <c r="M10" s="1135"/>
      <c r="N10" s="1135"/>
      <c r="O10" s="1135"/>
      <c r="P10" s="1135"/>
      <c r="Q10" s="1135"/>
      <c r="R10" s="1135"/>
      <c r="S10" s="1135"/>
      <c r="T10" s="1135"/>
      <c r="U10" s="1136"/>
    </row>
    <row r="11" spans="1:21" ht="33.75" x14ac:dyDescent="0.25">
      <c r="A11" s="633">
        <v>1</v>
      </c>
      <c r="B11" s="634">
        <v>1</v>
      </c>
      <c r="C11" s="635" t="s">
        <v>104</v>
      </c>
      <c r="D11" s="636">
        <v>2500000</v>
      </c>
      <c r="E11" s="636">
        <f>D11/2.3</f>
        <v>1086956.52</v>
      </c>
      <c r="F11" s="637">
        <v>0</v>
      </c>
      <c r="G11" s="637">
        <v>1</v>
      </c>
      <c r="H11" s="638" t="s">
        <v>105</v>
      </c>
      <c r="I11" s="638" t="s">
        <v>106</v>
      </c>
      <c r="J11" s="639">
        <v>41779</v>
      </c>
      <c r="K11" s="639">
        <f>J11+10</f>
        <v>41789</v>
      </c>
      <c r="L11" s="639">
        <f>K11+20</f>
        <v>41809</v>
      </c>
      <c r="M11" s="639">
        <f>L11+30</f>
        <v>41839</v>
      </c>
      <c r="N11" s="639">
        <v>42019</v>
      </c>
      <c r="O11" s="639">
        <f t="shared" ref="O11:O30" si="0">N11+10</f>
        <v>42029</v>
      </c>
      <c r="P11" s="639">
        <f t="shared" ref="P11:P24" si="1">O11+40</f>
        <v>42069</v>
      </c>
      <c r="Q11" s="639">
        <f t="shared" ref="Q11:Q24" si="2">P11+10</f>
        <v>42079</v>
      </c>
      <c r="R11" s="639">
        <f t="shared" ref="R11:R24" si="3">Q11+8</f>
        <v>42087</v>
      </c>
      <c r="S11" s="640" t="s">
        <v>107</v>
      </c>
      <c r="T11" s="639" t="s">
        <v>108</v>
      </c>
      <c r="U11" s="641"/>
    </row>
    <row r="12" spans="1:21" ht="45" x14ac:dyDescent="0.25">
      <c r="A12" s="633">
        <v>2</v>
      </c>
      <c r="B12" s="634">
        <v>1</v>
      </c>
      <c r="C12" s="642" t="s">
        <v>109</v>
      </c>
      <c r="D12" s="643">
        <v>6000000</v>
      </c>
      <c r="E12" s="643">
        <f>D12/2.3</f>
        <v>2608695.65</v>
      </c>
      <c r="F12" s="644">
        <v>0.5</v>
      </c>
      <c r="G12" s="644">
        <v>0.5</v>
      </c>
      <c r="H12" s="638" t="s">
        <v>110</v>
      </c>
      <c r="I12" s="638" t="s">
        <v>111</v>
      </c>
      <c r="J12" s="639">
        <v>41761</v>
      </c>
      <c r="K12" s="639">
        <f t="shared" ref="K12:K30" si="4">J12+10</f>
        <v>41771</v>
      </c>
      <c r="L12" s="639">
        <f t="shared" ref="L12:L30" si="5">K12+5</f>
        <v>41776</v>
      </c>
      <c r="M12" s="639">
        <f t="shared" ref="M12:M30" si="6">L12+30</f>
        <v>41806</v>
      </c>
      <c r="N12" s="639">
        <v>42384</v>
      </c>
      <c r="O12" s="639">
        <f t="shared" si="0"/>
        <v>42394</v>
      </c>
      <c r="P12" s="639">
        <f t="shared" si="1"/>
        <v>42434</v>
      </c>
      <c r="Q12" s="639">
        <f t="shared" si="2"/>
        <v>42444</v>
      </c>
      <c r="R12" s="639">
        <f t="shared" si="3"/>
        <v>42452</v>
      </c>
      <c r="S12" s="640" t="s">
        <v>107</v>
      </c>
      <c r="T12" s="639" t="s">
        <v>112</v>
      </c>
      <c r="U12" s="641"/>
    </row>
    <row r="13" spans="1:21" ht="22.5" x14ac:dyDescent="0.25">
      <c r="A13" s="633">
        <v>3</v>
      </c>
      <c r="B13" s="634">
        <v>1</v>
      </c>
      <c r="C13" s="645" t="s">
        <v>113</v>
      </c>
      <c r="D13" s="643">
        <v>1500000</v>
      </c>
      <c r="E13" s="643">
        <f>D13/2.3</f>
        <v>652173.91</v>
      </c>
      <c r="F13" s="644">
        <v>1</v>
      </c>
      <c r="G13" s="644">
        <v>0</v>
      </c>
      <c r="H13" s="638" t="s">
        <v>110</v>
      </c>
      <c r="I13" s="638" t="s">
        <v>111</v>
      </c>
      <c r="J13" s="639">
        <v>41764</v>
      </c>
      <c r="K13" s="639">
        <f t="shared" si="4"/>
        <v>41774</v>
      </c>
      <c r="L13" s="639">
        <f t="shared" si="5"/>
        <v>41779</v>
      </c>
      <c r="M13" s="639">
        <f t="shared" si="6"/>
        <v>41809</v>
      </c>
      <c r="N13" s="639">
        <v>42019</v>
      </c>
      <c r="O13" s="639">
        <f t="shared" si="0"/>
        <v>42029</v>
      </c>
      <c r="P13" s="639">
        <f t="shared" si="1"/>
        <v>42069</v>
      </c>
      <c r="Q13" s="639">
        <f t="shared" si="2"/>
        <v>42079</v>
      </c>
      <c r="R13" s="639">
        <f t="shared" si="3"/>
        <v>42087</v>
      </c>
      <c r="S13" s="640" t="s">
        <v>107</v>
      </c>
      <c r="T13" s="639" t="s">
        <v>114</v>
      </c>
      <c r="U13" s="641"/>
    </row>
    <row r="14" spans="1:21" ht="33.75" x14ac:dyDescent="0.25">
      <c r="A14" s="633"/>
      <c r="B14" s="634">
        <v>1</v>
      </c>
      <c r="C14" s="794" t="s">
        <v>39</v>
      </c>
      <c r="D14" s="789">
        <f>E14*2.3</f>
        <v>6900</v>
      </c>
      <c r="E14" s="789">
        <v>3000</v>
      </c>
      <c r="F14" s="795">
        <v>0</v>
      </c>
      <c r="G14" s="795">
        <v>1</v>
      </c>
      <c r="H14" s="796"/>
      <c r="I14" s="796"/>
      <c r="J14" s="797"/>
      <c r="K14" s="797"/>
      <c r="L14" s="797"/>
      <c r="M14" s="797"/>
      <c r="N14" s="797"/>
      <c r="O14" s="797"/>
      <c r="P14" s="797"/>
      <c r="Q14" s="797"/>
      <c r="R14" s="797"/>
      <c r="S14" s="798"/>
      <c r="T14" s="797"/>
      <c r="U14" s="641" t="s">
        <v>6</v>
      </c>
    </row>
    <row r="15" spans="1:21" ht="33.75" x14ac:dyDescent="0.25">
      <c r="A15" s="633"/>
      <c r="B15" s="634">
        <v>1</v>
      </c>
      <c r="C15" s="794" t="s">
        <v>38</v>
      </c>
      <c r="D15" s="789">
        <f>E15*2.3</f>
        <v>575000</v>
      </c>
      <c r="E15" s="789">
        <v>250000</v>
      </c>
      <c r="F15" s="795">
        <v>0</v>
      </c>
      <c r="G15" s="795">
        <v>1</v>
      </c>
      <c r="H15" s="796"/>
      <c r="I15" s="796"/>
      <c r="J15" s="797"/>
      <c r="K15" s="797"/>
      <c r="L15" s="797"/>
      <c r="M15" s="797"/>
      <c r="N15" s="797"/>
      <c r="O15" s="797"/>
      <c r="P15" s="797"/>
      <c r="Q15" s="797"/>
      <c r="R15" s="797"/>
      <c r="S15" s="798"/>
      <c r="T15" s="797"/>
      <c r="U15" s="641" t="s">
        <v>6</v>
      </c>
    </row>
    <row r="16" spans="1:21" x14ac:dyDescent="0.25">
      <c r="A16" s="633">
        <v>4</v>
      </c>
      <c r="B16" s="634">
        <v>2</v>
      </c>
      <c r="C16" s="646" t="s">
        <v>115</v>
      </c>
      <c r="D16" s="643">
        <f>E16*2.3</f>
        <v>24227248.859999999</v>
      </c>
      <c r="E16" s="643">
        <v>10533586.460000001</v>
      </c>
      <c r="F16" s="637">
        <v>1</v>
      </c>
      <c r="G16" s="637">
        <v>0</v>
      </c>
      <c r="H16" s="638" t="s">
        <v>110</v>
      </c>
      <c r="I16" s="638" t="s">
        <v>111</v>
      </c>
      <c r="J16" s="639">
        <v>41761</v>
      </c>
      <c r="K16" s="639">
        <f t="shared" si="4"/>
        <v>41771</v>
      </c>
      <c r="L16" s="639">
        <f t="shared" si="5"/>
        <v>41776</v>
      </c>
      <c r="M16" s="639">
        <f t="shared" si="6"/>
        <v>41806</v>
      </c>
      <c r="N16" s="639">
        <v>42019</v>
      </c>
      <c r="O16" s="639">
        <f t="shared" si="0"/>
        <v>42029</v>
      </c>
      <c r="P16" s="639">
        <f t="shared" si="1"/>
        <v>42069</v>
      </c>
      <c r="Q16" s="639">
        <f t="shared" si="2"/>
        <v>42079</v>
      </c>
      <c r="R16" s="639">
        <f t="shared" si="3"/>
        <v>42087</v>
      </c>
      <c r="S16" s="640" t="s">
        <v>107</v>
      </c>
      <c r="T16" s="639">
        <v>43635</v>
      </c>
      <c r="U16" s="641"/>
    </row>
    <row r="17" spans="1:21" ht="22.5" x14ac:dyDescent="0.25">
      <c r="A17" s="633">
        <v>5</v>
      </c>
      <c r="B17" s="634">
        <v>2</v>
      </c>
      <c r="C17" s="788" t="s">
        <v>116</v>
      </c>
      <c r="D17" s="789">
        <v>660000</v>
      </c>
      <c r="E17" s="789">
        <f>D17/2.3</f>
        <v>286956.52</v>
      </c>
      <c r="F17" s="799">
        <v>1</v>
      </c>
      <c r="G17" s="799">
        <v>0</v>
      </c>
      <c r="H17" s="796" t="s">
        <v>110</v>
      </c>
      <c r="I17" s="796" t="s">
        <v>111</v>
      </c>
      <c r="J17" s="797">
        <v>41779</v>
      </c>
      <c r="K17" s="797">
        <f t="shared" si="4"/>
        <v>41789</v>
      </c>
      <c r="L17" s="797">
        <f t="shared" si="5"/>
        <v>41794</v>
      </c>
      <c r="M17" s="797">
        <f t="shared" si="6"/>
        <v>41824</v>
      </c>
      <c r="N17" s="797">
        <v>42019</v>
      </c>
      <c r="O17" s="797">
        <f t="shared" si="0"/>
        <v>42029</v>
      </c>
      <c r="P17" s="797">
        <f t="shared" si="1"/>
        <v>42069</v>
      </c>
      <c r="Q17" s="797">
        <f t="shared" si="2"/>
        <v>42079</v>
      </c>
      <c r="R17" s="797">
        <f t="shared" si="3"/>
        <v>42087</v>
      </c>
      <c r="S17" s="798" t="s">
        <v>107</v>
      </c>
      <c r="T17" s="797" t="s">
        <v>114</v>
      </c>
      <c r="U17" s="641" t="s">
        <v>6</v>
      </c>
    </row>
    <row r="18" spans="1:21" ht="22.5" x14ac:dyDescent="0.25">
      <c r="A18" s="633">
        <v>6</v>
      </c>
      <c r="B18" s="634">
        <v>2</v>
      </c>
      <c r="C18" s="788" t="s">
        <v>117</v>
      </c>
      <c r="D18" s="789">
        <v>180000</v>
      </c>
      <c r="E18" s="789">
        <f>D18/2.3</f>
        <v>78260.87</v>
      </c>
      <c r="F18" s="799">
        <v>1</v>
      </c>
      <c r="G18" s="799">
        <v>0</v>
      </c>
      <c r="H18" s="796" t="s">
        <v>110</v>
      </c>
      <c r="I18" s="796" t="s">
        <v>111</v>
      </c>
      <c r="J18" s="797">
        <v>41779</v>
      </c>
      <c r="K18" s="797">
        <f t="shared" si="4"/>
        <v>41789</v>
      </c>
      <c r="L18" s="797">
        <f t="shared" si="5"/>
        <v>41794</v>
      </c>
      <c r="M18" s="797">
        <f t="shared" si="6"/>
        <v>41824</v>
      </c>
      <c r="N18" s="797">
        <v>42019</v>
      </c>
      <c r="O18" s="797">
        <f t="shared" si="0"/>
        <v>42029</v>
      </c>
      <c r="P18" s="797">
        <f t="shared" si="1"/>
        <v>42069</v>
      </c>
      <c r="Q18" s="797">
        <f t="shared" si="2"/>
        <v>42079</v>
      </c>
      <c r="R18" s="797">
        <f t="shared" si="3"/>
        <v>42087</v>
      </c>
      <c r="S18" s="798" t="s">
        <v>107</v>
      </c>
      <c r="T18" s="797" t="s">
        <v>118</v>
      </c>
      <c r="U18" s="641" t="s">
        <v>6</v>
      </c>
    </row>
    <row r="19" spans="1:21" x14ac:dyDescent="0.25">
      <c r="A19" s="633">
        <v>7</v>
      </c>
      <c r="B19" s="634">
        <v>2</v>
      </c>
      <c r="C19" s="788" t="s">
        <v>119</v>
      </c>
      <c r="D19" s="789">
        <v>14095551.140000001</v>
      </c>
      <c r="E19" s="789">
        <f t="shared" ref="E19:E21" si="7">D19/2.3</f>
        <v>6128500.5</v>
      </c>
      <c r="F19" s="799">
        <v>1</v>
      </c>
      <c r="G19" s="799">
        <v>0</v>
      </c>
      <c r="H19" s="796" t="s">
        <v>110</v>
      </c>
      <c r="I19" s="796" t="s">
        <v>111</v>
      </c>
      <c r="J19" s="797">
        <v>41761</v>
      </c>
      <c r="K19" s="797">
        <f t="shared" si="4"/>
        <v>41771</v>
      </c>
      <c r="L19" s="797">
        <f t="shared" si="5"/>
        <v>41776</v>
      </c>
      <c r="M19" s="797">
        <f t="shared" si="6"/>
        <v>41806</v>
      </c>
      <c r="N19" s="797">
        <v>42019</v>
      </c>
      <c r="O19" s="797">
        <f t="shared" si="0"/>
        <v>42029</v>
      </c>
      <c r="P19" s="797">
        <f t="shared" si="1"/>
        <v>42069</v>
      </c>
      <c r="Q19" s="797">
        <f t="shared" si="2"/>
        <v>42079</v>
      </c>
      <c r="R19" s="797">
        <f t="shared" si="3"/>
        <v>42087</v>
      </c>
      <c r="S19" s="798" t="s">
        <v>107</v>
      </c>
      <c r="T19" s="797">
        <v>43635</v>
      </c>
      <c r="U19" s="641"/>
    </row>
    <row r="20" spans="1:21" ht="22.5" x14ac:dyDescent="0.25">
      <c r="A20" s="633">
        <v>8</v>
      </c>
      <c r="B20" s="634">
        <v>3</v>
      </c>
      <c r="C20" s="788" t="s">
        <v>120</v>
      </c>
      <c r="D20" s="789">
        <v>4441496.66</v>
      </c>
      <c r="E20" s="789">
        <f t="shared" si="7"/>
        <v>1931085.5</v>
      </c>
      <c r="F20" s="799">
        <v>1</v>
      </c>
      <c r="G20" s="799">
        <v>0</v>
      </c>
      <c r="H20" s="796" t="s">
        <v>110</v>
      </c>
      <c r="I20" s="796" t="s">
        <v>111</v>
      </c>
      <c r="J20" s="797">
        <v>42679</v>
      </c>
      <c r="K20" s="797">
        <f t="shared" si="4"/>
        <v>42689</v>
      </c>
      <c r="L20" s="797">
        <f t="shared" si="5"/>
        <v>42694</v>
      </c>
      <c r="M20" s="797">
        <f t="shared" si="6"/>
        <v>42724</v>
      </c>
      <c r="N20" s="797">
        <v>42170</v>
      </c>
      <c r="O20" s="797">
        <f t="shared" si="0"/>
        <v>42180</v>
      </c>
      <c r="P20" s="797">
        <f t="shared" si="1"/>
        <v>42220</v>
      </c>
      <c r="Q20" s="797">
        <f t="shared" si="2"/>
        <v>42230</v>
      </c>
      <c r="R20" s="797">
        <f t="shared" si="3"/>
        <v>42238</v>
      </c>
      <c r="S20" s="798" t="s">
        <v>107</v>
      </c>
      <c r="T20" s="797" t="s">
        <v>112</v>
      </c>
      <c r="U20" s="641"/>
    </row>
    <row r="21" spans="1:21" ht="22.5" x14ac:dyDescent="0.25">
      <c r="A21" s="633">
        <v>9</v>
      </c>
      <c r="B21" s="634">
        <v>3</v>
      </c>
      <c r="C21" s="788" t="s">
        <v>121</v>
      </c>
      <c r="D21" s="789">
        <v>500000</v>
      </c>
      <c r="E21" s="789">
        <f t="shared" si="7"/>
        <v>217391.3</v>
      </c>
      <c r="F21" s="799">
        <v>0</v>
      </c>
      <c r="G21" s="799">
        <v>1</v>
      </c>
      <c r="H21" s="796" t="s">
        <v>105</v>
      </c>
      <c r="I21" s="796" t="s">
        <v>106</v>
      </c>
      <c r="J21" s="797"/>
      <c r="K21" s="797"/>
      <c r="L21" s="797"/>
      <c r="M21" s="797"/>
      <c r="N21" s="797">
        <v>42536</v>
      </c>
      <c r="O21" s="797">
        <f t="shared" si="0"/>
        <v>42546</v>
      </c>
      <c r="P21" s="797">
        <f t="shared" si="1"/>
        <v>42586</v>
      </c>
      <c r="Q21" s="797">
        <f t="shared" si="2"/>
        <v>42596</v>
      </c>
      <c r="R21" s="797">
        <f t="shared" si="3"/>
        <v>42604</v>
      </c>
      <c r="S21" s="798" t="s">
        <v>107</v>
      </c>
      <c r="T21" s="797">
        <v>43635</v>
      </c>
      <c r="U21" s="641"/>
    </row>
    <row r="22" spans="1:21" ht="22.5" x14ac:dyDescent="0.25">
      <c r="A22" s="633">
        <v>10</v>
      </c>
      <c r="B22" s="634">
        <v>4</v>
      </c>
      <c r="C22" s="786" t="s">
        <v>122</v>
      </c>
      <c r="D22" s="787">
        <f t="shared" ref="D22:D30" si="8">E22*2.3</f>
        <v>3362000</v>
      </c>
      <c r="E22" s="787">
        <f>(3500000/2.3)-60000</f>
        <v>1461739.13</v>
      </c>
      <c r="F22" s="795">
        <v>1</v>
      </c>
      <c r="G22" s="795">
        <v>0</v>
      </c>
      <c r="H22" s="796" t="s">
        <v>110</v>
      </c>
      <c r="I22" s="796" t="s">
        <v>111</v>
      </c>
      <c r="J22" s="797">
        <v>41761</v>
      </c>
      <c r="K22" s="797">
        <f t="shared" ref="K22" si="9">J22+10</f>
        <v>41771</v>
      </c>
      <c r="L22" s="797">
        <f t="shared" ref="L22" si="10">K22+5</f>
        <v>41776</v>
      </c>
      <c r="M22" s="797">
        <f t="shared" ref="M22" si="11">L22+30</f>
        <v>41806</v>
      </c>
      <c r="N22" s="797">
        <v>42019</v>
      </c>
      <c r="O22" s="797">
        <f t="shared" si="0"/>
        <v>42029</v>
      </c>
      <c r="P22" s="797">
        <f t="shared" si="1"/>
        <v>42069</v>
      </c>
      <c r="Q22" s="797">
        <f t="shared" si="2"/>
        <v>42079</v>
      </c>
      <c r="R22" s="797">
        <f t="shared" si="3"/>
        <v>42087</v>
      </c>
      <c r="S22" s="798" t="s">
        <v>107</v>
      </c>
      <c r="T22" s="797">
        <v>43635</v>
      </c>
      <c r="U22" s="641" t="s">
        <v>6</v>
      </c>
    </row>
    <row r="23" spans="1:21" ht="22.5" x14ac:dyDescent="0.25">
      <c r="A23" s="633"/>
      <c r="B23" s="634">
        <v>4</v>
      </c>
      <c r="C23" s="786" t="s">
        <v>27</v>
      </c>
      <c r="D23" s="787">
        <f t="shared" si="8"/>
        <v>138000</v>
      </c>
      <c r="E23" s="787">
        <v>60000</v>
      </c>
      <c r="F23" s="795">
        <v>1</v>
      </c>
      <c r="G23" s="795">
        <v>0</v>
      </c>
      <c r="H23" s="796"/>
      <c r="I23" s="796"/>
      <c r="J23" s="797"/>
      <c r="K23" s="797"/>
      <c r="L23" s="797"/>
      <c r="M23" s="797"/>
      <c r="N23" s="797"/>
      <c r="O23" s="797"/>
      <c r="P23" s="797"/>
      <c r="Q23" s="797"/>
      <c r="R23" s="797"/>
      <c r="S23" s="798"/>
      <c r="T23" s="797"/>
      <c r="U23" s="641" t="s">
        <v>6</v>
      </c>
    </row>
    <row r="24" spans="1:21" ht="22.5" x14ac:dyDescent="0.25">
      <c r="A24" s="633">
        <v>11</v>
      </c>
      <c r="B24" s="634">
        <v>4</v>
      </c>
      <c r="C24" s="788" t="s">
        <v>34</v>
      </c>
      <c r="D24" s="789">
        <f t="shared" si="8"/>
        <v>690000</v>
      </c>
      <c r="E24" s="789">
        <v>300000</v>
      </c>
      <c r="F24" s="799">
        <v>1</v>
      </c>
      <c r="G24" s="799">
        <v>0</v>
      </c>
      <c r="H24" s="796" t="s">
        <v>110</v>
      </c>
      <c r="I24" s="796" t="s">
        <v>111</v>
      </c>
      <c r="J24" s="797"/>
      <c r="K24" s="797"/>
      <c r="L24" s="797"/>
      <c r="M24" s="797"/>
      <c r="N24" s="797">
        <v>42170</v>
      </c>
      <c r="O24" s="797">
        <f t="shared" si="0"/>
        <v>42180</v>
      </c>
      <c r="P24" s="797">
        <f t="shared" si="1"/>
        <v>42220</v>
      </c>
      <c r="Q24" s="797">
        <f t="shared" si="2"/>
        <v>42230</v>
      </c>
      <c r="R24" s="797">
        <f t="shared" si="3"/>
        <v>42238</v>
      </c>
      <c r="S24" s="798" t="s">
        <v>107</v>
      </c>
      <c r="T24" s="797" t="s">
        <v>118</v>
      </c>
      <c r="U24" s="641" t="s">
        <v>6</v>
      </c>
    </row>
    <row r="25" spans="1:21" ht="22.5" x14ac:dyDescent="0.25">
      <c r="A25" s="633"/>
      <c r="B25" s="634">
        <v>4</v>
      </c>
      <c r="C25" s="788" t="s">
        <v>36</v>
      </c>
      <c r="D25" s="789">
        <f t="shared" si="8"/>
        <v>805000</v>
      </c>
      <c r="E25" s="789">
        <v>350000</v>
      </c>
      <c r="F25" s="799">
        <v>1</v>
      </c>
      <c r="G25" s="799">
        <v>0</v>
      </c>
      <c r="H25" s="796"/>
      <c r="I25" s="796"/>
      <c r="J25" s="797"/>
      <c r="K25" s="797"/>
      <c r="L25" s="797"/>
      <c r="M25" s="797"/>
      <c r="N25" s="797"/>
      <c r="O25" s="797"/>
      <c r="P25" s="797"/>
      <c r="Q25" s="797"/>
      <c r="R25" s="797"/>
      <c r="S25" s="798"/>
      <c r="T25" s="797"/>
      <c r="U25" s="641" t="s">
        <v>6</v>
      </c>
    </row>
    <row r="26" spans="1:21" x14ac:dyDescent="0.25">
      <c r="A26" s="633"/>
      <c r="B26" s="634">
        <v>4</v>
      </c>
      <c r="C26" s="788" t="s">
        <v>28</v>
      </c>
      <c r="D26" s="789">
        <f t="shared" si="8"/>
        <v>506000</v>
      </c>
      <c r="E26" s="789">
        <v>220000</v>
      </c>
      <c r="F26" s="799">
        <v>1</v>
      </c>
      <c r="G26" s="799">
        <v>0</v>
      </c>
      <c r="H26" s="796"/>
      <c r="I26" s="796"/>
      <c r="J26" s="797"/>
      <c r="K26" s="797"/>
      <c r="L26" s="797"/>
      <c r="M26" s="797"/>
      <c r="N26" s="797"/>
      <c r="O26" s="797"/>
      <c r="P26" s="797"/>
      <c r="Q26" s="797"/>
      <c r="R26" s="797"/>
      <c r="S26" s="798"/>
      <c r="T26" s="797"/>
      <c r="U26" s="641" t="s">
        <v>6</v>
      </c>
    </row>
    <row r="27" spans="1:21" ht="22.5" x14ac:dyDescent="0.25">
      <c r="A27" s="633"/>
      <c r="B27" s="634">
        <v>4</v>
      </c>
      <c r="C27" s="788" t="s">
        <v>29</v>
      </c>
      <c r="D27" s="789">
        <f t="shared" si="8"/>
        <v>567899.99</v>
      </c>
      <c r="E27" s="789">
        <v>246913.04</v>
      </c>
      <c r="F27" s="799">
        <v>1</v>
      </c>
      <c r="G27" s="799">
        <v>0</v>
      </c>
      <c r="H27" s="796"/>
      <c r="I27" s="796"/>
      <c r="J27" s="797"/>
      <c r="K27" s="797"/>
      <c r="L27" s="797"/>
      <c r="M27" s="797"/>
      <c r="N27" s="797"/>
      <c r="O27" s="797"/>
      <c r="P27" s="797"/>
      <c r="Q27" s="797"/>
      <c r="R27" s="797"/>
      <c r="S27" s="798"/>
      <c r="T27" s="797"/>
      <c r="U27" s="641" t="s">
        <v>6</v>
      </c>
    </row>
    <row r="28" spans="1:21" x14ac:dyDescent="0.25">
      <c r="A28" s="633"/>
      <c r="B28" s="634">
        <v>4</v>
      </c>
      <c r="C28" s="788" t="s">
        <v>30</v>
      </c>
      <c r="D28" s="789">
        <f t="shared" si="8"/>
        <v>124200</v>
      </c>
      <c r="E28" s="789">
        <v>54000</v>
      </c>
      <c r="F28" s="799">
        <v>1</v>
      </c>
      <c r="G28" s="799">
        <v>0</v>
      </c>
      <c r="H28" s="796"/>
      <c r="I28" s="796"/>
      <c r="J28" s="797"/>
      <c r="K28" s="797"/>
      <c r="L28" s="797"/>
      <c r="M28" s="797"/>
      <c r="N28" s="797"/>
      <c r="O28" s="797"/>
      <c r="P28" s="797"/>
      <c r="Q28" s="797"/>
      <c r="R28" s="797"/>
      <c r="S28" s="798"/>
      <c r="T28" s="797"/>
      <c r="U28" s="641" t="s">
        <v>6</v>
      </c>
    </row>
    <row r="29" spans="1:21" x14ac:dyDescent="0.25">
      <c r="A29" s="633"/>
      <c r="B29" s="634">
        <v>4</v>
      </c>
      <c r="C29" s="788" t="s">
        <v>31</v>
      </c>
      <c r="D29" s="789">
        <f t="shared" si="8"/>
        <v>11500</v>
      </c>
      <c r="E29" s="789">
        <v>5000</v>
      </c>
      <c r="F29" s="799">
        <v>1</v>
      </c>
      <c r="G29" s="799">
        <v>0</v>
      </c>
      <c r="H29" s="796"/>
      <c r="I29" s="796"/>
      <c r="J29" s="797"/>
      <c r="K29" s="797"/>
      <c r="L29" s="797"/>
      <c r="M29" s="797"/>
      <c r="N29" s="797"/>
      <c r="O29" s="797"/>
      <c r="P29" s="797"/>
      <c r="Q29" s="797"/>
      <c r="R29" s="797"/>
      <c r="S29" s="798"/>
      <c r="T29" s="797"/>
      <c r="U29" s="641" t="s">
        <v>6</v>
      </c>
    </row>
    <row r="30" spans="1:21" ht="22.5" x14ac:dyDescent="0.25">
      <c r="A30" s="633">
        <v>12</v>
      </c>
      <c r="B30" s="634">
        <v>4</v>
      </c>
      <c r="C30" s="788" t="s">
        <v>4</v>
      </c>
      <c r="D30" s="789">
        <f t="shared" si="8"/>
        <v>48300</v>
      </c>
      <c r="E30" s="789">
        <v>21000</v>
      </c>
      <c r="F30" s="799">
        <v>1</v>
      </c>
      <c r="G30" s="799">
        <v>0</v>
      </c>
      <c r="H30" s="796" t="s">
        <v>123</v>
      </c>
      <c r="I30" s="796" t="s">
        <v>111</v>
      </c>
      <c r="J30" s="797">
        <v>42679</v>
      </c>
      <c r="K30" s="797">
        <f t="shared" si="4"/>
        <v>42689</v>
      </c>
      <c r="L30" s="797">
        <f t="shared" si="5"/>
        <v>42694</v>
      </c>
      <c r="M30" s="797">
        <f t="shared" si="6"/>
        <v>42724</v>
      </c>
      <c r="N30" s="797">
        <v>42900</v>
      </c>
      <c r="O30" s="797">
        <f t="shared" si="0"/>
        <v>42910</v>
      </c>
      <c r="P30" s="797">
        <f>O30+60</f>
        <v>42970</v>
      </c>
      <c r="Q30" s="797">
        <f t="shared" ref="Q30" si="12">P30+5</f>
        <v>42975</v>
      </c>
      <c r="R30" s="797">
        <f t="shared" ref="R30" si="13">Q30</f>
        <v>42975</v>
      </c>
      <c r="S30" s="798" t="s">
        <v>107</v>
      </c>
      <c r="T30" s="797" t="s">
        <v>124</v>
      </c>
      <c r="U30" s="641" t="s">
        <v>6</v>
      </c>
    </row>
    <row r="31" spans="1:21" x14ac:dyDescent="0.25">
      <c r="A31" s="1106" t="s">
        <v>125</v>
      </c>
      <c r="B31" s="1107"/>
      <c r="C31" s="1107"/>
      <c r="D31" s="648">
        <f>SUM(D11:D30)</f>
        <v>60939097</v>
      </c>
      <c r="E31" s="648">
        <f>SUM(E11:E30)</f>
        <v>26495259</v>
      </c>
      <c r="F31" s="649"/>
      <c r="G31" s="649"/>
      <c r="H31" s="649"/>
      <c r="I31" s="649"/>
      <c r="J31" s="649"/>
      <c r="K31" s="649"/>
      <c r="L31" s="649"/>
      <c r="M31" s="649"/>
      <c r="N31" s="649"/>
      <c r="O31" s="649"/>
      <c r="P31" s="649"/>
      <c r="Q31" s="649"/>
      <c r="R31" s="649"/>
      <c r="S31" s="649"/>
      <c r="T31" s="649"/>
      <c r="U31" s="650"/>
    </row>
    <row r="32" spans="1:21" ht="15.75" customHeight="1" x14ac:dyDescent="0.25">
      <c r="A32" s="1103" t="s">
        <v>126</v>
      </c>
      <c r="B32" s="1104"/>
      <c r="C32" s="1104"/>
      <c r="D32" s="1104"/>
      <c r="E32" s="1104"/>
      <c r="F32" s="1104"/>
      <c r="G32" s="1104"/>
      <c r="H32" s="1104"/>
      <c r="I32" s="1104"/>
      <c r="J32" s="1104"/>
      <c r="K32" s="1104"/>
      <c r="L32" s="1104"/>
      <c r="M32" s="1104"/>
      <c r="N32" s="1104"/>
      <c r="O32" s="1104"/>
      <c r="P32" s="1104"/>
      <c r="Q32" s="1104"/>
      <c r="R32" s="1104"/>
      <c r="S32" s="1104"/>
      <c r="T32" s="1104"/>
      <c r="U32" s="1105"/>
    </row>
    <row r="33" spans="1:21" ht="45" x14ac:dyDescent="0.25">
      <c r="A33" s="633">
        <v>1</v>
      </c>
      <c r="B33" s="634">
        <v>1</v>
      </c>
      <c r="C33" s="646" t="s">
        <v>127</v>
      </c>
      <c r="D33" s="636">
        <v>6345114</v>
      </c>
      <c r="E33" s="636">
        <f t="shared" ref="E33:E38" si="14">D33/2.3</f>
        <v>2758745.22</v>
      </c>
      <c r="F33" s="637">
        <v>1</v>
      </c>
      <c r="G33" s="651">
        <v>0</v>
      </c>
      <c r="H33" s="638" t="s">
        <v>128</v>
      </c>
      <c r="I33" s="638" t="s">
        <v>111</v>
      </c>
      <c r="J33" s="639">
        <v>41932</v>
      </c>
      <c r="K33" s="639">
        <f>J33+10</f>
        <v>41942</v>
      </c>
      <c r="L33" s="639">
        <f>K33+20</f>
        <v>41962</v>
      </c>
      <c r="M33" s="639">
        <f>L33+30</f>
        <v>41992</v>
      </c>
      <c r="N33" s="639">
        <v>42170</v>
      </c>
      <c r="O33" s="639">
        <f t="shared" ref="O33:O51" si="15">N33+10</f>
        <v>42180</v>
      </c>
      <c r="P33" s="639">
        <f t="shared" ref="P33:P51" si="16">O33+40</f>
        <v>42220</v>
      </c>
      <c r="Q33" s="639">
        <f t="shared" ref="Q33:Q51" si="17">P33+10</f>
        <v>42230</v>
      </c>
      <c r="R33" s="639">
        <f t="shared" ref="R33:R51" si="18">Q33+8</f>
        <v>42238</v>
      </c>
      <c r="S33" s="640" t="s">
        <v>107</v>
      </c>
      <c r="T33" s="639" t="s">
        <v>129</v>
      </c>
      <c r="U33" s="641" t="s">
        <v>130</v>
      </c>
    </row>
    <row r="34" spans="1:21" ht="45" x14ac:dyDescent="0.25">
      <c r="A34" s="633">
        <v>2</v>
      </c>
      <c r="B34" s="634">
        <v>1</v>
      </c>
      <c r="C34" s="646" t="s">
        <v>131</v>
      </c>
      <c r="D34" s="652">
        <v>8670000</v>
      </c>
      <c r="E34" s="636">
        <f t="shared" si="14"/>
        <v>3769565.22</v>
      </c>
      <c r="F34" s="637">
        <v>0.5</v>
      </c>
      <c r="G34" s="651">
        <v>0.5</v>
      </c>
      <c r="H34" s="638" t="s">
        <v>128</v>
      </c>
      <c r="I34" s="638" t="s">
        <v>111</v>
      </c>
      <c r="J34" s="639">
        <v>41821</v>
      </c>
      <c r="K34" s="639">
        <f>J34+10</f>
        <v>41831</v>
      </c>
      <c r="L34" s="639">
        <f>K34+20</f>
        <v>41851</v>
      </c>
      <c r="M34" s="639">
        <f>L34+30</f>
        <v>41881</v>
      </c>
      <c r="N34" s="639">
        <v>42170</v>
      </c>
      <c r="O34" s="639">
        <f t="shared" si="15"/>
        <v>42180</v>
      </c>
      <c r="P34" s="639">
        <f t="shared" si="16"/>
        <v>42220</v>
      </c>
      <c r="Q34" s="639">
        <f t="shared" si="17"/>
        <v>42230</v>
      </c>
      <c r="R34" s="639">
        <f t="shared" si="18"/>
        <v>42238</v>
      </c>
      <c r="S34" s="640" t="s">
        <v>107</v>
      </c>
      <c r="T34" s="639" t="s">
        <v>124</v>
      </c>
      <c r="U34" s="641" t="s">
        <v>130</v>
      </c>
    </row>
    <row r="35" spans="1:21" ht="45" x14ac:dyDescent="0.25">
      <c r="A35" s="633">
        <v>3</v>
      </c>
      <c r="B35" s="634">
        <v>1</v>
      </c>
      <c r="C35" s="646" t="s">
        <v>67</v>
      </c>
      <c r="D35" s="636">
        <v>3663000</v>
      </c>
      <c r="E35" s="636">
        <f t="shared" si="14"/>
        <v>1592608.7</v>
      </c>
      <c r="F35" s="637">
        <v>1</v>
      </c>
      <c r="G35" s="651">
        <v>0</v>
      </c>
      <c r="H35" s="638" t="s">
        <v>128</v>
      </c>
      <c r="I35" s="638" t="s">
        <v>106</v>
      </c>
      <c r="J35" s="639">
        <v>42768</v>
      </c>
      <c r="K35" s="639">
        <f>J35+20</f>
        <v>42788</v>
      </c>
      <c r="L35" s="639">
        <f t="shared" ref="L35" si="19">K35+5</f>
        <v>42793</v>
      </c>
      <c r="M35" s="639">
        <f t="shared" ref="M35:M43" si="20">L35+30</f>
        <v>42823</v>
      </c>
      <c r="N35" s="639">
        <v>42170</v>
      </c>
      <c r="O35" s="639">
        <f t="shared" si="15"/>
        <v>42180</v>
      </c>
      <c r="P35" s="639">
        <f t="shared" si="16"/>
        <v>42220</v>
      </c>
      <c r="Q35" s="639">
        <f t="shared" si="17"/>
        <v>42230</v>
      </c>
      <c r="R35" s="639">
        <f t="shared" si="18"/>
        <v>42238</v>
      </c>
      <c r="S35" s="640" t="s">
        <v>107</v>
      </c>
      <c r="T35" s="639" t="s">
        <v>124</v>
      </c>
      <c r="U35" s="641" t="s">
        <v>130</v>
      </c>
    </row>
    <row r="36" spans="1:21" ht="33.75" x14ac:dyDescent="0.25">
      <c r="A36" s="633">
        <v>4</v>
      </c>
      <c r="B36" s="634">
        <v>1</v>
      </c>
      <c r="C36" s="647" t="s">
        <v>68</v>
      </c>
      <c r="D36" s="643">
        <v>1410000</v>
      </c>
      <c r="E36" s="636">
        <f t="shared" si="14"/>
        <v>613043.48</v>
      </c>
      <c r="F36" s="644">
        <v>1</v>
      </c>
      <c r="G36" s="653">
        <v>0</v>
      </c>
      <c r="H36" s="638" t="s">
        <v>128</v>
      </c>
      <c r="I36" s="638" t="s">
        <v>106</v>
      </c>
      <c r="J36" s="639">
        <v>41821</v>
      </c>
      <c r="K36" s="639">
        <f t="shared" ref="K36:K43" si="21">J36+10</f>
        <v>41831</v>
      </c>
      <c r="L36" s="639">
        <f t="shared" ref="L36:L43" si="22">K36+20</f>
        <v>41851</v>
      </c>
      <c r="M36" s="639">
        <f t="shared" si="20"/>
        <v>41881</v>
      </c>
      <c r="N36" s="639">
        <v>42170</v>
      </c>
      <c r="O36" s="639">
        <f t="shared" si="15"/>
        <v>42180</v>
      </c>
      <c r="P36" s="639">
        <f t="shared" si="16"/>
        <v>42220</v>
      </c>
      <c r="Q36" s="639">
        <f t="shared" si="17"/>
        <v>42230</v>
      </c>
      <c r="R36" s="639">
        <f t="shared" si="18"/>
        <v>42238</v>
      </c>
      <c r="S36" s="640" t="s">
        <v>107</v>
      </c>
      <c r="T36" s="639" t="s">
        <v>112</v>
      </c>
      <c r="U36" s="641" t="s">
        <v>130</v>
      </c>
    </row>
    <row r="37" spans="1:21" ht="45" x14ac:dyDescent="0.25">
      <c r="A37" s="633">
        <v>5</v>
      </c>
      <c r="B37" s="634">
        <v>1</v>
      </c>
      <c r="C37" s="647" t="s">
        <v>69</v>
      </c>
      <c r="D37" s="643">
        <v>2032000</v>
      </c>
      <c r="E37" s="636">
        <f t="shared" si="14"/>
        <v>883478.26</v>
      </c>
      <c r="F37" s="644">
        <v>1</v>
      </c>
      <c r="G37" s="653">
        <v>0</v>
      </c>
      <c r="H37" s="638" t="s">
        <v>128</v>
      </c>
      <c r="I37" s="638" t="s">
        <v>106</v>
      </c>
      <c r="J37" s="639">
        <v>41821</v>
      </c>
      <c r="K37" s="639">
        <f t="shared" si="21"/>
        <v>41831</v>
      </c>
      <c r="L37" s="639">
        <f t="shared" si="22"/>
        <v>41851</v>
      </c>
      <c r="M37" s="639">
        <f t="shared" si="20"/>
        <v>41881</v>
      </c>
      <c r="N37" s="639">
        <v>42170</v>
      </c>
      <c r="O37" s="639">
        <f t="shared" si="15"/>
        <v>42180</v>
      </c>
      <c r="P37" s="639">
        <f t="shared" si="16"/>
        <v>42220</v>
      </c>
      <c r="Q37" s="639">
        <f t="shared" si="17"/>
        <v>42230</v>
      </c>
      <c r="R37" s="639">
        <f t="shared" si="18"/>
        <v>42238</v>
      </c>
      <c r="S37" s="640" t="s">
        <v>107</v>
      </c>
      <c r="T37" s="639" t="s">
        <v>114</v>
      </c>
      <c r="U37" s="641"/>
    </row>
    <row r="38" spans="1:21" ht="33.75" x14ac:dyDescent="0.25">
      <c r="A38" s="633">
        <v>6</v>
      </c>
      <c r="B38" s="634">
        <v>1</v>
      </c>
      <c r="C38" s="800" t="s">
        <v>70</v>
      </c>
      <c r="D38" s="789">
        <v>276000</v>
      </c>
      <c r="E38" s="787">
        <f t="shared" si="14"/>
        <v>120000</v>
      </c>
      <c r="F38" s="799">
        <v>1</v>
      </c>
      <c r="G38" s="801">
        <v>0</v>
      </c>
      <c r="H38" s="796" t="s">
        <v>128</v>
      </c>
      <c r="I38" s="796" t="s">
        <v>106</v>
      </c>
      <c r="J38" s="797">
        <v>41791</v>
      </c>
      <c r="K38" s="797">
        <f t="shared" si="21"/>
        <v>41801</v>
      </c>
      <c r="L38" s="797">
        <f t="shared" si="22"/>
        <v>41821</v>
      </c>
      <c r="M38" s="797">
        <f t="shared" si="20"/>
        <v>41851</v>
      </c>
      <c r="N38" s="797">
        <v>42170</v>
      </c>
      <c r="O38" s="797">
        <f t="shared" si="15"/>
        <v>42180</v>
      </c>
      <c r="P38" s="797">
        <f t="shared" si="16"/>
        <v>42220</v>
      </c>
      <c r="Q38" s="797">
        <f t="shared" si="17"/>
        <v>42230</v>
      </c>
      <c r="R38" s="797">
        <f t="shared" si="18"/>
        <v>42238</v>
      </c>
      <c r="S38" s="798" t="s">
        <v>107</v>
      </c>
      <c r="T38" s="797" t="s">
        <v>112</v>
      </c>
      <c r="U38" s="641" t="s">
        <v>130</v>
      </c>
    </row>
    <row r="39" spans="1:21" x14ac:dyDescent="0.25">
      <c r="A39" s="633"/>
      <c r="B39" s="634">
        <v>1</v>
      </c>
      <c r="C39" s="800" t="s">
        <v>1</v>
      </c>
      <c r="D39" s="789">
        <f>E39*2.3</f>
        <v>289800</v>
      </c>
      <c r="E39" s="787">
        <v>126000</v>
      </c>
      <c r="F39" s="799">
        <v>0</v>
      </c>
      <c r="G39" s="801">
        <v>1</v>
      </c>
      <c r="H39" s="796"/>
      <c r="I39" s="796"/>
      <c r="J39" s="797"/>
      <c r="K39" s="797"/>
      <c r="L39" s="797"/>
      <c r="M39" s="797"/>
      <c r="N39" s="797"/>
      <c r="O39" s="797"/>
      <c r="P39" s="797"/>
      <c r="Q39" s="797"/>
      <c r="R39" s="797"/>
      <c r="S39" s="798"/>
      <c r="T39" s="797"/>
      <c r="U39" s="641" t="s">
        <v>6</v>
      </c>
    </row>
    <row r="40" spans="1:21" ht="22.5" x14ac:dyDescent="0.25">
      <c r="A40" s="633"/>
      <c r="B40" s="634"/>
      <c r="C40" s="800" t="s">
        <v>2</v>
      </c>
      <c r="D40" s="789">
        <f>E40*2.3</f>
        <v>28014</v>
      </c>
      <c r="E40" s="787">
        <v>12180</v>
      </c>
      <c r="F40" s="799">
        <v>0</v>
      </c>
      <c r="G40" s="801">
        <v>1</v>
      </c>
      <c r="H40" s="796"/>
      <c r="I40" s="796"/>
      <c r="J40" s="797"/>
      <c r="K40" s="797"/>
      <c r="L40" s="797"/>
      <c r="M40" s="797"/>
      <c r="N40" s="797"/>
      <c r="O40" s="797"/>
      <c r="P40" s="797"/>
      <c r="Q40" s="797"/>
      <c r="R40" s="797"/>
      <c r="S40" s="798"/>
      <c r="T40" s="797"/>
      <c r="U40" s="641" t="s">
        <v>6</v>
      </c>
    </row>
    <row r="41" spans="1:21" ht="22.5" x14ac:dyDescent="0.25">
      <c r="A41" s="633">
        <v>7</v>
      </c>
      <c r="B41" s="634">
        <v>2</v>
      </c>
      <c r="C41" s="647" t="s">
        <v>71</v>
      </c>
      <c r="D41" s="643">
        <f>E41*2.3</f>
        <v>1932000</v>
      </c>
      <c r="E41" s="643">
        <v>840000</v>
      </c>
      <c r="F41" s="644">
        <v>1</v>
      </c>
      <c r="G41" s="644">
        <v>0</v>
      </c>
      <c r="H41" s="638" t="s">
        <v>105</v>
      </c>
      <c r="I41" s="638" t="s">
        <v>106</v>
      </c>
      <c r="J41" s="639">
        <v>41883</v>
      </c>
      <c r="K41" s="639">
        <f t="shared" si="21"/>
        <v>41893</v>
      </c>
      <c r="L41" s="639">
        <f t="shared" si="22"/>
        <v>41913</v>
      </c>
      <c r="M41" s="639">
        <f t="shared" si="20"/>
        <v>41943</v>
      </c>
      <c r="N41" s="639">
        <v>42536</v>
      </c>
      <c r="O41" s="639">
        <f t="shared" si="15"/>
        <v>42546</v>
      </c>
      <c r="P41" s="639">
        <f t="shared" si="16"/>
        <v>42586</v>
      </c>
      <c r="Q41" s="639">
        <f t="shared" si="17"/>
        <v>42596</v>
      </c>
      <c r="R41" s="639">
        <f t="shared" si="18"/>
        <v>42604</v>
      </c>
      <c r="S41" s="640" t="s">
        <v>107</v>
      </c>
      <c r="T41" s="639" t="s">
        <v>124</v>
      </c>
      <c r="U41" s="641"/>
    </row>
    <row r="42" spans="1:21" ht="22.5" x14ac:dyDescent="0.25">
      <c r="A42" s="633">
        <v>8</v>
      </c>
      <c r="B42" s="634">
        <v>2</v>
      </c>
      <c r="C42" s="647" t="s">
        <v>72</v>
      </c>
      <c r="D42" s="643">
        <v>8340000</v>
      </c>
      <c r="E42" s="643">
        <f t="shared" ref="E42" si="23">D42/2.3</f>
        <v>3626086.96</v>
      </c>
      <c r="F42" s="644">
        <v>1</v>
      </c>
      <c r="G42" s="644">
        <v>0</v>
      </c>
      <c r="H42" s="638" t="s">
        <v>128</v>
      </c>
      <c r="I42" s="638" t="s">
        <v>106</v>
      </c>
      <c r="J42" s="639">
        <v>41927</v>
      </c>
      <c r="K42" s="639">
        <f t="shared" si="21"/>
        <v>41937</v>
      </c>
      <c r="L42" s="639">
        <f t="shared" si="22"/>
        <v>41957</v>
      </c>
      <c r="M42" s="639">
        <f t="shared" si="20"/>
        <v>41987</v>
      </c>
      <c r="N42" s="639">
        <v>42750</v>
      </c>
      <c r="O42" s="639">
        <f t="shared" si="15"/>
        <v>42760</v>
      </c>
      <c r="P42" s="639">
        <f t="shared" si="16"/>
        <v>42800</v>
      </c>
      <c r="Q42" s="639">
        <f t="shared" si="17"/>
        <v>42810</v>
      </c>
      <c r="R42" s="639">
        <f t="shared" si="18"/>
        <v>42818</v>
      </c>
      <c r="S42" s="640" t="s">
        <v>107</v>
      </c>
      <c r="T42" s="639" t="s">
        <v>112</v>
      </c>
      <c r="U42" s="641"/>
    </row>
    <row r="43" spans="1:21" ht="22.5" x14ac:dyDescent="0.25">
      <c r="A43" s="633">
        <v>9</v>
      </c>
      <c r="B43" s="634">
        <v>3</v>
      </c>
      <c r="C43" s="655" t="s">
        <v>73</v>
      </c>
      <c r="D43" s="643">
        <v>864000</v>
      </c>
      <c r="E43" s="643">
        <f>D43/2.3</f>
        <v>375652.17</v>
      </c>
      <c r="F43" s="644">
        <v>0</v>
      </c>
      <c r="G43" s="644">
        <v>1</v>
      </c>
      <c r="H43" s="638" t="s">
        <v>105</v>
      </c>
      <c r="I43" s="638" t="s">
        <v>106</v>
      </c>
      <c r="J43" s="639">
        <v>41791</v>
      </c>
      <c r="K43" s="639">
        <f t="shared" si="21"/>
        <v>41801</v>
      </c>
      <c r="L43" s="639">
        <f t="shared" si="22"/>
        <v>41821</v>
      </c>
      <c r="M43" s="639">
        <f t="shared" si="20"/>
        <v>41851</v>
      </c>
      <c r="N43" s="639">
        <v>42170</v>
      </c>
      <c r="O43" s="639">
        <f t="shared" si="15"/>
        <v>42180</v>
      </c>
      <c r="P43" s="639">
        <f t="shared" si="16"/>
        <v>42220</v>
      </c>
      <c r="Q43" s="639">
        <f t="shared" si="17"/>
        <v>42230</v>
      </c>
      <c r="R43" s="639">
        <f t="shared" si="18"/>
        <v>42238</v>
      </c>
      <c r="S43" s="640" t="s">
        <v>107</v>
      </c>
      <c r="T43" s="639" t="s">
        <v>124</v>
      </c>
      <c r="U43" s="641"/>
    </row>
    <row r="44" spans="1:21" ht="22.5" x14ac:dyDescent="0.25">
      <c r="A44" s="633">
        <v>10</v>
      </c>
      <c r="B44" s="634">
        <v>3</v>
      </c>
      <c r="C44" s="655" t="s">
        <v>74</v>
      </c>
      <c r="D44" s="643">
        <v>1813272</v>
      </c>
      <c r="E44" s="643">
        <f>D44/2.3</f>
        <v>788379.13</v>
      </c>
      <c r="F44" s="644">
        <v>0</v>
      </c>
      <c r="G44" s="644">
        <v>1</v>
      </c>
      <c r="H44" s="638" t="s">
        <v>105</v>
      </c>
      <c r="I44" s="656" t="s">
        <v>111</v>
      </c>
      <c r="J44" s="639">
        <v>41810</v>
      </c>
      <c r="K44" s="639">
        <f>J44+10</f>
        <v>41820</v>
      </c>
      <c r="L44" s="639">
        <f>K44+20</f>
        <v>41840</v>
      </c>
      <c r="M44" s="639">
        <f>L44+30</f>
        <v>41870</v>
      </c>
      <c r="N44" s="639">
        <v>42536</v>
      </c>
      <c r="O44" s="639">
        <f t="shared" si="15"/>
        <v>42546</v>
      </c>
      <c r="P44" s="639">
        <f t="shared" si="16"/>
        <v>42586</v>
      </c>
      <c r="Q44" s="639">
        <f t="shared" si="17"/>
        <v>42596</v>
      </c>
      <c r="R44" s="639">
        <f t="shared" si="18"/>
        <v>42604</v>
      </c>
      <c r="S44" s="640" t="s">
        <v>107</v>
      </c>
      <c r="T44" s="639" t="s">
        <v>124</v>
      </c>
      <c r="U44" s="641"/>
    </row>
    <row r="45" spans="1:21" ht="22.5" x14ac:dyDescent="0.25">
      <c r="A45" s="633">
        <v>12</v>
      </c>
      <c r="B45" s="634">
        <v>3</v>
      </c>
      <c r="C45" s="647" t="s">
        <v>75</v>
      </c>
      <c r="D45" s="643">
        <v>106478.82</v>
      </c>
      <c r="E45" s="643">
        <f>D45/2.3</f>
        <v>46295.14</v>
      </c>
      <c r="F45" s="644">
        <v>0</v>
      </c>
      <c r="G45" s="644">
        <v>1</v>
      </c>
      <c r="H45" s="638" t="s">
        <v>105</v>
      </c>
      <c r="I45" s="638" t="s">
        <v>106</v>
      </c>
      <c r="J45" s="639">
        <v>42226</v>
      </c>
      <c r="K45" s="639">
        <f>J45+20</f>
        <v>42246</v>
      </c>
      <c r="L45" s="639">
        <f t="shared" ref="L45:L51" si="24">K45+5</f>
        <v>42251</v>
      </c>
      <c r="M45" s="639">
        <f t="shared" ref="M45:M51" si="25">L45+30</f>
        <v>42281</v>
      </c>
      <c r="N45" s="639">
        <v>42170</v>
      </c>
      <c r="O45" s="639">
        <f t="shared" si="15"/>
        <v>42180</v>
      </c>
      <c r="P45" s="639">
        <f t="shared" si="16"/>
        <v>42220</v>
      </c>
      <c r="Q45" s="639">
        <f t="shared" si="17"/>
        <v>42230</v>
      </c>
      <c r="R45" s="639">
        <f t="shared" si="18"/>
        <v>42238</v>
      </c>
      <c r="S45" s="640" t="s">
        <v>107</v>
      </c>
      <c r="T45" s="639" t="s">
        <v>118</v>
      </c>
      <c r="U45" s="641"/>
    </row>
    <row r="46" spans="1:21" ht="22.5" x14ac:dyDescent="0.25">
      <c r="A46" s="633">
        <v>13</v>
      </c>
      <c r="B46" s="634">
        <v>3</v>
      </c>
      <c r="C46" s="647" t="s">
        <v>76</v>
      </c>
      <c r="D46" s="643">
        <v>244475.04</v>
      </c>
      <c r="E46" s="643">
        <f>D46/2.3</f>
        <v>106293.5</v>
      </c>
      <c r="F46" s="644">
        <v>0</v>
      </c>
      <c r="G46" s="644">
        <v>1</v>
      </c>
      <c r="H46" s="638" t="s">
        <v>105</v>
      </c>
      <c r="I46" s="638" t="s">
        <v>106</v>
      </c>
      <c r="J46" s="639">
        <v>42309</v>
      </c>
      <c r="K46" s="639">
        <f>J46+20</f>
        <v>42329</v>
      </c>
      <c r="L46" s="639">
        <f t="shared" si="24"/>
        <v>42334</v>
      </c>
      <c r="M46" s="639">
        <f t="shared" si="25"/>
        <v>42364</v>
      </c>
      <c r="N46" s="639">
        <v>42536</v>
      </c>
      <c r="O46" s="639">
        <f t="shared" si="15"/>
        <v>42546</v>
      </c>
      <c r="P46" s="639">
        <f t="shared" si="16"/>
        <v>42586</v>
      </c>
      <c r="Q46" s="639">
        <f t="shared" si="17"/>
        <v>42596</v>
      </c>
      <c r="R46" s="639">
        <f t="shared" si="18"/>
        <v>42604</v>
      </c>
      <c r="S46" s="640" t="s">
        <v>107</v>
      </c>
      <c r="T46" s="639" t="s">
        <v>124</v>
      </c>
      <c r="U46" s="641"/>
    </row>
    <row r="47" spans="1:21" ht="22.5" x14ac:dyDescent="0.25">
      <c r="A47" s="633">
        <v>14</v>
      </c>
      <c r="B47" s="634">
        <v>3</v>
      </c>
      <c r="C47" s="655" t="s">
        <v>77</v>
      </c>
      <c r="D47" s="643">
        <v>3405138.74</v>
      </c>
      <c r="E47" s="643">
        <f>D47/2.3</f>
        <v>1480495.1</v>
      </c>
      <c r="F47" s="644">
        <v>1</v>
      </c>
      <c r="G47" s="644">
        <v>0</v>
      </c>
      <c r="H47" s="638" t="s">
        <v>128</v>
      </c>
      <c r="I47" s="638" t="s">
        <v>111</v>
      </c>
      <c r="J47" s="639">
        <v>42403</v>
      </c>
      <c r="K47" s="639">
        <f>J47+20</f>
        <v>42423</v>
      </c>
      <c r="L47" s="639">
        <f t="shared" si="24"/>
        <v>42428</v>
      </c>
      <c r="M47" s="639">
        <f t="shared" si="25"/>
        <v>42458</v>
      </c>
      <c r="N47" s="639">
        <v>42536</v>
      </c>
      <c r="O47" s="639">
        <f t="shared" si="15"/>
        <v>42546</v>
      </c>
      <c r="P47" s="639">
        <f t="shared" si="16"/>
        <v>42586</v>
      </c>
      <c r="Q47" s="639">
        <f t="shared" si="17"/>
        <v>42596</v>
      </c>
      <c r="R47" s="639">
        <f t="shared" si="18"/>
        <v>42604</v>
      </c>
      <c r="S47" s="640" t="s">
        <v>107</v>
      </c>
      <c r="T47" s="639" t="s">
        <v>112</v>
      </c>
      <c r="U47" s="641"/>
    </row>
    <row r="48" spans="1:21" ht="22.5" x14ac:dyDescent="0.25">
      <c r="A48" s="633">
        <v>15</v>
      </c>
      <c r="B48" s="634">
        <v>4</v>
      </c>
      <c r="C48" s="647" t="s">
        <v>78</v>
      </c>
      <c r="D48" s="643">
        <v>500000</v>
      </c>
      <c r="E48" s="643">
        <f t="shared" ref="E48:E51" si="26">D48/2.3</f>
        <v>217391.3</v>
      </c>
      <c r="F48" s="644">
        <v>1</v>
      </c>
      <c r="G48" s="644">
        <v>0</v>
      </c>
      <c r="H48" s="638" t="s">
        <v>128</v>
      </c>
      <c r="I48" s="638" t="s">
        <v>106</v>
      </c>
      <c r="J48" s="639">
        <v>43040</v>
      </c>
      <c r="K48" s="639">
        <f>J48+30</f>
        <v>43070</v>
      </c>
      <c r="L48" s="639">
        <f t="shared" si="24"/>
        <v>43075</v>
      </c>
      <c r="M48" s="639">
        <f t="shared" si="25"/>
        <v>43105</v>
      </c>
      <c r="N48" s="639">
        <v>42170</v>
      </c>
      <c r="O48" s="639">
        <f t="shared" si="15"/>
        <v>42180</v>
      </c>
      <c r="P48" s="639">
        <f t="shared" si="16"/>
        <v>42220</v>
      </c>
      <c r="Q48" s="639">
        <f t="shared" si="17"/>
        <v>42230</v>
      </c>
      <c r="R48" s="639">
        <f t="shared" si="18"/>
        <v>42238</v>
      </c>
      <c r="S48" s="640" t="s">
        <v>107</v>
      </c>
      <c r="T48" s="639" t="s">
        <v>124</v>
      </c>
      <c r="U48" s="641"/>
    </row>
    <row r="49" spans="1:21" ht="22.5" x14ac:dyDescent="0.25">
      <c r="A49" s="633">
        <v>16</v>
      </c>
      <c r="B49" s="634">
        <v>4</v>
      </c>
      <c r="C49" s="647" t="s">
        <v>79</v>
      </c>
      <c r="D49" s="643">
        <v>500000</v>
      </c>
      <c r="E49" s="643">
        <f t="shared" si="26"/>
        <v>217391.3</v>
      </c>
      <c r="F49" s="644">
        <v>1</v>
      </c>
      <c r="G49" s="644">
        <v>0</v>
      </c>
      <c r="H49" s="638" t="s">
        <v>128</v>
      </c>
      <c r="I49" s="638" t="s">
        <v>106</v>
      </c>
      <c r="J49" s="639"/>
      <c r="K49" s="639"/>
      <c r="L49" s="639"/>
      <c r="M49" s="639"/>
      <c r="N49" s="639">
        <v>42170</v>
      </c>
      <c r="O49" s="639">
        <f t="shared" si="15"/>
        <v>42180</v>
      </c>
      <c r="P49" s="639">
        <f t="shared" si="16"/>
        <v>42220</v>
      </c>
      <c r="Q49" s="639">
        <f t="shared" si="17"/>
        <v>42230</v>
      </c>
      <c r="R49" s="639">
        <f t="shared" si="18"/>
        <v>42238</v>
      </c>
      <c r="S49" s="640" t="s">
        <v>107</v>
      </c>
      <c r="T49" s="639" t="s">
        <v>124</v>
      </c>
      <c r="U49" s="641"/>
    </row>
    <row r="50" spans="1:21" x14ac:dyDescent="0.25">
      <c r="A50" s="633">
        <v>17</v>
      </c>
      <c r="B50" s="634">
        <v>4</v>
      </c>
      <c r="C50" s="788" t="s">
        <v>80</v>
      </c>
      <c r="D50" s="789">
        <v>50000</v>
      </c>
      <c r="E50" s="789">
        <f t="shared" si="26"/>
        <v>21739.13</v>
      </c>
      <c r="F50" s="799">
        <v>1</v>
      </c>
      <c r="G50" s="799">
        <v>0</v>
      </c>
      <c r="H50" s="796" t="s">
        <v>128</v>
      </c>
      <c r="I50" s="796" t="s">
        <v>106</v>
      </c>
      <c r="J50" s="797"/>
      <c r="K50" s="797"/>
      <c r="L50" s="797"/>
      <c r="M50" s="797"/>
      <c r="N50" s="797">
        <v>42170</v>
      </c>
      <c r="O50" s="797">
        <f t="shared" si="15"/>
        <v>42180</v>
      </c>
      <c r="P50" s="797">
        <f t="shared" si="16"/>
        <v>42220</v>
      </c>
      <c r="Q50" s="797">
        <f t="shared" si="17"/>
        <v>42230</v>
      </c>
      <c r="R50" s="797">
        <f t="shared" si="18"/>
        <v>42238</v>
      </c>
      <c r="S50" s="798" t="s">
        <v>107</v>
      </c>
      <c r="T50" s="797" t="s">
        <v>124</v>
      </c>
      <c r="U50" s="641"/>
    </row>
    <row r="51" spans="1:21" ht="22.5" x14ac:dyDescent="0.25">
      <c r="A51" s="633">
        <v>18</v>
      </c>
      <c r="B51" s="634">
        <v>4</v>
      </c>
      <c r="C51" s="788" t="s">
        <v>81</v>
      </c>
      <c r="D51" s="789">
        <v>50000</v>
      </c>
      <c r="E51" s="789">
        <f t="shared" si="26"/>
        <v>21739.13</v>
      </c>
      <c r="F51" s="799">
        <v>1</v>
      </c>
      <c r="G51" s="799">
        <v>0</v>
      </c>
      <c r="H51" s="796" t="s">
        <v>128</v>
      </c>
      <c r="I51" s="796" t="s">
        <v>106</v>
      </c>
      <c r="J51" s="797">
        <v>42768</v>
      </c>
      <c r="K51" s="797">
        <f>J51+20</f>
        <v>42788</v>
      </c>
      <c r="L51" s="797">
        <f t="shared" si="24"/>
        <v>42793</v>
      </c>
      <c r="M51" s="797">
        <f t="shared" si="25"/>
        <v>42823</v>
      </c>
      <c r="N51" s="797">
        <v>42170</v>
      </c>
      <c r="O51" s="797">
        <f t="shared" si="15"/>
        <v>42180</v>
      </c>
      <c r="P51" s="797">
        <f t="shared" si="16"/>
        <v>42220</v>
      </c>
      <c r="Q51" s="797">
        <f t="shared" si="17"/>
        <v>42230</v>
      </c>
      <c r="R51" s="797">
        <f t="shared" si="18"/>
        <v>42238</v>
      </c>
      <c r="S51" s="798" t="s">
        <v>107</v>
      </c>
      <c r="T51" s="797" t="s">
        <v>124</v>
      </c>
      <c r="U51" s="641"/>
    </row>
    <row r="52" spans="1:21" ht="22.5" x14ac:dyDescent="0.25">
      <c r="A52" s="633"/>
      <c r="B52" s="634">
        <v>4</v>
      </c>
      <c r="C52" s="788" t="s">
        <v>82</v>
      </c>
      <c r="D52" s="789">
        <v>50000</v>
      </c>
      <c r="E52" s="789">
        <f>D52/2.3</f>
        <v>21739.13</v>
      </c>
      <c r="F52" s="799">
        <v>1</v>
      </c>
      <c r="G52" s="799">
        <v>0</v>
      </c>
      <c r="H52" s="796" t="s">
        <v>128</v>
      </c>
      <c r="I52" s="796" t="s">
        <v>106</v>
      </c>
      <c r="J52" s="797">
        <v>41791</v>
      </c>
      <c r="K52" s="797">
        <f>J52+20</f>
        <v>41811</v>
      </c>
      <c r="L52" s="797">
        <f>K52+5</f>
        <v>41816</v>
      </c>
      <c r="M52" s="797">
        <f>L52+30</f>
        <v>41846</v>
      </c>
      <c r="N52" s="797">
        <v>42170</v>
      </c>
      <c r="O52" s="797">
        <f>N52+10</f>
        <v>42180</v>
      </c>
      <c r="P52" s="797">
        <f>O52+40</f>
        <v>42220</v>
      </c>
      <c r="Q52" s="797">
        <f>P52+10</f>
        <v>42230</v>
      </c>
      <c r="R52" s="797">
        <f>Q52+8</f>
        <v>42238</v>
      </c>
      <c r="S52" s="798" t="s">
        <v>107</v>
      </c>
      <c r="T52" s="797" t="s">
        <v>124</v>
      </c>
      <c r="U52" s="641"/>
    </row>
    <row r="53" spans="1:21" ht="22.5" x14ac:dyDescent="0.25">
      <c r="A53" s="633"/>
      <c r="B53" s="634">
        <v>4</v>
      </c>
      <c r="C53" s="788" t="s">
        <v>35</v>
      </c>
      <c r="D53" s="789">
        <f>E53*2.3</f>
        <v>62100</v>
      </c>
      <c r="E53" s="789">
        <v>27000</v>
      </c>
      <c r="F53" s="799">
        <v>1</v>
      </c>
      <c r="G53" s="799">
        <v>0</v>
      </c>
      <c r="H53" s="796"/>
      <c r="I53" s="796"/>
      <c r="J53" s="797"/>
      <c r="K53" s="797"/>
      <c r="L53" s="797"/>
      <c r="M53" s="797"/>
      <c r="N53" s="797"/>
      <c r="O53" s="797"/>
      <c r="P53" s="797"/>
      <c r="Q53" s="797"/>
      <c r="R53" s="797"/>
      <c r="S53" s="798"/>
      <c r="T53" s="797"/>
      <c r="U53" s="641" t="s">
        <v>6</v>
      </c>
    </row>
    <row r="54" spans="1:21" ht="22.5" x14ac:dyDescent="0.25">
      <c r="A54" s="633">
        <v>19</v>
      </c>
      <c r="B54" s="634">
        <v>4</v>
      </c>
      <c r="C54" s="788" t="s">
        <v>37</v>
      </c>
      <c r="D54" s="789">
        <f>E54*2.3</f>
        <v>230000</v>
      </c>
      <c r="E54" s="789">
        <v>100000</v>
      </c>
      <c r="F54" s="799">
        <v>1</v>
      </c>
      <c r="G54" s="799">
        <v>0</v>
      </c>
      <c r="H54" s="796"/>
      <c r="I54" s="796"/>
      <c r="J54" s="797"/>
      <c r="K54" s="797"/>
      <c r="L54" s="797"/>
      <c r="M54" s="797"/>
      <c r="N54" s="797"/>
      <c r="O54" s="797"/>
      <c r="P54" s="797"/>
      <c r="Q54" s="797"/>
      <c r="R54" s="797"/>
      <c r="S54" s="798"/>
      <c r="T54" s="797"/>
      <c r="U54" s="641" t="s">
        <v>6</v>
      </c>
    </row>
    <row r="55" spans="1:21" ht="16.5" customHeight="1" x14ac:dyDescent="0.25">
      <c r="A55" s="1106" t="s">
        <v>83</v>
      </c>
      <c r="B55" s="1107"/>
      <c r="C55" s="1107"/>
      <c r="D55" s="648">
        <f>SUM(D33:D54)</f>
        <v>40861393</v>
      </c>
      <c r="E55" s="648">
        <f>SUM(E33:E54)</f>
        <v>17765823</v>
      </c>
      <c r="F55" s="649"/>
      <c r="G55" s="649"/>
      <c r="H55" s="649"/>
      <c r="I55" s="649"/>
      <c r="J55" s="649"/>
      <c r="K55" s="649"/>
      <c r="L55" s="649"/>
      <c r="M55" s="649"/>
      <c r="N55" s="649"/>
      <c r="O55" s="649"/>
      <c r="P55" s="649"/>
      <c r="Q55" s="649"/>
      <c r="R55" s="649"/>
      <c r="S55" s="649"/>
      <c r="T55" s="649"/>
      <c r="U55" s="650"/>
    </row>
    <row r="56" spans="1:21" ht="18" customHeight="1" x14ac:dyDescent="0.25">
      <c r="A56" s="1103" t="s">
        <v>84</v>
      </c>
      <c r="B56" s="1104"/>
      <c r="C56" s="1104"/>
      <c r="D56" s="1104"/>
      <c r="E56" s="1104"/>
      <c r="F56" s="1104"/>
      <c r="G56" s="1104"/>
      <c r="H56" s="1104"/>
      <c r="I56" s="1104"/>
      <c r="J56" s="1104"/>
      <c r="K56" s="1104"/>
      <c r="L56" s="1104"/>
      <c r="M56" s="1104"/>
      <c r="N56" s="1104"/>
      <c r="O56" s="1104"/>
      <c r="P56" s="1104"/>
      <c r="Q56" s="1104"/>
      <c r="R56" s="1104"/>
      <c r="S56" s="1104"/>
      <c r="T56" s="1104"/>
      <c r="U56" s="1105"/>
    </row>
    <row r="57" spans="1:21" ht="22.5" x14ac:dyDescent="0.25">
      <c r="A57" s="657">
        <v>1</v>
      </c>
      <c r="B57" s="658">
        <v>1</v>
      </c>
      <c r="C57" s="646" t="s">
        <v>85</v>
      </c>
      <c r="D57" s="636">
        <f>E57*2.3</f>
        <v>6269172.0099999998</v>
      </c>
      <c r="E57" s="659">
        <v>2725726.96</v>
      </c>
      <c r="F57" s="637">
        <v>0</v>
      </c>
      <c r="G57" s="651">
        <v>1</v>
      </c>
      <c r="H57" s="638" t="s">
        <v>105</v>
      </c>
      <c r="I57" s="656" t="s">
        <v>106</v>
      </c>
      <c r="J57" s="656"/>
      <c r="K57" s="656"/>
      <c r="L57" s="656"/>
      <c r="M57" s="656"/>
      <c r="N57" s="639">
        <v>42170</v>
      </c>
      <c r="O57" s="639">
        <f t="shared" ref="O57" si="27">N57+10</f>
        <v>42180</v>
      </c>
      <c r="P57" s="639">
        <f t="shared" ref="P57" si="28">O57+40</f>
        <v>42220</v>
      </c>
      <c r="Q57" s="639">
        <f t="shared" ref="Q57" si="29">P57+10</f>
        <v>42230</v>
      </c>
      <c r="R57" s="639">
        <f t="shared" ref="R57" si="30">Q57+8</f>
        <v>42238</v>
      </c>
      <c r="S57" s="640" t="s">
        <v>107</v>
      </c>
      <c r="T57" s="639" t="s">
        <v>124</v>
      </c>
      <c r="U57" s="660"/>
    </row>
    <row r="58" spans="1:21" ht="22.5" x14ac:dyDescent="0.25">
      <c r="A58" s="657">
        <v>2</v>
      </c>
      <c r="B58" s="658">
        <v>2</v>
      </c>
      <c r="C58" s="647" t="s">
        <v>86</v>
      </c>
      <c r="D58" s="643">
        <v>755200</v>
      </c>
      <c r="E58" s="643">
        <f t="shared" ref="E58:E59" si="31">D58/2.3</f>
        <v>328347.83</v>
      </c>
      <c r="F58" s="644">
        <v>1</v>
      </c>
      <c r="G58" s="644">
        <v>0</v>
      </c>
      <c r="H58" s="661" t="s">
        <v>87</v>
      </c>
      <c r="I58" s="656" t="s">
        <v>106</v>
      </c>
      <c r="J58" s="656"/>
      <c r="K58" s="656"/>
      <c r="L58" s="656"/>
      <c r="M58" s="656"/>
      <c r="N58" s="639">
        <v>42901</v>
      </c>
      <c r="O58" s="639">
        <f>N58+10</f>
        <v>42911</v>
      </c>
      <c r="P58" s="639">
        <f>O58+40</f>
        <v>42951</v>
      </c>
      <c r="Q58" s="639">
        <f>P58+10</f>
        <v>42961</v>
      </c>
      <c r="R58" s="639">
        <f>Q58+8</f>
        <v>42969</v>
      </c>
      <c r="S58" s="640" t="s">
        <v>107</v>
      </c>
      <c r="T58" s="639" t="s">
        <v>129</v>
      </c>
      <c r="U58" s="660"/>
    </row>
    <row r="59" spans="1:21" ht="33.75" x14ac:dyDescent="0.25">
      <c r="A59" s="657">
        <v>3</v>
      </c>
      <c r="B59" s="662">
        <v>2</v>
      </c>
      <c r="C59" s="654" t="s">
        <v>88</v>
      </c>
      <c r="D59" s="663">
        <v>210000</v>
      </c>
      <c r="E59" s="663">
        <f t="shared" si="31"/>
        <v>91304.35</v>
      </c>
      <c r="F59" s="664">
        <v>1</v>
      </c>
      <c r="G59" s="664">
        <v>0</v>
      </c>
      <c r="H59" s="665" t="s">
        <v>89</v>
      </c>
      <c r="I59" s="666" t="s">
        <v>106</v>
      </c>
      <c r="J59" s="666"/>
      <c r="K59" s="666"/>
      <c r="L59" s="666"/>
      <c r="M59" s="666"/>
      <c r="N59" s="667">
        <v>42902</v>
      </c>
      <c r="O59" s="667">
        <f>N59+10</f>
        <v>42912</v>
      </c>
      <c r="P59" s="667">
        <f>O59+40</f>
        <v>42952</v>
      </c>
      <c r="Q59" s="667">
        <f>P59+10</f>
        <v>42962</v>
      </c>
      <c r="R59" s="667">
        <f>Q59+8</f>
        <v>42970</v>
      </c>
      <c r="S59" s="668" t="s">
        <v>90</v>
      </c>
      <c r="T59" s="667" t="s">
        <v>129</v>
      </c>
      <c r="U59" s="660"/>
    </row>
    <row r="60" spans="1:21" ht="22.5" x14ac:dyDescent="0.25">
      <c r="A60" s="657">
        <v>4</v>
      </c>
      <c r="B60" s="658">
        <v>3</v>
      </c>
      <c r="C60" s="647" t="s">
        <v>91</v>
      </c>
      <c r="D60" s="663">
        <v>3405138.74</v>
      </c>
      <c r="E60" s="663">
        <f>D60/2.3</f>
        <v>1480495.1</v>
      </c>
      <c r="F60" s="644">
        <v>1</v>
      </c>
      <c r="G60" s="644">
        <v>0</v>
      </c>
      <c r="H60" s="661" t="s">
        <v>110</v>
      </c>
      <c r="I60" s="656" t="s">
        <v>111</v>
      </c>
      <c r="J60" s="656"/>
      <c r="K60" s="656"/>
      <c r="L60" s="656"/>
      <c r="M60" s="656"/>
      <c r="N60" s="639">
        <v>42536</v>
      </c>
      <c r="O60" s="639">
        <f>N60+10</f>
        <v>42546</v>
      </c>
      <c r="P60" s="639">
        <f>O60+40</f>
        <v>42586</v>
      </c>
      <c r="Q60" s="639">
        <f>P60+10</f>
        <v>42596</v>
      </c>
      <c r="R60" s="639">
        <f>Q60+8</f>
        <v>42604</v>
      </c>
      <c r="S60" s="640" t="s">
        <v>107</v>
      </c>
      <c r="T60" s="639" t="s">
        <v>129</v>
      </c>
      <c r="U60" s="660"/>
    </row>
    <row r="61" spans="1:21" ht="33.75" x14ac:dyDescent="0.25">
      <c r="A61" s="657">
        <v>5</v>
      </c>
      <c r="B61" s="658">
        <v>3</v>
      </c>
      <c r="C61" s="655" t="s">
        <v>92</v>
      </c>
      <c r="D61" s="643">
        <v>4500000</v>
      </c>
      <c r="E61" s="643">
        <f>D61/2.3</f>
        <v>1956521.74</v>
      </c>
      <c r="F61" s="644">
        <v>0</v>
      </c>
      <c r="G61" s="644">
        <v>1</v>
      </c>
      <c r="H61" s="638" t="s">
        <v>105</v>
      </c>
      <c r="I61" s="656" t="s">
        <v>106</v>
      </c>
      <c r="J61" s="656"/>
      <c r="K61" s="656"/>
      <c r="L61" s="656"/>
      <c r="M61" s="656"/>
      <c r="N61" s="639">
        <v>42170</v>
      </c>
      <c r="O61" s="639">
        <f t="shared" ref="O61:O63" si="32">N61+10</f>
        <v>42180</v>
      </c>
      <c r="P61" s="639">
        <f t="shared" ref="P61:P63" si="33">O61+40</f>
        <v>42220</v>
      </c>
      <c r="Q61" s="639">
        <f t="shared" ref="Q61:Q63" si="34">P61+10</f>
        <v>42230</v>
      </c>
      <c r="R61" s="639">
        <f t="shared" ref="R61:R63" si="35">Q61+8</f>
        <v>42238</v>
      </c>
      <c r="S61" s="640" t="s">
        <v>107</v>
      </c>
      <c r="T61" s="639" t="s">
        <v>124</v>
      </c>
      <c r="U61" s="660"/>
    </row>
    <row r="62" spans="1:21" ht="22.5" x14ac:dyDescent="0.25">
      <c r="A62" s="657">
        <v>6</v>
      </c>
      <c r="B62" s="658">
        <v>3</v>
      </c>
      <c r="C62" s="647" t="s">
        <v>40</v>
      </c>
      <c r="D62" s="643">
        <v>4500000</v>
      </c>
      <c r="E62" s="643">
        <f>D62/2.3</f>
        <v>1956521.74</v>
      </c>
      <c r="F62" s="644">
        <v>0.56999999999999995</v>
      </c>
      <c r="G62" s="644">
        <v>0.43</v>
      </c>
      <c r="H62" s="669" t="s">
        <v>41</v>
      </c>
      <c r="I62" s="656" t="s">
        <v>106</v>
      </c>
      <c r="J62" s="656"/>
      <c r="K62" s="656"/>
      <c r="L62" s="656"/>
      <c r="M62" s="656"/>
      <c r="N62" s="639">
        <v>42170</v>
      </c>
      <c r="O62" s="639">
        <f t="shared" si="32"/>
        <v>42180</v>
      </c>
      <c r="P62" s="639">
        <f t="shared" si="33"/>
        <v>42220</v>
      </c>
      <c r="Q62" s="639">
        <f t="shared" si="34"/>
        <v>42230</v>
      </c>
      <c r="R62" s="639">
        <f t="shared" si="35"/>
        <v>42238</v>
      </c>
      <c r="S62" s="640" t="s">
        <v>107</v>
      </c>
      <c r="T62" s="639" t="s">
        <v>124</v>
      </c>
      <c r="U62" s="660"/>
    </row>
    <row r="63" spans="1:21" ht="36.75" customHeight="1" x14ac:dyDescent="0.25">
      <c r="A63" s="657">
        <v>7</v>
      </c>
      <c r="B63" s="658">
        <v>4</v>
      </c>
      <c r="C63" s="647" t="s">
        <v>42</v>
      </c>
      <c r="D63" s="643">
        <v>100000</v>
      </c>
      <c r="E63" s="643">
        <f t="shared" ref="E63" si="36">D63/2.3</f>
        <v>43478.26</v>
      </c>
      <c r="F63" s="644">
        <v>1</v>
      </c>
      <c r="G63" s="644">
        <v>0</v>
      </c>
      <c r="H63" s="669" t="s">
        <v>43</v>
      </c>
      <c r="I63" s="656" t="s">
        <v>106</v>
      </c>
      <c r="J63" s="656"/>
      <c r="K63" s="656"/>
      <c r="L63" s="656"/>
      <c r="M63" s="656"/>
      <c r="N63" s="639">
        <v>42170</v>
      </c>
      <c r="O63" s="639">
        <f t="shared" si="32"/>
        <v>42180</v>
      </c>
      <c r="P63" s="639">
        <f t="shared" si="33"/>
        <v>42220</v>
      </c>
      <c r="Q63" s="639">
        <f t="shared" si="34"/>
        <v>42230</v>
      </c>
      <c r="R63" s="639">
        <f t="shared" si="35"/>
        <v>42238</v>
      </c>
      <c r="S63" s="640" t="s">
        <v>107</v>
      </c>
      <c r="T63" s="639" t="s">
        <v>124</v>
      </c>
      <c r="U63" s="660"/>
    </row>
    <row r="64" spans="1:21" ht="16.5" customHeight="1" x14ac:dyDescent="0.25">
      <c r="A64" s="1106" t="s">
        <v>44</v>
      </c>
      <c r="B64" s="1107"/>
      <c r="C64" s="1107"/>
      <c r="D64" s="648">
        <f>SUM(D57:D63)</f>
        <v>19739511</v>
      </c>
      <c r="E64" s="648">
        <f>SUM(E57:E63)</f>
        <v>8582396</v>
      </c>
      <c r="F64" s="649"/>
      <c r="G64" s="649"/>
      <c r="H64" s="649"/>
      <c r="I64" s="649"/>
      <c r="J64" s="649"/>
      <c r="K64" s="649"/>
      <c r="L64" s="649"/>
      <c r="M64" s="649"/>
      <c r="N64" s="649"/>
      <c r="O64" s="649"/>
      <c r="P64" s="649"/>
      <c r="Q64" s="649"/>
      <c r="R64" s="649"/>
      <c r="S64" s="649"/>
      <c r="T64" s="649"/>
      <c r="U64" s="650"/>
    </row>
    <row r="65" spans="1:21" ht="19.5" customHeight="1" x14ac:dyDescent="0.25">
      <c r="A65" s="1103" t="s">
        <v>45</v>
      </c>
      <c r="B65" s="1104"/>
      <c r="C65" s="1104"/>
      <c r="D65" s="1104"/>
      <c r="E65" s="1104"/>
      <c r="F65" s="1104"/>
      <c r="G65" s="1104"/>
      <c r="H65" s="1104"/>
      <c r="I65" s="1104"/>
      <c r="J65" s="1104"/>
      <c r="K65" s="1104"/>
      <c r="L65" s="1104"/>
      <c r="M65" s="1104"/>
      <c r="N65" s="1104"/>
      <c r="O65" s="1104"/>
      <c r="P65" s="1104"/>
      <c r="Q65" s="1104"/>
      <c r="R65" s="1104"/>
      <c r="S65" s="1104"/>
      <c r="T65" s="1104"/>
      <c r="U65" s="1105"/>
    </row>
    <row r="66" spans="1:21" ht="22.5" x14ac:dyDescent="0.25">
      <c r="A66" s="633">
        <v>1</v>
      </c>
      <c r="B66" s="658">
        <v>1</v>
      </c>
      <c r="C66" s="645" t="s">
        <v>46</v>
      </c>
      <c r="D66" s="643">
        <v>24835000</v>
      </c>
      <c r="E66" s="643">
        <f>D66/2.3</f>
        <v>10797826.09</v>
      </c>
      <c r="F66" s="799">
        <v>1</v>
      </c>
      <c r="G66" s="644">
        <v>0</v>
      </c>
      <c r="H66" s="656" t="s">
        <v>47</v>
      </c>
      <c r="I66" s="656" t="s">
        <v>111</v>
      </c>
      <c r="J66" s="639">
        <v>42096</v>
      </c>
      <c r="K66" s="639">
        <f>J66+20</f>
        <v>42116</v>
      </c>
      <c r="L66" s="639">
        <f>K66+5</f>
        <v>42121</v>
      </c>
      <c r="M66" s="639">
        <f t="shared" ref="M66:M68" si="37">L66+30</f>
        <v>42151</v>
      </c>
      <c r="N66" s="639">
        <v>42019</v>
      </c>
      <c r="O66" s="639">
        <f t="shared" ref="O66:O70" si="38">N66+10</f>
        <v>42029</v>
      </c>
      <c r="P66" s="639">
        <f t="shared" ref="P66:P70" si="39">O66+40</f>
        <v>42069</v>
      </c>
      <c r="Q66" s="639">
        <f t="shared" ref="Q66:Q70" si="40">P66+10</f>
        <v>42079</v>
      </c>
      <c r="R66" s="639">
        <f t="shared" ref="R66:R70" si="41">Q66+8</f>
        <v>42087</v>
      </c>
      <c r="S66" s="640" t="s">
        <v>107</v>
      </c>
      <c r="T66" s="639" t="s">
        <v>118</v>
      </c>
      <c r="U66" s="670"/>
    </row>
    <row r="67" spans="1:21" x14ac:dyDescent="0.25">
      <c r="A67" s="633">
        <v>2</v>
      </c>
      <c r="B67" s="658">
        <v>2</v>
      </c>
      <c r="C67" s="647" t="s">
        <v>48</v>
      </c>
      <c r="D67" s="643">
        <v>11000000</v>
      </c>
      <c r="E67" s="643">
        <f t="shared" ref="E67:E68" si="42">D67/2.3</f>
        <v>4782608.7</v>
      </c>
      <c r="F67" s="644">
        <v>0.37</v>
      </c>
      <c r="G67" s="644">
        <v>0.63</v>
      </c>
      <c r="H67" s="656" t="s">
        <v>47</v>
      </c>
      <c r="I67" s="656" t="s">
        <v>111</v>
      </c>
      <c r="J67" s="639">
        <v>42096</v>
      </c>
      <c r="K67" s="639">
        <f>J67+20</f>
        <v>42116</v>
      </c>
      <c r="L67" s="639">
        <f>K67+5</f>
        <v>42121</v>
      </c>
      <c r="M67" s="639">
        <f t="shared" si="37"/>
        <v>42151</v>
      </c>
      <c r="N67" s="639">
        <v>42020</v>
      </c>
      <c r="O67" s="639">
        <f t="shared" si="38"/>
        <v>42030</v>
      </c>
      <c r="P67" s="639">
        <f t="shared" si="39"/>
        <v>42070</v>
      </c>
      <c r="Q67" s="639">
        <f t="shared" si="40"/>
        <v>42080</v>
      </c>
      <c r="R67" s="639">
        <f t="shared" si="41"/>
        <v>42088</v>
      </c>
      <c r="S67" s="640" t="s">
        <v>90</v>
      </c>
      <c r="T67" s="639" t="s">
        <v>118</v>
      </c>
      <c r="U67" s="670"/>
    </row>
    <row r="68" spans="1:21" x14ac:dyDescent="0.25">
      <c r="A68" s="633">
        <v>3</v>
      </c>
      <c r="B68" s="658">
        <v>2</v>
      </c>
      <c r="C68" s="647" t="s">
        <v>49</v>
      </c>
      <c r="D68" s="643">
        <v>3000000</v>
      </c>
      <c r="E68" s="643">
        <f t="shared" si="42"/>
        <v>1304347.83</v>
      </c>
      <c r="F68" s="644">
        <v>1</v>
      </c>
      <c r="G68" s="644">
        <v>0</v>
      </c>
      <c r="H68" s="656" t="s">
        <v>47</v>
      </c>
      <c r="I68" s="656" t="s">
        <v>106</v>
      </c>
      <c r="J68" s="639">
        <v>42096</v>
      </c>
      <c r="K68" s="639">
        <f>J68+20</f>
        <v>42116</v>
      </c>
      <c r="L68" s="639">
        <f>K68+5</f>
        <v>42121</v>
      </c>
      <c r="M68" s="639">
        <f t="shared" si="37"/>
        <v>42151</v>
      </c>
      <c r="N68" s="639">
        <v>42385</v>
      </c>
      <c r="O68" s="639">
        <f t="shared" si="38"/>
        <v>42395</v>
      </c>
      <c r="P68" s="639">
        <f t="shared" si="39"/>
        <v>42435</v>
      </c>
      <c r="Q68" s="639">
        <f t="shared" si="40"/>
        <v>42445</v>
      </c>
      <c r="R68" s="639">
        <f t="shared" si="41"/>
        <v>42453</v>
      </c>
      <c r="S68" s="640" t="s">
        <v>90</v>
      </c>
      <c r="T68" s="639" t="s">
        <v>118</v>
      </c>
      <c r="U68" s="670"/>
    </row>
    <row r="69" spans="1:21" ht="22.5" x14ac:dyDescent="0.25">
      <c r="A69" s="633">
        <v>4</v>
      </c>
      <c r="B69" s="658">
        <v>3</v>
      </c>
      <c r="C69" s="655" t="s">
        <v>26</v>
      </c>
      <c r="D69" s="643">
        <v>600000</v>
      </c>
      <c r="E69" s="643">
        <f>D69/2.3</f>
        <v>260869.57</v>
      </c>
      <c r="F69" s="644">
        <v>0</v>
      </c>
      <c r="G69" s="644">
        <v>1</v>
      </c>
      <c r="H69" s="638" t="s">
        <v>105</v>
      </c>
      <c r="I69" s="656" t="s">
        <v>106</v>
      </c>
      <c r="J69" s="639">
        <v>42096</v>
      </c>
      <c r="K69" s="639">
        <f>J69+20</f>
        <v>42116</v>
      </c>
      <c r="L69" s="639">
        <f>K69+5</f>
        <v>42121</v>
      </c>
      <c r="M69" s="639">
        <f>L69+30</f>
        <v>42151</v>
      </c>
      <c r="N69" s="639">
        <v>42020</v>
      </c>
      <c r="O69" s="639">
        <f t="shared" si="38"/>
        <v>42030</v>
      </c>
      <c r="P69" s="639">
        <f t="shared" si="39"/>
        <v>42070</v>
      </c>
      <c r="Q69" s="639">
        <f t="shared" si="40"/>
        <v>42080</v>
      </c>
      <c r="R69" s="639">
        <f t="shared" si="41"/>
        <v>42088</v>
      </c>
      <c r="S69" s="640" t="s">
        <v>90</v>
      </c>
      <c r="T69" s="639" t="s">
        <v>118</v>
      </c>
      <c r="U69" s="670"/>
    </row>
    <row r="70" spans="1:21" x14ac:dyDescent="0.25">
      <c r="A70" s="633">
        <v>5</v>
      </c>
      <c r="B70" s="658">
        <v>4</v>
      </c>
      <c r="C70" s="647" t="s">
        <v>50</v>
      </c>
      <c r="D70" s="643">
        <v>25000</v>
      </c>
      <c r="E70" s="643">
        <f t="shared" ref="E70" si="43">D70/2.3</f>
        <v>10869.57</v>
      </c>
      <c r="F70" s="644">
        <v>1</v>
      </c>
      <c r="G70" s="644">
        <v>0</v>
      </c>
      <c r="H70" s="656" t="s">
        <v>87</v>
      </c>
      <c r="I70" s="656" t="s">
        <v>111</v>
      </c>
      <c r="J70" s="639"/>
      <c r="K70" s="639"/>
      <c r="L70" s="639"/>
      <c r="M70" s="639"/>
      <c r="N70" s="639">
        <v>42020</v>
      </c>
      <c r="O70" s="639">
        <f t="shared" si="38"/>
        <v>42030</v>
      </c>
      <c r="P70" s="639">
        <f t="shared" si="39"/>
        <v>42070</v>
      </c>
      <c r="Q70" s="639">
        <f t="shared" si="40"/>
        <v>42080</v>
      </c>
      <c r="R70" s="639">
        <f t="shared" si="41"/>
        <v>42088</v>
      </c>
      <c r="S70" s="640" t="s">
        <v>90</v>
      </c>
      <c r="T70" s="639" t="s">
        <v>114</v>
      </c>
      <c r="U70" s="670"/>
    </row>
    <row r="71" spans="1:21" ht="16.5" customHeight="1" x14ac:dyDescent="0.25">
      <c r="A71" s="1106" t="s">
        <v>51</v>
      </c>
      <c r="B71" s="1107"/>
      <c r="C71" s="1107"/>
      <c r="D71" s="648">
        <f>SUM(D66:D70)</f>
        <v>39460000</v>
      </c>
      <c r="E71" s="648">
        <f>SUM(E66:E70)</f>
        <v>17156522</v>
      </c>
      <c r="F71" s="649"/>
      <c r="G71" s="649"/>
      <c r="H71" s="649"/>
      <c r="I71" s="649"/>
      <c r="J71" s="649"/>
      <c r="K71" s="649"/>
      <c r="L71" s="649"/>
      <c r="M71" s="649"/>
      <c r="N71" s="649"/>
      <c r="O71" s="649"/>
      <c r="P71" s="649"/>
      <c r="Q71" s="649"/>
      <c r="R71" s="649"/>
      <c r="S71" s="649"/>
      <c r="T71" s="649"/>
      <c r="U71" s="650"/>
    </row>
    <row r="72" spans="1:21" ht="18.75" customHeight="1" thickBot="1" x14ac:dyDescent="0.3">
      <c r="A72" s="1099" t="s">
        <v>327</v>
      </c>
      <c r="B72" s="1100"/>
      <c r="C72" s="1100"/>
      <c r="D72" s="671">
        <f>SUM(D31+D55+D64+D71)</f>
        <v>161000001</v>
      </c>
      <c r="E72" s="671">
        <f>SUM(E31+E55+E64+E71)</f>
        <v>70000000</v>
      </c>
      <c r="F72" s="672"/>
      <c r="G72" s="672"/>
      <c r="H72" s="1101"/>
      <c r="I72" s="1101"/>
      <c r="J72" s="1101"/>
      <c r="K72" s="1101"/>
      <c r="L72" s="1101"/>
      <c r="M72" s="1101"/>
      <c r="N72" s="1101"/>
      <c r="O72" s="1101"/>
      <c r="P72" s="1101"/>
      <c r="Q72" s="1101"/>
      <c r="R72" s="1101"/>
      <c r="S72" s="1101"/>
      <c r="T72" s="1101"/>
      <c r="U72" s="1102"/>
    </row>
    <row r="74" spans="1:21" x14ac:dyDescent="0.25">
      <c r="D74" s="673"/>
      <c r="E74" s="673"/>
    </row>
    <row r="75" spans="1:21" x14ac:dyDescent="0.25">
      <c r="D75" s="674"/>
      <c r="E75" s="674"/>
    </row>
  </sheetData>
  <mergeCells count="24">
    <mergeCell ref="A31:C31"/>
    <mergeCell ref="A1:U3"/>
    <mergeCell ref="A4:U4"/>
    <mergeCell ref="A5:U5"/>
    <mergeCell ref="A6:U7"/>
    <mergeCell ref="A8:A9"/>
    <mergeCell ref="B8:B9"/>
    <mergeCell ref="C8:C9"/>
    <mergeCell ref="D8:D9"/>
    <mergeCell ref="E8:E9"/>
    <mergeCell ref="F8:G8"/>
    <mergeCell ref="H8:H9"/>
    <mergeCell ref="I8:I9"/>
    <mergeCell ref="N8:T8"/>
    <mergeCell ref="U8:U9"/>
    <mergeCell ref="A10:U10"/>
    <mergeCell ref="A72:C72"/>
    <mergeCell ref="H72:U72"/>
    <mergeCell ref="A32:U32"/>
    <mergeCell ref="A55:C55"/>
    <mergeCell ref="A56:U56"/>
    <mergeCell ref="A64:C64"/>
    <mergeCell ref="A65:U65"/>
    <mergeCell ref="A71:C71"/>
  </mergeCells>
  <phoneticPr fontId="34" type="noConversion"/>
  <pageMargins left="0.7" right="0.7" top="0.75" bottom="0.75" header="0.3" footer="0.3"/>
  <pageSetup paperSize="9" scale="44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7:B48"/>
  <sheetViews>
    <sheetView showGridLines="0" zoomScale="85" zoomScaleNormal="85" zoomScalePageLayoutView="85" workbookViewId="0">
      <selection activeCell="B21" sqref="B21"/>
    </sheetView>
  </sheetViews>
  <sheetFormatPr defaultColWidth="8.85546875" defaultRowHeight="12.75" x14ac:dyDescent="0.2"/>
  <cols>
    <col min="1" max="1" width="9" style="5" customWidth="1"/>
    <col min="2" max="2" width="95.140625" customWidth="1"/>
  </cols>
  <sheetData>
    <row r="7" spans="1:2" x14ac:dyDescent="0.2">
      <c r="B7" s="6"/>
    </row>
    <row r="8" spans="1:2" x14ac:dyDescent="0.2">
      <c r="B8" s="6"/>
    </row>
    <row r="9" spans="1:2" x14ac:dyDescent="0.2">
      <c r="B9" s="6"/>
    </row>
    <row r="10" spans="1:2" ht="15" x14ac:dyDescent="0.25">
      <c r="B10" s="7" t="s">
        <v>268</v>
      </c>
    </row>
    <row r="12" spans="1:2" ht="15.75" x14ac:dyDescent="0.25">
      <c r="A12" s="942"/>
      <c r="B12" s="942"/>
    </row>
    <row r="15" spans="1:2" x14ac:dyDescent="0.2">
      <c r="A15" s="8"/>
      <c r="B15" s="1"/>
    </row>
    <row r="16" spans="1:2" ht="15" x14ac:dyDescent="0.25">
      <c r="A16" s="9" t="s">
        <v>269</v>
      </c>
      <c r="B16" s="10" t="s">
        <v>270</v>
      </c>
    </row>
    <row r="17" spans="1:2" ht="15" x14ac:dyDescent="0.25">
      <c r="A17" s="11"/>
      <c r="B17" s="12"/>
    </row>
    <row r="18" spans="1:2" ht="15" x14ac:dyDescent="0.25">
      <c r="A18" s="13">
        <v>1</v>
      </c>
      <c r="B18" s="12" t="s">
        <v>271</v>
      </c>
    </row>
    <row r="19" spans="1:2" ht="15" x14ac:dyDescent="0.25">
      <c r="A19" s="13">
        <v>2</v>
      </c>
      <c r="B19" s="12" t="s">
        <v>272</v>
      </c>
    </row>
    <row r="20" spans="1:2" ht="8.1" customHeight="1" x14ac:dyDescent="0.25">
      <c r="A20" s="13"/>
      <c r="B20" s="10"/>
    </row>
    <row r="21" spans="1:2" ht="15" x14ac:dyDescent="0.25">
      <c r="A21" s="13">
        <v>3</v>
      </c>
      <c r="B21" s="12" t="s">
        <v>273</v>
      </c>
    </row>
    <row r="22" spans="1:2" ht="15" x14ac:dyDescent="0.25">
      <c r="A22" s="13">
        <v>4</v>
      </c>
      <c r="B22" s="12" t="s">
        <v>274</v>
      </c>
    </row>
    <row r="23" spans="1:2" ht="15" x14ac:dyDescent="0.25">
      <c r="A23" s="13">
        <v>5</v>
      </c>
      <c r="B23" s="12" t="s">
        <v>275</v>
      </c>
    </row>
    <row r="24" spans="1:2" ht="15" x14ac:dyDescent="0.25">
      <c r="A24" s="13">
        <v>6</v>
      </c>
      <c r="B24" s="12" t="s">
        <v>306</v>
      </c>
    </row>
    <row r="25" spans="1:2" ht="15" x14ac:dyDescent="0.25">
      <c r="A25" s="7">
        <v>7</v>
      </c>
      <c r="B25" s="14" t="s">
        <v>276</v>
      </c>
    </row>
    <row r="26" spans="1:2" ht="15" x14ac:dyDescent="0.25">
      <c r="A26" s="15">
        <v>8</v>
      </c>
      <c r="B26" s="16" t="s">
        <v>277</v>
      </c>
    </row>
    <row r="27" spans="1:2" ht="15" x14ac:dyDescent="0.25">
      <c r="A27" s="15">
        <v>9</v>
      </c>
      <c r="B27" s="16" t="s">
        <v>278</v>
      </c>
    </row>
    <row r="28" spans="1:2" ht="15" x14ac:dyDescent="0.25">
      <c r="A28" s="7">
        <v>10</v>
      </c>
      <c r="B28" s="14" t="s">
        <v>307</v>
      </c>
    </row>
    <row r="29" spans="1:2" ht="15" x14ac:dyDescent="0.25">
      <c r="A29" s="7">
        <v>11</v>
      </c>
      <c r="B29" s="14" t="s">
        <v>279</v>
      </c>
    </row>
    <row r="30" spans="1:2" ht="15" x14ac:dyDescent="0.25">
      <c r="A30" s="17">
        <v>12</v>
      </c>
      <c r="B30" s="18" t="s">
        <v>280</v>
      </c>
    </row>
    <row r="31" spans="1:2" x14ac:dyDescent="0.2">
      <c r="B31" s="19"/>
    </row>
    <row r="32" spans="1:2" x14ac:dyDescent="0.2">
      <c r="B32" s="19"/>
    </row>
    <row r="33" spans="2:2" x14ac:dyDescent="0.2">
      <c r="B33" s="19"/>
    </row>
    <row r="34" spans="2:2" x14ac:dyDescent="0.2">
      <c r="B34" s="19"/>
    </row>
    <row r="35" spans="2:2" x14ac:dyDescent="0.2">
      <c r="B35" s="19"/>
    </row>
    <row r="36" spans="2:2" x14ac:dyDescent="0.2">
      <c r="B36" s="19"/>
    </row>
    <row r="37" spans="2:2" x14ac:dyDescent="0.2">
      <c r="B37" s="19"/>
    </row>
    <row r="38" spans="2:2" x14ac:dyDescent="0.2">
      <c r="B38" s="19"/>
    </row>
    <row r="39" spans="2:2" x14ac:dyDescent="0.2">
      <c r="B39" s="19"/>
    </row>
    <row r="40" spans="2:2" x14ac:dyDescent="0.2">
      <c r="B40" s="19"/>
    </row>
    <row r="41" spans="2:2" x14ac:dyDescent="0.2">
      <c r="B41" s="19"/>
    </row>
    <row r="42" spans="2:2" x14ac:dyDescent="0.2">
      <c r="B42" s="19"/>
    </row>
    <row r="43" spans="2:2" x14ac:dyDescent="0.2">
      <c r="B43" s="19"/>
    </row>
    <row r="44" spans="2:2" x14ac:dyDescent="0.2">
      <c r="B44" s="19"/>
    </row>
    <row r="45" spans="2:2" x14ac:dyDescent="0.2">
      <c r="B45" s="19"/>
    </row>
    <row r="46" spans="2:2" x14ac:dyDescent="0.2">
      <c r="B46" s="19"/>
    </row>
    <row r="47" spans="2:2" x14ac:dyDescent="0.2">
      <c r="B47" s="19"/>
    </row>
    <row r="48" spans="2:2" x14ac:dyDescent="0.2">
      <c r="B48" s="19"/>
    </row>
  </sheetData>
  <mergeCells count="1">
    <mergeCell ref="A12:B12"/>
  </mergeCells>
  <phoneticPr fontId="34" type="noConversion"/>
  <printOptions horizontalCentered="1"/>
  <pageMargins left="0.59027777777777779" right="0.59027777777777779" top="0.59027777777777779" bottom="0.78749999999999998" header="0.51180555555555551" footer="0.51180555555555551"/>
  <headerFooter alignWithMargins="0">
    <oddFooter>&amp;L&amp;D&amp;C&amp;A&amp;RPág. &amp;P / &amp;N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enableFormatConditionsCalculation="0"/>
  <dimension ref="A1:K28"/>
  <sheetViews>
    <sheetView showGridLines="0" zoomScale="97" zoomScaleNormal="97" zoomScaleSheetLayoutView="75" zoomScalePageLayoutView="97" workbookViewId="0">
      <pane ySplit="4" topLeftCell="A5" activePane="bottomLeft" state="frozenSplit"/>
      <selection pane="bottomLeft"/>
    </sheetView>
  </sheetViews>
  <sheetFormatPr defaultColWidth="4.42578125" defaultRowHeight="12.75" x14ac:dyDescent="0.2"/>
  <cols>
    <col min="1" max="1" width="110.42578125" style="20" customWidth="1"/>
    <col min="2" max="2" width="9.42578125" style="21" customWidth="1"/>
    <col min="3" max="3" width="0" style="19" hidden="1" customWidth="1"/>
    <col min="4" max="4" width="15.7109375" style="22" customWidth="1"/>
    <col min="5" max="5" width="16.42578125" style="22" customWidth="1"/>
    <col min="6" max="6" width="10.7109375" style="21" customWidth="1"/>
    <col min="7" max="7" width="5.7109375" style="19" customWidth="1"/>
    <col min="8" max="11" width="0" style="19" hidden="1" customWidth="1"/>
    <col min="12" max="16384" width="4.42578125" style="19"/>
  </cols>
  <sheetData>
    <row r="1" spans="1:11" ht="13.5" thickBot="1" x14ac:dyDescent="0.25">
      <c r="A1" s="23"/>
      <c r="B1" s="24" t="s">
        <v>281</v>
      </c>
      <c r="C1" s="24"/>
      <c r="D1" s="25" t="s">
        <v>282</v>
      </c>
      <c r="E1" s="26">
        <v>2.2999999999999998</v>
      </c>
      <c r="F1" s="27"/>
    </row>
    <row r="2" spans="1:11" ht="16.5" thickBot="1" x14ac:dyDescent="0.25">
      <c r="A2" s="28" t="s">
        <v>283</v>
      </c>
      <c r="B2" s="29"/>
      <c r="C2" s="30"/>
      <c r="D2" s="31"/>
      <c r="E2" s="31"/>
      <c r="F2" s="32"/>
    </row>
    <row r="3" spans="1:11" ht="13.5" customHeight="1" thickBot="1" x14ac:dyDescent="0.25">
      <c r="A3" s="33" t="s">
        <v>284</v>
      </c>
      <c r="B3" s="34"/>
      <c r="C3" s="35"/>
      <c r="D3" s="36"/>
      <c r="E3" s="36"/>
      <c r="F3" s="37"/>
      <c r="H3" s="38"/>
      <c r="I3" s="38"/>
      <c r="J3" s="38"/>
      <c r="K3" s="38"/>
    </row>
    <row r="4" spans="1:11" ht="12.75" customHeight="1" thickBot="1" x14ac:dyDescent="0.25">
      <c r="A4" s="328" t="s">
        <v>285</v>
      </c>
      <c r="B4" s="329" t="s">
        <v>286</v>
      </c>
      <c r="C4" s="330"/>
      <c r="D4" s="331" t="s">
        <v>287</v>
      </c>
      <c r="E4" s="331" t="s">
        <v>288</v>
      </c>
      <c r="F4" s="332" t="s">
        <v>289</v>
      </c>
      <c r="H4" s="39" t="s">
        <v>290</v>
      </c>
      <c r="I4" s="40" t="s">
        <v>291</v>
      </c>
      <c r="J4" s="41" t="s">
        <v>292</v>
      </c>
      <c r="K4" s="42" t="s">
        <v>293</v>
      </c>
    </row>
    <row r="5" spans="1:11" ht="13.5" customHeight="1" thickBot="1" x14ac:dyDescent="0.25">
      <c r="A5" s="333" t="s">
        <v>294</v>
      </c>
      <c r="B5" s="274"/>
      <c r="C5" s="43"/>
      <c r="D5" s="44">
        <f>D6+D13+D18</f>
        <v>66600000</v>
      </c>
      <c r="E5" s="44">
        <f>E6+E13+E18</f>
        <v>153180000</v>
      </c>
      <c r="F5" s="334"/>
      <c r="H5" s="45"/>
      <c r="I5" s="46"/>
      <c r="J5" s="47"/>
      <c r="K5" s="48"/>
    </row>
    <row r="6" spans="1:11" ht="12.75" customHeight="1" x14ac:dyDescent="0.2">
      <c r="A6" s="335" t="s">
        <v>312</v>
      </c>
      <c r="B6" s="325"/>
      <c r="C6" s="326">
        <f>COUNTIF(C7:C25,"verdadeiro")</f>
        <v>0</v>
      </c>
      <c r="D6" s="327">
        <f>SUM(D7:D12)</f>
        <v>28000000</v>
      </c>
      <c r="E6" s="327">
        <f>SUM(E7:E12)</f>
        <v>64400000</v>
      </c>
      <c r="F6" s="336"/>
      <c r="H6" s="49"/>
      <c r="I6" s="50"/>
      <c r="J6" s="51"/>
      <c r="K6" s="52"/>
    </row>
    <row r="7" spans="1:11" ht="24" x14ac:dyDescent="0.2">
      <c r="A7" s="608" t="s">
        <v>132</v>
      </c>
      <c r="B7" s="275"/>
      <c r="C7" s="294" t="b">
        <f t="shared" ref="C7:C12" si="0">AND(OR(ISBLANK(A7),A7=" ",A7="  "),B7="Sim")</f>
        <v>0</v>
      </c>
      <c r="D7" s="295">
        <f>'4_Componente 1'!$A$10</f>
        <v>3695652.17</v>
      </c>
      <c r="E7" s="296">
        <f t="shared" ref="E7:E12" si="1">D7*2.3</f>
        <v>8499999.9900000002</v>
      </c>
      <c r="F7" s="306"/>
      <c r="H7" s="53"/>
      <c r="I7" s="54"/>
      <c r="J7" s="55"/>
      <c r="K7" s="56"/>
    </row>
    <row r="8" spans="1:11" x14ac:dyDescent="0.2">
      <c r="A8" s="337" t="s">
        <v>133</v>
      </c>
      <c r="B8" s="275"/>
      <c r="C8" s="294" t="b">
        <f t="shared" si="0"/>
        <v>0</v>
      </c>
      <c r="D8" s="295">
        <f>'4_Componente 1'!$A$14</f>
        <v>11450000</v>
      </c>
      <c r="E8" s="296">
        <f t="shared" si="1"/>
        <v>26335000</v>
      </c>
      <c r="F8" s="306"/>
      <c r="H8" s="53"/>
      <c r="I8" s="54"/>
      <c r="J8" s="55"/>
      <c r="K8" s="56"/>
    </row>
    <row r="9" spans="1:11" x14ac:dyDescent="0.2">
      <c r="A9" s="323" t="s">
        <v>134</v>
      </c>
      <c r="B9" s="275"/>
      <c r="C9" s="294" t="b">
        <f t="shared" si="0"/>
        <v>0</v>
      </c>
      <c r="D9" s="295">
        <f>'4_Componente 1'!$A$18</f>
        <v>2725726.96</v>
      </c>
      <c r="E9" s="296">
        <f t="shared" si="1"/>
        <v>6269172.0099999998</v>
      </c>
      <c r="F9" s="306"/>
      <c r="H9" s="53"/>
      <c r="I9" s="54"/>
      <c r="J9" s="55"/>
      <c r="K9" s="56"/>
    </row>
    <row r="10" spans="1:11" x14ac:dyDescent="0.2">
      <c r="A10" s="324" t="s">
        <v>135</v>
      </c>
      <c r="B10" s="275"/>
      <c r="C10" s="294" t="b">
        <f t="shared" si="0"/>
        <v>0</v>
      </c>
      <c r="D10" s="295">
        <f>'4_Componente 1'!$A$25</f>
        <v>9737440.8800000008</v>
      </c>
      <c r="E10" s="296">
        <f t="shared" si="1"/>
        <v>22396114.02</v>
      </c>
      <c r="F10" s="306"/>
      <c r="H10" s="53"/>
      <c r="I10" s="54"/>
      <c r="J10" s="57"/>
      <c r="K10" s="56"/>
    </row>
    <row r="11" spans="1:11" x14ac:dyDescent="0.2">
      <c r="A11" s="324" t="s">
        <v>137</v>
      </c>
      <c r="B11" s="275"/>
      <c r="C11" s="294" t="b">
        <f t="shared" si="0"/>
        <v>0</v>
      </c>
      <c r="D11" s="295">
        <f>'4_Componente 1'!$A$31</f>
        <v>141180</v>
      </c>
      <c r="E11" s="296">
        <f t="shared" si="1"/>
        <v>324714</v>
      </c>
      <c r="F11" s="306"/>
      <c r="H11" s="53"/>
      <c r="I11" s="54"/>
      <c r="J11" s="58"/>
      <c r="K11" s="59"/>
    </row>
    <row r="12" spans="1:11" x14ac:dyDescent="0.2">
      <c r="A12" s="324" t="s">
        <v>136</v>
      </c>
      <c r="B12" s="275"/>
      <c r="C12" s="294" t="b">
        <f t="shared" si="0"/>
        <v>0</v>
      </c>
      <c r="D12" s="297">
        <f>'4_Componente 1'!$A$33</f>
        <v>250000</v>
      </c>
      <c r="E12" s="296">
        <f t="shared" si="1"/>
        <v>575000</v>
      </c>
      <c r="F12" s="306"/>
      <c r="H12" s="53"/>
      <c r="I12" s="54"/>
      <c r="J12" s="58"/>
      <c r="K12" s="59"/>
    </row>
    <row r="13" spans="1:11" x14ac:dyDescent="0.2">
      <c r="A13" s="307" t="s">
        <v>313</v>
      </c>
      <c r="B13" s="298"/>
      <c r="C13" s="299">
        <f>COUNTIF(C15:C63,"verdadeiro")</f>
        <v>0</v>
      </c>
      <c r="D13" s="300">
        <f>D14+D15+D16+D17</f>
        <v>28000000</v>
      </c>
      <c r="E13" s="301">
        <f>+E14+E15+E16+E17</f>
        <v>64400000</v>
      </c>
      <c r="F13" s="308"/>
      <c r="H13" s="53"/>
      <c r="I13" s="54"/>
      <c r="J13" s="60"/>
      <c r="K13" s="56"/>
    </row>
    <row r="14" spans="1:11" ht="24" x14ac:dyDescent="0.2">
      <c r="A14" s="321" t="s">
        <v>147</v>
      </c>
      <c r="B14" s="275"/>
      <c r="C14" s="302"/>
      <c r="D14" s="303">
        <f>'5_Componente 2'!$A$9</f>
        <v>11373586.460000001</v>
      </c>
      <c r="E14" s="304">
        <f>D14*2.3</f>
        <v>26159248.859999999</v>
      </c>
      <c r="F14" s="309"/>
      <c r="H14" s="53"/>
      <c r="I14" s="54"/>
      <c r="J14" s="61"/>
      <c r="K14" s="56"/>
    </row>
    <row r="15" spans="1:11" x14ac:dyDescent="0.2">
      <c r="A15" s="321" t="s">
        <v>201</v>
      </c>
      <c r="B15" s="275"/>
      <c r="C15" s="294" t="b">
        <f t="shared" ref="C15:C17" si="2">AND(OR(ISBLANK(A15),A15=" ",A15="  "),B15="Sim")</f>
        <v>0</v>
      </c>
      <c r="D15" s="303">
        <f>'5_Componente 2'!$A$13</f>
        <v>8695652.1799999997</v>
      </c>
      <c r="E15" s="304">
        <f>D15*2.3</f>
        <v>20000000.010000002</v>
      </c>
      <c r="F15" s="309"/>
      <c r="H15" s="53"/>
      <c r="I15" s="54"/>
      <c r="J15" s="61"/>
      <c r="K15" s="56"/>
    </row>
    <row r="16" spans="1:11" x14ac:dyDescent="0.2">
      <c r="A16" s="321" t="s">
        <v>232</v>
      </c>
      <c r="B16" s="275"/>
      <c r="C16" s="294" t="b">
        <f t="shared" si="2"/>
        <v>0</v>
      </c>
      <c r="D16" s="303">
        <f>'5_Componente 2'!$A$18</f>
        <v>1802260.87</v>
      </c>
      <c r="E16" s="304">
        <f>D16*2.3</f>
        <v>4145200</v>
      </c>
      <c r="F16" s="306"/>
      <c r="H16" s="53"/>
      <c r="I16" s="54"/>
      <c r="J16" s="58"/>
      <c r="K16" s="59"/>
    </row>
    <row r="17" spans="1:11" ht="24" x14ac:dyDescent="0.2">
      <c r="A17" s="322" t="s">
        <v>148</v>
      </c>
      <c r="B17" s="275"/>
      <c r="C17" s="294" t="b">
        <f t="shared" si="2"/>
        <v>0</v>
      </c>
      <c r="D17" s="303">
        <f>'5_Componente 2'!$A$24</f>
        <v>6128500.5</v>
      </c>
      <c r="E17" s="304">
        <f>D17*2.3</f>
        <v>14095551.15</v>
      </c>
      <c r="F17" s="306"/>
      <c r="H17" s="53"/>
      <c r="I17" s="54"/>
      <c r="J17" s="58"/>
      <c r="K17" s="59"/>
    </row>
    <row r="18" spans="1:11" x14ac:dyDescent="0.2">
      <c r="A18" s="307" t="s">
        <v>314</v>
      </c>
      <c r="B18" s="619"/>
      <c r="C18" s="619"/>
      <c r="D18" s="620">
        <f>SUM(D19:D23)</f>
        <v>10600000</v>
      </c>
      <c r="E18" s="620">
        <f>SUM(E19:E23)</f>
        <v>24380000</v>
      </c>
      <c r="F18" s="618"/>
      <c r="H18" s="62"/>
      <c r="I18" s="63"/>
      <c r="J18" s="64"/>
      <c r="K18" s="65"/>
    </row>
    <row r="19" spans="1:11" x14ac:dyDescent="0.2">
      <c r="A19" s="338" t="s">
        <v>206</v>
      </c>
      <c r="B19" s="275"/>
      <c r="C19" s="294"/>
      <c r="D19" s="621">
        <f>'6_Componente 3'!A7</f>
        <v>1480495.1</v>
      </c>
      <c r="E19" s="622">
        <f>D19*2.3</f>
        <v>3405138.73</v>
      </c>
      <c r="F19" s="306"/>
      <c r="H19" s="62"/>
      <c r="I19" s="63"/>
      <c r="J19" s="64"/>
      <c r="K19" s="65"/>
    </row>
    <row r="20" spans="1:11" x14ac:dyDescent="0.2">
      <c r="A20" s="338" t="s">
        <v>207</v>
      </c>
      <c r="B20" s="275"/>
      <c r="C20" s="294"/>
      <c r="D20" s="621">
        <f>'6_Componente 3'!A10</f>
        <v>1931085.5</v>
      </c>
      <c r="E20" s="622">
        <f t="shared" ref="E20:E23" si="3">D20*2.3</f>
        <v>4441496.6500000004</v>
      </c>
      <c r="F20" s="306"/>
      <c r="H20" s="62"/>
      <c r="I20" s="63"/>
      <c r="J20" s="64"/>
      <c r="K20" s="65"/>
    </row>
    <row r="21" spans="1:11" ht="25.5" x14ac:dyDescent="0.2">
      <c r="A21" s="338" t="s">
        <v>208</v>
      </c>
      <c r="B21" s="275"/>
      <c r="C21" s="294"/>
      <c r="D21" s="621">
        <f>'6_Componente 3'!A17</f>
        <v>1794880.81</v>
      </c>
      <c r="E21" s="622">
        <f t="shared" si="3"/>
        <v>4128225.86</v>
      </c>
      <c r="F21" s="306"/>
      <c r="H21" s="62"/>
      <c r="I21" s="63"/>
      <c r="J21" s="64"/>
      <c r="K21" s="65"/>
    </row>
    <row r="22" spans="1:11" x14ac:dyDescent="0.2">
      <c r="A22" s="338" t="s">
        <v>209</v>
      </c>
      <c r="B22" s="275"/>
      <c r="C22" s="294"/>
      <c r="D22" s="621">
        <f>'6_Componente 3'!A21</f>
        <v>3913043.48</v>
      </c>
      <c r="E22" s="622">
        <f t="shared" si="3"/>
        <v>9000000</v>
      </c>
      <c r="F22" s="306"/>
      <c r="H22" s="62"/>
      <c r="I22" s="63"/>
      <c r="J22" s="64"/>
      <c r="K22" s="65"/>
    </row>
    <row r="23" spans="1:11" ht="13.5" thickBot="1" x14ac:dyDescent="0.25">
      <c r="A23" s="338" t="s">
        <v>210</v>
      </c>
      <c r="B23" s="275"/>
      <c r="C23" s="294"/>
      <c r="D23" s="621">
        <f>'6_Componente 3'!A24</f>
        <v>1480495.1</v>
      </c>
      <c r="E23" s="622">
        <f t="shared" si="3"/>
        <v>3405138.73</v>
      </c>
      <c r="F23" s="306"/>
      <c r="H23" s="62"/>
      <c r="I23" s="63"/>
      <c r="J23" s="64"/>
      <c r="K23" s="65"/>
    </row>
    <row r="24" spans="1:11" ht="12.75" customHeight="1" x14ac:dyDescent="0.2">
      <c r="A24" s="310" t="s">
        <v>296</v>
      </c>
      <c r="B24" s="305"/>
      <c r="C24" s="294"/>
      <c r="D24" s="616">
        <f>SUM(D25:D26)</f>
        <v>3400000</v>
      </c>
      <c r="E24" s="617">
        <f>SUM(E25:E26)</f>
        <v>7820000</v>
      </c>
      <c r="F24" s="311"/>
      <c r="H24" s="67"/>
      <c r="I24" s="68"/>
      <c r="J24" s="69"/>
      <c r="K24" s="70"/>
    </row>
    <row r="25" spans="1:11" x14ac:dyDescent="0.2">
      <c r="A25" s="324" t="s">
        <v>138</v>
      </c>
      <c r="B25" s="275"/>
      <c r="C25" s="294" t="b">
        <f>AND(OR(ISBLANK(A25),A25=" ",A25="  "),B25="Sim")</f>
        <v>0</v>
      </c>
      <c r="D25" s="621">
        <f>'7_ADM'!A14</f>
        <v>2076086.95</v>
      </c>
      <c r="E25" s="621">
        <f>D25*2.3</f>
        <v>4774999.99</v>
      </c>
      <c r="F25" s="306"/>
      <c r="H25" s="53"/>
      <c r="I25" s="54"/>
      <c r="J25" s="61"/>
      <c r="K25" s="56"/>
    </row>
    <row r="26" spans="1:11" x14ac:dyDescent="0.2">
      <c r="A26" s="615" t="s">
        <v>62</v>
      </c>
      <c r="B26" s="609"/>
      <c r="C26" s="610"/>
      <c r="D26" s="623">
        <f>'7_ADM'!A24</f>
        <v>1323913.04</v>
      </c>
      <c r="E26" s="623">
        <f>D26*2.3</f>
        <v>3044999.99</v>
      </c>
      <c r="F26" s="611"/>
      <c r="H26" s="149"/>
      <c r="I26" s="612"/>
      <c r="J26" s="613"/>
      <c r="K26" s="614"/>
    </row>
    <row r="27" spans="1:11" ht="13.5" thickBot="1" x14ac:dyDescent="0.25">
      <c r="A27" s="624" t="s">
        <v>317</v>
      </c>
      <c r="B27" s="625"/>
      <c r="C27" s="626"/>
      <c r="D27" s="678">
        <f>+D5+D24</f>
        <v>70000000</v>
      </c>
      <c r="E27" s="678">
        <f>+E5+E24</f>
        <v>161000000</v>
      </c>
      <c r="F27" s="627"/>
    </row>
    <row r="28" spans="1:11" x14ac:dyDescent="0.2">
      <c r="G28" s="71"/>
    </row>
  </sheetData>
  <phoneticPr fontId="34" type="noConversion"/>
  <conditionalFormatting sqref="B25:B26 F25:F26 F19:F23 A19:B23 B7:B17 F7:F17">
    <cfRule type="cellIs" dxfId="4" priority="1" stopIfTrue="1" operator="equal">
      <formula>"Sim"</formula>
    </cfRule>
  </conditionalFormatting>
  <dataValidations disablePrompts="1" count="1">
    <dataValidation type="list" operator="equal" allowBlank="1" showErrorMessage="1" sqref="F19:F23 B25:B26 F25:F26 B7:B12 B19:B23 B14:B17 F7:F17">
      <formula1>"Sim,Não"</formula1>
      <formula2>0</formula2>
    </dataValidation>
  </dataValidations>
  <printOptions horizontalCentered="1"/>
  <pageMargins left="0.2361111111111111" right="0.39374999999999999" top="0.59097222222222223" bottom="0.62986111111111109" header="0.31527777777777777" footer="0.31527777777777777"/>
  <headerFooter alignWithMargins="0">
    <oddHeader>&amp;LBID Modernização da AGU&amp;CPLANO DE AÇÃO E DE INVESTIMENTOS - PAI</oddHeader>
    <oddFooter>&amp;L&amp;D&amp;C&amp;A&amp;R&amp;P / &amp;N</oddFooter>
  </headerFooter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enableFormatConditionsCalculation="0"/>
  <dimension ref="A1:BG44"/>
  <sheetViews>
    <sheetView showGridLines="0" zoomScaleNormal="85" zoomScaleSheetLayoutView="85" zoomScalePageLayoutView="85" workbookViewId="0">
      <pane xSplit="2" ySplit="4" topLeftCell="C5" activePane="bottomRight" state="frozenSplit"/>
      <selection pane="topRight" activeCell="C1" sqref="C1"/>
      <selection pane="bottomLeft" activeCell="A27" sqref="A27"/>
      <selection pane="bottomRight" activeCell="B20" sqref="B20"/>
    </sheetView>
  </sheetViews>
  <sheetFormatPr defaultColWidth="8.85546875" defaultRowHeight="12.75" x14ac:dyDescent="0.2"/>
  <cols>
    <col min="1" max="1" width="30.7109375" style="72" customWidth="1"/>
    <col min="2" max="2" width="40.85546875" style="73" bestFit="1" customWidth="1"/>
    <col min="3" max="3" width="35.42578125" style="73" customWidth="1"/>
    <col min="4" max="4" width="27.42578125" style="73" customWidth="1"/>
    <col min="5" max="5" width="8.42578125" style="74" bestFit="1" customWidth="1"/>
    <col min="6" max="6" width="8.140625" style="75" bestFit="1" customWidth="1"/>
    <col min="7" max="7" width="12.7109375" style="73" customWidth="1"/>
    <col min="8" max="8" width="26.85546875" style="73" customWidth="1"/>
    <col min="9" max="9" width="4.85546875" style="74" bestFit="1" customWidth="1"/>
    <col min="10" max="10" width="8.140625" style="75" bestFit="1" customWidth="1"/>
    <col min="11" max="11" width="14.140625" style="73" customWidth="1"/>
    <col min="12" max="12" width="26.85546875" style="76" customWidth="1"/>
    <col min="13" max="13" width="3.42578125" style="74" bestFit="1" customWidth="1"/>
    <col min="14" max="14" width="8.7109375" style="75" bestFit="1" customWidth="1"/>
    <col min="15" max="15" width="12.42578125" style="31" customWidth="1"/>
    <col min="16" max="16" width="26.42578125" style="73" customWidth="1"/>
    <col min="17" max="17" width="3.42578125" style="74" bestFit="1" customWidth="1"/>
    <col min="18" max="18" width="8.140625" style="75" bestFit="1" customWidth="1"/>
    <col min="19" max="19" width="11.42578125" style="31" customWidth="1"/>
    <col min="20" max="20" width="26.42578125" style="73" customWidth="1"/>
    <col min="21" max="21" width="6.7109375" style="74" customWidth="1"/>
    <col min="22" max="22" width="12.28515625" style="75" customWidth="1"/>
    <col min="23" max="23" width="13.42578125" style="31" customWidth="1"/>
    <col min="24" max="16384" width="8.85546875" style="73"/>
  </cols>
  <sheetData>
    <row r="1" spans="1:59" ht="13.5" thickBot="1" x14ac:dyDescent="0.25">
      <c r="A1" s="77" t="s">
        <v>250</v>
      </c>
      <c r="B1" s="78"/>
      <c r="C1" s="79"/>
      <c r="D1" s="79"/>
      <c r="E1" s="80"/>
      <c r="F1" s="81"/>
      <c r="G1" s="82"/>
      <c r="H1" s="82"/>
      <c r="I1" s="80"/>
      <c r="J1" s="83"/>
      <c r="K1" s="82"/>
      <c r="L1" s="84"/>
      <c r="M1" s="80"/>
      <c r="N1" s="83"/>
      <c r="O1" s="85"/>
      <c r="P1" s="82"/>
      <c r="Q1" s="80"/>
      <c r="R1" s="83"/>
      <c r="S1" s="85"/>
      <c r="T1" s="82"/>
      <c r="U1" s="80"/>
      <c r="V1" s="83"/>
      <c r="W1" s="85"/>
    </row>
    <row r="2" spans="1:59" s="76" customFormat="1" ht="28.5" customHeight="1" thickBot="1" x14ac:dyDescent="0.25">
      <c r="A2" s="953" t="str">
        <f>'3_Comp e Produtos'!$A$6</f>
        <v>COMPONENTE 1: MELHORA DA EFETIVIDADE POLICIAL PARA A PREVENÇÃO, CONTROLE E INVESTIGAÇÃO DO CRIME</v>
      </c>
      <c r="B2" s="954"/>
      <c r="C2" s="954"/>
      <c r="D2" s="86"/>
      <c r="E2" s="87"/>
      <c r="F2" s="88"/>
      <c r="G2" s="86"/>
      <c r="H2" s="86"/>
      <c r="I2" s="87"/>
      <c r="J2" s="88"/>
      <c r="K2" s="86"/>
      <c r="L2" s="86"/>
      <c r="M2" s="87"/>
      <c r="N2" s="88"/>
      <c r="O2" s="89"/>
      <c r="P2" s="86"/>
      <c r="Q2" s="87"/>
      <c r="R2" s="88"/>
      <c r="S2" s="89"/>
      <c r="T2" s="90"/>
      <c r="U2" s="91"/>
      <c r="V2" s="92"/>
      <c r="W2" s="93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</row>
    <row r="3" spans="1:59" s="95" customFormat="1" ht="13.5" thickBot="1" x14ac:dyDescent="0.25">
      <c r="A3" s="955" t="s">
        <v>251</v>
      </c>
      <c r="B3" s="957" t="s">
        <v>252</v>
      </c>
      <c r="C3" s="959" t="s">
        <v>253</v>
      </c>
      <c r="D3" s="943" t="s">
        <v>254</v>
      </c>
      <c r="E3" s="943"/>
      <c r="F3" s="944" t="s">
        <v>330</v>
      </c>
      <c r="G3" s="944"/>
      <c r="H3" s="945" t="s">
        <v>255</v>
      </c>
      <c r="I3" s="945"/>
      <c r="J3" s="944" t="s">
        <v>330</v>
      </c>
      <c r="K3" s="944"/>
      <c r="L3" s="945" t="s">
        <v>256</v>
      </c>
      <c r="M3" s="945"/>
      <c r="N3" s="944" t="s">
        <v>330</v>
      </c>
      <c r="O3" s="944"/>
      <c r="P3" s="946" t="s">
        <v>224</v>
      </c>
      <c r="Q3" s="946"/>
      <c r="R3" s="947" t="s">
        <v>330</v>
      </c>
      <c r="S3" s="947"/>
      <c r="T3" s="945" t="s">
        <v>258</v>
      </c>
      <c r="U3" s="945"/>
      <c r="V3" s="944" t="s">
        <v>330</v>
      </c>
      <c r="W3" s="944"/>
    </row>
    <row r="4" spans="1:59" ht="26.25" thickBot="1" x14ac:dyDescent="0.25">
      <c r="A4" s="956"/>
      <c r="B4" s="958"/>
      <c r="C4" s="960"/>
      <c r="D4" s="350" t="s">
        <v>259</v>
      </c>
      <c r="E4" s="351" t="s">
        <v>260</v>
      </c>
      <c r="F4" s="351" t="s">
        <v>261</v>
      </c>
      <c r="G4" s="352" t="s">
        <v>262</v>
      </c>
      <c r="H4" s="350" t="s">
        <v>263</v>
      </c>
      <c r="I4" s="351" t="s">
        <v>264</v>
      </c>
      <c r="J4" s="351" t="s">
        <v>261</v>
      </c>
      <c r="K4" s="352" t="s">
        <v>262</v>
      </c>
      <c r="L4" s="350" t="s">
        <v>265</v>
      </c>
      <c r="M4" s="351" t="s">
        <v>266</v>
      </c>
      <c r="N4" s="351" t="s">
        <v>261</v>
      </c>
      <c r="O4" s="353" t="s">
        <v>262</v>
      </c>
      <c r="P4" s="350" t="s">
        <v>265</v>
      </c>
      <c r="Q4" s="351" t="s">
        <v>266</v>
      </c>
      <c r="R4" s="351" t="s">
        <v>261</v>
      </c>
      <c r="S4" s="353" t="s">
        <v>262</v>
      </c>
      <c r="T4" s="350" t="s">
        <v>267</v>
      </c>
      <c r="U4" s="351" t="s">
        <v>266</v>
      </c>
      <c r="V4" s="351" t="s">
        <v>261</v>
      </c>
      <c r="W4" s="354" t="s">
        <v>262</v>
      </c>
    </row>
    <row r="5" spans="1:59" s="704" customFormat="1" ht="45.75" thickBot="1" x14ac:dyDescent="0.25">
      <c r="A5" s="948" t="s">
        <v>12</v>
      </c>
      <c r="B5" s="471" t="s">
        <v>301</v>
      </c>
      <c r="C5" s="950" t="s">
        <v>299</v>
      </c>
      <c r="D5" s="381"/>
      <c r="E5" s="343"/>
      <c r="F5" s="355"/>
      <c r="G5" s="734"/>
      <c r="H5" s="382" t="s">
        <v>300</v>
      </c>
      <c r="I5" s="358"/>
      <c r="J5" s="359"/>
      <c r="K5" s="751">
        <f>2500000/2.3</f>
        <v>1086956.52</v>
      </c>
      <c r="L5" s="383"/>
      <c r="M5" s="343"/>
      <c r="N5" s="343"/>
      <c r="O5" s="734">
        <f>N5*M5</f>
        <v>0</v>
      </c>
      <c r="P5" s="384"/>
      <c r="Q5" s="347"/>
      <c r="R5" s="385"/>
      <c r="S5" s="734">
        <f>R5*Q5</f>
        <v>0</v>
      </c>
      <c r="T5" s="386"/>
      <c r="U5" s="347"/>
      <c r="V5" s="356"/>
      <c r="W5" s="738">
        <v>0</v>
      </c>
    </row>
    <row r="6" spans="1:59" s="704" customFormat="1" ht="90.75" thickBot="1" x14ac:dyDescent="0.25">
      <c r="A6" s="949"/>
      <c r="B6" s="387" t="s">
        <v>303</v>
      </c>
      <c r="C6" s="951"/>
      <c r="D6" s="388"/>
      <c r="E6" s="100"/>
      <c r="F6" s="101"/>
      <c r="G6" s="744"/>
      <c r="H6" s="389" t="s">
        <v>302</v>
      </c>
      <c r="I6" s="380"/>
      <c r="J6" s="361"/>
      <c r="K6" s="752">
        <f>6000000/2.3</f>
        <v>2608695.65</v>
      </c>
      <c r="L6" s="94"/>
      <c r="M6" s="100"/>
      <c r="N6" s="100"/>
      <c r="O6" s="759"/>
      <c r="P6" s="390"/>
      <c r="Q6" s="104"/>
      <c r="R6" s="105"/>
      <c r="S6" s="730">
        <v>0</v>
      </c>
      <c r="T6" s="120"/>
      <c r="U6" s="104"/>
      <c r="V6" s="105"/>
      <c r="W6" s="739">
        <v>0</v>
      </c>
    </row>
    <row r="7" spans="1:59" s="704" customFormat="1" ht="13.5" thickBot="1" x14ac:dyDescent="0.25">
      <c r="A7" s="949"/>
      <c r="B7" s="387"/>
      <c r="C7" s="951"/>
      <c r="D7" s="388"/>
      <c r="E7" s="100"/>
      <c r="F7" s="101"/>
      <c r="G7" s="730"/>
      <c r="H7" s="391"/>
      <c r="I7" s="360"/>
      <c r="J7" s="361"/>
      <c r="K7" s="753"/>
      <c r="L7" s="392"/>
      <c r="M7" s="100"/>
      <c r="N7" s="100"/>
      <c r="O7" s="759"/>
      <c r="P7" s="390"/>
      <c r="Q7" s="104"/>
      <c r="R7" s="105"/>
      <c r="S7" s="730"/>
      <c r="T7" s="120"/>
      <c r="U7" s="104"/>
      <c r="V7" s="105"/>
      <c r="W7" s="739"/>
    </row>
    <row r="8" spans="1:59" s="704" customFormat="1" ht="13.5" thickBot="1" x14ac:dyDescent="0.25">
      <c r="A8" s="949"/>
      <c r="B8" s="387"/>
      <c r="C8" s="951"/>
      <c r="D8" s="388"/>
      <c r="E8" s="100"/>
      <c r="F8" s="101"/>
      <c r="G8" s="730"/>
      <c r="H8" s="393"/>
      <c r="I8" s="360"/>
      <c r="J8" s="361"/>
      <c r="K8" s="753"/>
      <c r="L8" s="394"/>
      <c r="M8" s="100"/>
      <c r="N8" s="100"/>
      <c r="O8" s="759"/>
      <c r="P8" s="390"/>
      <c r="Q8" s="104"/>
      <c r="R8" s="105"/>
      <c r="S8" s="725">
        <v>0</v>
      </c>
      <c r="T8" s="120"/>
      <c r="U8" s="104"/>
      <c r="V8" s="105"/>
      <c r="W8" s="739">
        <v>0</v>
      </c>
    </row>
    <row r="9" spans="1:59" s="704" customFormat="1" ht="13.5" thickBot="1" x14ac:dyDescent="0.25">
      <c r="A9" s="949"/>
      <c r="B9" s="395"/>
      <c r="C9" s="951"/>
      <c r="D9" s="388"/>
      <c r="E9" s="100"/>
      <c r="F9" s="101"/>
      <c r="G9" s="730"/>
      <c r="H9" s="396"/>
      <c r="I9" s="362"/>
      <c r="J9" s="363"/>
      <c r="K9" s="753"/>
      <c r="L9" s="393"/>
      <c r="M9" s="100"/>
      <c r="N9" s="100"/>
      <c r="O9" s="730"/>
      <c r="P9" s="390"/>
      <c r="Q9" s="104"/>
      <c r="R9" s="105"/>
      <c r="S9" s="730"/>
      <c r="T9" s="120"/>
      <c r="U9" s="104"/>
      <c r="V9" s="105"/>
      <c r="W9" s="739"/>
    </row>
    <row r="10" spans="1:59" s="704" customFormat="1" ht="13.5" thickBot="1" x14ac:dyDescent="0.25">
      <c r="A10" s="472">
        <f>SUM(G10+K10+O10+S10+W10)</f>
        <v>3695652.17</v>
      </c>
      <c r="B10" s="473"/>
      <c r="C10" s="952"/>
      <c r="D10" s="397"/>
      <c r="E10" s="398"/>
      <c r="F10" s="398"/>
      <c r="G10" s="745">
        <f>SUM(G5:G9)</f>
        <v>0</v>
      </c>
      <c r="H10" s="399"/>
      <c r="I10" s="399"/>
      <c r="J10" s="399"/>
      <c r="K10" s="754">
        <f>SUM(K5:K8)</f>
        <v>3695652.17</v>
      </c>
      <c r="L10" s="399" t="s">
        <v>262</v>
      </c>
      <c r="M10" s="398"/>
      <c r="N10" s="398"/>
      <c r="O10" s="760"/>
      <c r="P10" s="398"/>
      <c r="Q10" s="398"/>
      <c r="R10" s="398"/>
      <c r="S10" s="760">
        <f>SUM(S5:S8)</f>
        <v>0</v>
      </c>
      <c r="T10" s="398"/>
      <c r="U10" s="398"/>
      <c r="V10" s="398"/>
      <c r="W10" s="770">
        <f>SUM(W5:W8)</f>
        <v>0</v>
      </c>
    </row>
    <row r="11" spans="1:59" s="704" customFormat="1" ht="34.5" thickBot="1" x14ac:dyDescent="0.25">
      <c r="A11" s="948" t="s">
        <v>235</v>
      </c>
      <c r="B11" s="471" t="s">
        <v>237</v>
      </c>
      <c r="C11" s="950" t="s">
        <v>236</v>
      </c>
      <c r="D11" s="481"/>
      <c r="E11" s="343"/>
      <c r="F11" s="344"/>
      <c r="G11" s="734"/>
      <c r="H11" s="485" t="s">
        <v>238</v>
      </c>
      <c r="I11" s="343"/>
      <c r="J11" s="344"/>
      <c r="K11" s="747">
        <f>1500000/2.3</f>
        <v>652173.91</v>
      </c>
      <c r="L11" s="386"/>
      <c r="M11" s="343"/>
      <c r="N11" s="344"/>
      <c r="O11" s="734"/>
      <c r="P11" s="499"/>
      <c r="Q11" s="345"/>
      <c r="R11" s="346"/>
      <c r="S11" s="734"/>
      <c r="T11" s="501"/>
      <c r="U11" s="502"/>
      <c r="V11" s="503"/>
      <c r="W11" s="738"/>
    </row>
    <row r="12" spans="1:59" s="704" customFormat="1" ht="34.5" thickBot="1" x14ac:dyDescent="0.25">
      <c r="A12" s="949"/>
      <c r="B12" s="387" t="s">
        <v>239</v>
      </c>
      <c r="C12" s="951"/>
      <c r="D12" s="388"/>
      <c r="E12" s="100"/>
      <c r="F12" s="112"/>
      <c r="G12" s="730"/>
      <c r="H12" s="486"/>
      <c r="I12" s="111"/>
      <c r="J12" s="105"/>
      <c r="K12" s="730"/>
      <c r="L12" s="113"/>
      <c r="M12" s="114"/>
      <c r="N12" s="115"/>
      <c r="O12" s="730"/>
      <c r="P12" s="121"/>
      <c r="Q12" s="117"/>
      <c r="R12" s="118"/>
      <c r="S12" s="730"/>
      <c r="T12" s="120" t="s">
        <v>298</v>
      </c>
      <c r="U12" s="104">
        <v>1</v>
      </c>
      <c r="V12" s="792">
        <f>24835000/2.3</f>
        <v>10797826.09</v>
      </c>
      <c r="W12" s="771">
        <f>U12*V12</f>
        <v>10797826.09</v>
      </c>
    </row>
    <row r="13" spans="1:59" s="704" customFormat="1" ht="13.5" thickBot="1" x14ac:dyDescent="0.25">
      <c r="A13" s="949"/>
      <c r="B13" s="395"/>
      <c r="C13" s="951"/>
      <c r="D13" s="388"/>
      <c r="E13" s="100"/>
      <c r="F13" s="112"/>
      <c r="G13" s="730"/>
      <c r="H13" s="390"/>
      <c r="I13" s="111"/>
      <c r="J13" s="105"/>
      <c r="K13" s="730"/>
      <c r="L13" s="392"/>
      <c r="M13" s="114"/>
      <c r="N13" s="115"/>
      <c r="O13" s="730"/>
      <c r="P13" s="121"/>
      <c r="Q13" s="117"/>
      <c r="R13" s="118"/>
      <c r="S13" s="730"/>
      <c r="T13" s="120"/>
      <c r="U13" s="104"/>
      <c r="V13" s="119"/>
      <c r="W13" s="739"/>
    </row>
    <row r="14" spans="1:59" s="704" customFormat="1" ht="13.5" thickBot="1" x14ac:dyDescent="0.25">
      <c r="A14" s="472">
        <f>SUM(G14+K14+O14+S14+W14)</f>
        <v>11450000</v>
      </c>
      <c r="B14" s="473"/>
      <c r="C14" s="952"/>
      <c r="D14" s="357"/>
      <c r="E14" s="349"/>
      <c r="F14" s="349"/>
      <c r="G14" s="746">
        <f>SUM(G11:G13)</f>
        <v>0</v>
      </c>
      <c r="H14" s="349"/>
      <c r="I14" s="349"/>
      <c r="J14" s="349"/>
      <c r="K14" s="746">
        <f>SUM(K11:K13)</f>
        <v>652173.91</v>
      </c>
      <c r="L14" s="349">
        <f>SUM(L11:L13)</f>
        <v>0</v>
      </c>
      <c r="M14" s="349">
        <f>SUM(M11:M13)</f>
        <v>0</v>
      </c>
      <c r="N14" s="349">
        <f>SUM(N11:N13)</f>
        <v>0</v>
      </c>
      <c r="O14" s="761">
        <f>SUM(O11+O12+O13)</f>
        <v>0</v>
      </c>
      <c r="P14" s="349">
        <f>SUM(P11:P13)</f>
        <v>0</v>
      </c>
      <c r="Q14" s="349">
        <f>SUM(Q11:Q13)</f>
        <v>0</v>
      </c>
      <c r="R14" s="349">
        <f>SUM(R11:R13)</f>
        <v>0</v>
      </c>
      <c r="S14" s="766">
        <f>SUM(S11+S12+S13)</f>
        <v>0</v>
      </c>
      <c r="T14" s="349">
        <f>SUM(T11:T13)</f>
        <v>0</v>
      </c>
      <c r="U14" s="349">
        <f>SUM(U11:U13)</f>
        <v>1</v>
      </c>
      <c r="V14" s="349">
        <f>SUM(V11:V13)</f>
        <v>10797826</v>
      </c>
      <c r="W14" s="772">
        <f>SUM(W11:W13)</f>
        <v>10797826.09</v>
      </c>
    </row>
    <row r="15" spans="1:59" s="704" customFormat="1" ht="59.25" customHeight="1" thickBot="1" x14ac:dyDescent="0.25">
      <c r="A15" s="961" t="s">
        <v>243</v>
      </c>
      <c r="B15" s="475" t="s">
        <v>241</v>
      </c>
      <c r="C15" s="963" t="s">
        <v>297</v>
      </c>
      <c r="D15" s="482" t="s">
        <v>240</v>
      </c>
      <c r="E15" s="343"/>
      <c r="F15" s="344"/>
      <c r="G15" s="747">
        <f>(7168886/2.3)-250000-141180</f>
        <v>2725726.96</v>
      </c>
      <c r="H15" s="386"/>
      <c r="I15" s="343"/>
      <c r="J15" s="355"/>
      <c r="K15" s="734"/>
      <c r="L15" s="492"/>
      <c r="M15" s="372"/>
      <c r="N15" s="373"/>
      <c r="O15" s="734"/>
      <c r="P15" s="499"/>
      <c r="Q15" s="345"/>
      <c r="R15" s="345"/>
      <c r="S15" s="734"/>
      <c r="T15" s="386"/>
      <c r="U15" s="347"/>
      <c r="V15" s="356"/>
      <c r="W15" s="738"/>
    </row>
    <row r="16" spans="1:59" s="704" customFormat="1" ht="13.5" thickBot="1" x14ac:dyDescent="0.25">
      <c r="A16" s="962"/>
      <c r="B16" s="476"/>
      <c r="C16" s="964"/>
      <c r="D16" s="374"/>
      <c r="E16" s="100"/>
      <c r="F16" s="112"/>
      <c r="G16" s="730"/>
      <c r="H16" s="120"/>
      <c r="I16" s="100"/>
      <c r="J16" s="101"/>
      <c r="K16" s="730"/>
      <c r="L16" s="121"/>
      <c r="M16" s="122"/>
      <c r="N16" s="123"/>
      <c r="O16" s="730"/>
      <c r="P16" s="121"/>
      <c r="Q16" s="117"/>
      <c r="R16" s="118"/>
      <c r="S16" s="730"/>
      <c r="T16" s="120"/>
      <c r="U16" s="104"/>
      <c r="V16" s="105"/>
      <c r="W16" s="739"/>
    </row>
    <row r="17" spans="1:23" s="704" customFormat="1" ht="13.5" thickBot="1" x14ac:dyDescent="0.25">
      <c r="A17" s="962"/>
      <c r="B17" s="476"/>
      <c r="C17" s="964"/>
      <c r="D17" s="374"/>
      <c r="E17" s="100"/>
      <c r="F17" s="112"/>
      <c r="G17" s="730"/>
      <c r="H17" s="390"/>
      <c r="I17" s="104"/>
      <c r="J17" s="105"/>
      <c r="K17" s="730"/>
      <c r="L17" s="121"/>
      <c r="M17" s="122"/>
      <c r="N17" s="123"/>
      <c r="O17" s="730"/>
      <c r="P17" s="113"/>
      <c r="Q17" s="117"/>
      <c r="R17" s="118"/>
      <c r="S17" s="730"/>
      <c r="T17" s="120"/>
      <c r="U17" s="104"/>
      <c r="V17" s="105"/>
      <c r="W17" s="739"/>
    </row>
    <row r="18" spans="1:23" s="704" customFormat="1" ht="13.5" thickBot="1" x14ac:dyDescent="0.25">
      <c r="A18" s="408">
        <f>SUM(G18+K18+O18+S18+W18+W18)</f>
        <v>2725726.96</v>
      </c>
      <c r="B18" s="477"/>
      <c r="C18" s="965"/>
      <c r="D18" s="483"/>
      <c r="E18" s="370"/>
      <c r="F18" s="371"/>
      <c r="G18" s="748">
        <f>SUM(G15:G17)</f>
        <v>2725726.96</v>
      </c>
      <c r="H18" s="487">
        <f>SUM(H15:H16)</f>
        <v>0</v>
      </c>
      <c r="I18" s="487">
        <f>SUM(I15:I16)</f>
        <v>0</v>
      </c>
      <c r="J18" s="487">
        <f>SUM(J15:J16)</f>
        <v>0</v>
      </c>
      <c r="K18" s="755">
        <f>SUM(K15:K16)</f>
        <v>0</v>
      </c>
      <c r="L18" s="487" t="s">
        <v>262</v>
      </c>
      <c r="M18" s="487"/>
      <c r="N18" s="487"/>
      <c r="O18" s="762">
        <f>O15+O17</f>
        <v>0</v>
      </c>
      <c r="P18" s="487">
        <f t="shared" ref="P18:W18" si="0">SUM(P15:P16)</f>
        <v>0</v>
      </c>
      <c r="Q18" s="487">
        <f t="shared" si="0"/>
        <v>0</v>
      </c>
      <c r="R18" s="487">
        <f t="shared" si="0"/>
        <v>0</v>
      </c>
      <c r="S18" s="767">
        <f t="shared" si="0"/>
        <v>0</v>
      </c>
      <c r="T18" s="487">
        <f t="shared" si="0"/>
        <v>0</v>
      </c>
      <c r="U18" s="487">
        <f t="shared" si="0"/>
        <v>0</v>
      </c>
      <c r="V18" s="487">
        <f t="shared" si="0"/>
        <v>0</v>
      </c>
      <c r="W18" s="773">
        <f t="shared" si="0"/>
        <v>0</v>
      </c>
    </row>
    <row r="19" spans="1:23" s="704" customFormat="1" ht="54.75" customHeight="1" thickBot="1" x14ac:dyDescent="0.25">
      <c r="A19" s="948" t="s">
        <v>242</v>
      </c>
      <c r="B19" s="478" t="s">
        <v>244</v>
      </c>
      <c r="C19" s="966" t="s">
        <v>297</v>
      </c>
      <c r="D19" s="482"/>
      <c r="E19" s="343"/>
      <c r="F19" s="344"/>
      <c r="G19" s="724"/>
      <c r="H19" s="488"/>
      <c r="I19" s="401"/>
      <c r="J19" s="402"/>
      <c r="K19" s="756"/>
      <c r="L19" s="493" t="s">
        <v>214</v>
      </c>
      <c r="M19" s="494"/>
      <c r="N19" s="495"/>
      <c r="O19" s="763">
        <f>6345114/2.3</f>
        <v>2758745.22</v>
      </c>
      <c r="P19" s="488"/>
      <c r="Q19" s="403"/>
      <c r="R19" s="402"/>
      <c r="S19" s="756"/>
      <c r="T19" s="504"/>
      <c r="U19" s="404"/>
      <c r="V19" s="495"/>
      <c r="W19" s="774">
        <f>V19*U19</f>
        <v>0</v>
      </c>
    </row>
    <row r="20" spans="1:23" s="704" customFormat="1" ht="68.25" thickBot="1" x14ac:dyDescent="0.25">
      <c r="A20" s="949"/>
      <c r="B20" s="479" t="s">
        <v>245</v>
      </c>
      <c r="C20" s="967"/>
      <c r="D20" s="374"/>
      <c r="E20" s="100"/>
      <c r="F20" s="112"/>
      <c r="G20" s="749"/>
      <c r="H20" s="489"/>
      <c r="I20" s="124"/>
      <c r="J20" s="125"/>
      <c r="K20" s="757">
        <f>J20*I20</f>
        <v>0</v>
      </c>
      <c r="L20" s="496" t="s">
        <v>215</v>
      </c>
      <c r="M20" s="497"/>
      <c r="N20" s="125"/>
      <c r="O20" s="764">
        <f>8670000/2.3</f>
        <v>3769565.22</v>
      </c>
      <c r="P20" s="126"/>
      <c r="Q20" s="127"/>
      <c r="R20" s="125"/>
      <c r="S20" s="768"/>
      <c r="T20" s="126"/>
      <c r="U20" s="127"/>
      <c r="V20" s="128"/>
      <c r="W20" s="775"/>
    </row>
    <row r="21" spans="1:23" s="704" customFormat="1" ht="79.5" thickBot="1" x14ac:dyDescent="0.25">
      <c r="A21" s="949"/>
      <c r="B21" s="479" t="s">
        <v>246</v>
      </c>
      <c r="C21" s="967"/>
      <c r="D21" s="374"/>
      <c r="E21" s="100"/>
      <c r="F21" s="112"/>
      <c r="G21" s="749"/>
      <c r="H21" s="489"/>
      <c r="I21" s="124"/>
      <c r="J21" s="125"/>
      <c r="K21" s="757"/>
      <c r="L21" s="496" t="s">
        <v>216</v>
      </c>
      <c r="M21" s="497"/>
      <c r="N21" s="125"/>
      <c r="O21" s="764">
        <f>3663000/2.3</f>
        <v>1592608.7</v>
      </c>
      <c r="P21" s="126"/>
      <c r="Q21" s="127"/>
      <c r="R21" s="125"/>
      <c r="S21" s="768"/>
      <c r="T21" s="126"/>
      <c r="U21" s="127"/>
      <c r="V21" s="128"/>
      <c r="W21" s="775"/>
    </row>
    <row r="22" spans="1:23" s="704" customFormat="1" ht="45.75" thickBot="1" x14ac:dyDescent="0.25">
      <c r="A22" s="949"/>
      <c r="B22" s="479" t="s">
        <v>247</v>
      </c>
      <c r="C22" s="967"/>
      <c r="D22" s="374"/>
      <c r="E22" s="100"/>
      <c r="F22" s="112"/>
      <c r="G22" s="749"/>
      <c r="H22" s="489"/>
      <c r="I22" s="124"/>
      <c r="J22" s="125"/>
      <c r="K22" s="757"/>
      <c r="L22" s="496" t="s">
        <v>217</v>
      </c>
      <c r="M22" s="497"/>
      <c r="N22" s="125"/>
      <c r="O22" s="764">
        <f>1410000/2.3</f>
        <v>613043.48</v>
      </c>
      <c r="P22" s="126"/>
      <c r="Q22" s="127"/>
      <c r="R22" s="125"/>
      <c r="S22" s="768"/>
      <c r="T22" s="126"/>
      <c r="U22" s="127"/>
      <c r="V22" s="128"/>
      <c r="W22" s="775"/>
    </row>
    <row r="23" spans="1:23" s="704" customFormat="1" ht="57" thickBot="1" x14ac:dyDescent="0.25">
      <c r="A23" s="949"/>
      <c r="B23" s="479" t="s">
        <v>248</v>
      </c>
      <c r="C23" s="967"/>
      <c r="D23" s="374"/>
      <c r="E23" s="100"/>
      <c r="F23" s="112"/>
      <c r="G23" s="749"/>
      <c r="H23" s="489"/>
      <c r="I23" s="124"/>
      <c r="J23" s="125"/>
      <c r="K23" s="757"/>
      <c r="L23" s="496" t="s">
        <v>218</v>
      </c>
      <c r="M23" s="497"/>
      <c r="N23" s="125"/>
      <c r="O23" s="764">
        <f>2032000/2.3</f>
        <v>883478.26</v>
      </c>
      <c r="P23" s="126"/>
      <c r="Q23" s="127"/>
      <c r="R23" s="125"/>
      <c r="S23" s="768"/>
      <c r="T23" s="126"/>
      <c r="U23" s="127"/>
      <c r="V23" s="128"/>
      <c r="W23" s="775"/>
    </row>
    <row r="24" spans="1:23" s="704" customFormat="1" ht="57" thickBot="1" x14ac:dyDescent="0.25">
      <c r="A24" s="949"/>
      <c r="B24" s="479" t="s">
        <v>249</v>
      </c>
      <c r="C24" s="967"/>
      <c r="D24" s="374"/>
      <c r="E24" s="100"/>
      <c r="F24" s="112"/>
      <c r="G24" s="749"/>
      <c r="H24" s="490"/>
      <c r="I24" s="127"/>
      <c r="J24" s="125"/>
      <c r="K24" s="757"/>
      <c r="L24" s="496" t="s">
        <v>219</v>
      </c>
      <c r="M24" s="497"/>
      <c r="N24" s="125"/>
      <c r="O24" s="764">
        <f>276000/2.3</f>
        <v>120000</v>
      </c>
      <c r="P24" s="126"/>
      <c r="Q24" s="127"/>
      <c r="R24" s="125"/>
      <c r="S24" s="768"/>
      <c r="T24" s="490"/>
      <c r="U24" s="127"/>
      <c r="V24" s="125"/>
      <c r="W24" s="775"/>
    </row>
    <row r="25" spans="1:23" s="704" customFormat="1" ht="13.5" thickBot="1" x14ac:dyDescent="0.25">
      <c r="A25" s="472">
        <f>SUM(G25+K25+O25+W25+S25)</f>
        <v>9737440.8800000008</v>
      </c>
      <c r="B25" s="480"/>
      <c r="C25" s="968"/>
      <c r="D25" s="484"/>
      <c r="E25" s="376"/>
      <c r="F25" s="377"/>
      <c r="G25" s="750">
        <f>SUM(G19:G24)</f>
        <v>0</v>
      </c>
      <c r="H25" s="491"/>
      <c r="I25" s="405"/>
      <c r="J25" s="406"/>
      <c r="K25" s="758">
        <f>SUM(K19:K24)</f>
        <v>0</v>
      </c>
      <c r="L25" s="498"/>
      <c r="M25" s="405"/>
      <c r="N25" s="406"/>
      <c r="O25" s="765">
        <f>SUM(O19:O24)</f>
        <v>9737440.8800000008</v>
      </c>
      <c r="P25" s="500"/>
      <c r="Q25" s="405"/>
      <c r="R25" s="406"/>
      <c r="S25" s="769">
        <f>S19+S20+S24</f>
        <v>0</v>
      </c>
      <c r="T25" s="491"/>
      <c r="U25" s="405"/>
      <c r="V25" s="406"/>
      <c r="W25" s="776">
        <f>W19</f>
        <v>0</v>
      </c>
    </row>
    <row r="26" spans="1:23" s="704" customFormat="1" ht="45" x14ac:dyDescent="0.2">
      <c r="A26" s="969" t="s">
        <v>220</v>
      </c>
      <c r="B26" s="475" t="s">
        <v>57</v>
      </c>
      <c r="C26" s="972" t="s">
        <v>297</v>
      </c>
      <c r="D26" s="702"/>
      <c r="E26" s="347"/>
      <c r="F26" s="703"/>
      <c r="G26" s="724"/>
      <c r="H26" s="386" t="s">
        <v>60</v>
      </c>
      <c r="I26" s="347"/>
      <c r="J26" s="356"/>
      <c r="K26" s="729">
        <v>3000</v>
      </c>
      <c r="L26" s="386"/>
      <c r="M26" s="347"/>
      <c r="N26" s="356"/>
      <c r="O26" s="734"/>
      <c r="P26" s="386"/>
      <c r="Q26" s="347"/>
      <c r="R26" s="356"/>
      <c r="S26" s="734"/>
      <c r="T26" s="386"/>
      <c r="U26" s="347"/>
      <c r="V26" s="356"/>
      <c r="W26" s="738"/>
    </row>
    <row r="27" spans="1:23" s="704" customFormat="1" ht="33.75" x14ac:dyDescent="0.2">
      <c r="A27" s="970"/>
      <c r="B27" s="476" t="s">
        <v>0</v>
      </c>
      <c r="C27" s="973"/>
      <c r="D27" s="374"/>
      <c r="E27" s="104"/>
      <c r="F27" s="105"/>
      <c r="G27" s="725"/>
      <c r="H27" s="390"/>
      <c r="I27" s="104"/>
      <c r="J27" s="105"/>
      <c r="K27" s="730"/>
      <c r="L27" s="120"/>
      <c r="M27" s="104"/>
      <c r="N27" s="105"/>
      <c r="O27" s="736"/>
      <c r="P27" s="120" t="s">
        <v>59</v>
      </c>
      <c r="Q27" s="104">
        <v>840</v>
      </c>
      <c r="R27" s="105">
        <v>150</v>
      </c>
      <c r="S27" s="736">
        <f>Q27*R27</f>
        <v>126000</v>
      </c>
      <c r="T27" s="390"/>
      <c r="U27" s="104"/>
      <c r="V27" s="105"/>
      <c r="W27" s="739"/>
    </row>
    <row r="28" spans="1:23" s="704" customFormat="1" ht="22.5" x14ac:dyDescent="0.2">
      <c r="A28" s="970"/>
      <c r="B28" s="476" t="s">
        <v>3</v>
      </c>
      <c r="C28" s="973"/>
      <c r="D28" s="374"/>
      <c r="E28" s="104"/>
      <c r="F28" s="105"/>
      <c r="G28" s="725"/>
      <c r="H28" s="120"/>
      <c r="I28" s="104"/>
      <c r="J28" s="105"/>
      <c r="K28" s="730"/>
      <c r="L28" s="120" t="s">
        <v>61</v>
      </c>
      <c r="M28" s="104">
        <v>14</v>
      </c>
      <c r="N28" s="105">
        <f>2000/2.3</f>
        <v>870</v>
      </c>
      <c r="O28" s="736">
        <f>M28*N28</f>
        <v>12180</v>
      </c>
      <c r="P28" s="390"/>
      <c r="Q28" s="104"/>
      <c r="R28" s="105"/>
      <c r="S28" s="730"/>
      <c r="T28" s="390"/>
      <c r="U28" s="104"/>
      <c r="V28" s="105"/>
      <c r="W28" s="739"/>
    </row>
    <row r="29" spans="1:23" s="704" customFormat="1" ht="12.75" customHeight="1" x14ac:dyDescent="0.2">
      <c r="A29" s="970"/>
      <c r="B29" s="476"/>
      <c r="C29" s="973"/>
      <c r="D29" s="374"/>
      <c r="E29" s="104"/>
      <c r="F29" s="105"/>
      <c r="G29" s="725"/>
      <c r="H29" s="390"/>
      <c r="I29" s="104"/>
      <c r="J29" s="105"/>
      <c r="K29" s="730"/>
      <c r="L29" s="120"/>
      <c r="M29" s="104"/>
      <c r="N29" s="105"/>
      <c r="O29" s="730"/>
      <c r="P29" s="390"/>
      <c r="Q29" s="104"/>
      <c r="R29" s="105"/>
      <c r="S29" s="730"/>
      <c r="T29" s="390"/>
      <c r="U29" s="104"/>
      <c r="V29" s="105"/>
      <c r="W29" s="739"/>
    </row>
    <row r="30" spans="1:23" s="704" customFormat="1" x14ac:dyDescent="0.2">
      <c r="A30" s="971"/>
      <c r="B30" s="476"/>
      <c r="C30" s="973"/>
      <c r="D30" s="483"/>
      <c r="E30" s="705"/>
      <c r="F30" s="706"/>
      <c r="G30" s="726"/>
      <c r="H30" s="487"/>
      <c r="I30" s="705"/>
      <c r="J30" s="706"/>
      <c r="K30" s="731"/>
      <c r="L30" s="707"/>
      <c r="M30" s="705"/>
      <c r="N30" s="706"/>
      <c r="O30" s="731"/>
      <c r="P30" s="487"/>
      <c r="Q30" s="705"/>
      <c r="R30" s="706"/>
      <c r="S30" s="731"/>
      <c r="T30" s="487"/>
      <c r="U30" s="705"/>
      <c r="V30" s="706"/>
      <c r="W30" s="740"/>
    </row>
    <row r="31" spans="1:23" s="704" customFormat="1" ht="13.5" thickBot="1" x14ac:dyDescent="0.25">
      <c r="A31" s="408">
        <f>SUM(G31+K31+O31+S31+W31)</f>
        <v>141180</v>
      </c>
      <c r="B31" s="477"/>
      <c r="C31" s="974"/>
      <c r="D31" s="484"/>
      <c r="E31" s="708"/>
      <c r="F31" s="709"/>
      <c r="G31" s="727"/>
      <c r="H31" s="710"/>
      <c r="I31" s="708"/>
      <c r="J31" s="709"/>
      <c r="K31" s="790">
        <f>SUM(K26:K30)</f>
        <v>3000</v>
      </c>
      <c r="L31" s="349"/>
      <c r="M31" s="708"/>
      <c r="N31" s="709"/>
      <c r="O31" s="790">
        <f>SUM(O26:O30)</f>
        <v>12180</v>
      </c>
      <c r="P31" s="710"/>
      <c r="Q31" s="708"/>
      <c r="R31" s="709"/>
      <c r="S31" s="790">
        <f>SUM(S26:S30)</f>
        <v>126000</v>
      </c>
      <c r="T31" s="710"/>
      <c r="U31" s="708"/>
      <c r="V31" s="709"/>
      <c r="W31" s="741"/>
    </row>
    <row r="32" spans="1:23" s="704" customFormat="1" ht="67.5" x14ac:dyDescent="0.2">
      <c r="A32" s="474" t="s">
        <v>316</v>
      </c>
      <c r="B32" s="711" t="s">
        <v>58</v>
      </c>
      <c r="C32" s="712" t="s">
        <v>297</v>
      </c>
      <c r="D32" s="713"/>
      <c r="E32" s="129"/>
      <c r="F32" s="714"/>
      <c r="G32" s="465"/>
      <c r="H32" s="715" t="s">
        <v>149</v>
      </c>
      <c r="I32" s="129">
        <v>10</v>
      </c>
      <c r="J32" s="714">
        <v>25000</v>
      </c>
      <c r="K32" s="732">
        <f>I32*J32</f>
        <v>250000</v>
      </c>
      <c r="L32" s="715"/>
      <c r="M32" s="129"/>
      <c r="N32" s="131"/>
      <c r="O32" s="735"/>
      <c r="P32" s="715"/>
      <c r="Q32" s="129"/>
      <c r="R32" s="131"/>
      <c r="S32" s="735"/>
      <c r="T32" s="715"/>
      <c r="U32" s="129"/>
      <c r="V32" s="131"/>
      <c r="W32" s="742"/>
    </row>
    <row r="33" spans="1:23" s="704" customFormat="1" ht="13.5" thickBot="1" x14ac:dyDescent="0.25">
      <c r="A33" s="716">
        <f>SUM(O33,S33,W33,G33,K33)</f>
        <v>250000</v>
      </c>
      <c r="B33" s="717"/>
      <c r="C33" s="718"/>
      <c r="D33" s="719"/>
      <c r="E33" s="720"/>
      <c r="F33" s="721"/>
      <c r="G33" s="728"/>
      <c r="H33" s="722"/>
      <c r="I33" s="720"/>
      <c r="J33" s="721"/>
      <c r="K33" s="733">
        <f>SUM(K32)</f>
        <v>250000</v>
      </c>
      <c r="L33" s="723"/>
      <c r="M33" s="720"/>
      <c r="N33" s="721"/>
      <c r="O33" s="737"/>
      <c r="P33" s="722"/>
      <c r="Q33" s="720"/>
      <c r="R33" s="721"/>
      <c r="S33" s="737"/>
      <c r="T33" s="722"/>
      <c r="U33" s="720"/>
      <c r="V33" s="721"/>
      <c r="W33" s="743"/>
    </row>
    <row r="34" spans="1:23" s="136" customFormat="1" ht="13.5" customHeight="1" thickBot="1" x14ac:dyDescent="0.25">
      <c r="A34" s="339" t="s">
        <v>317</v>
      </c>
      <c r="B34" s="339">
        <f>SUM(G34+K34+O34+S34+W34)</f>
        <v>28000000</v>
      </c>
      <c r="C34" s="340"/>
      <c r="D34" s="133" t="s">
        <v>358</v>
      </c>
      <c r="E34" s="134"/>
      <c r="F34" s="134"/>
      <c r="G34" s="521">
        <f>SUM(G10+G14++G18+G25+G31+G33)</f>
        <v>2725726.96</v>
      </c>
      <c r="H34" s="134"/>
      <c r="I34" s="134"/>
      <c r="J34" s="134"/>
      <c r="K34" s="521">
        <f>SUM(K10+K14+K18+K25+K31+K33)</f>
        <v>4600826.08</v>
      </c>
      <c r="L34" s="134"/>
      <c r="M34" s="134"/>
      <c r="N34" s="134"/>
      <c r="O34" s="521">
        <f>SUM(O10+O14+O18+O25+O31+O33)</f>
        <v>9749620.8800000008</v>
      </c>
      <c r="P34" s="134" t="s">
        <v>358</v>
      </c>
      <c r="Q34" s="134"/>
      <c r="R34" s="134"/>
      <c r="S34" s="135">
        <f>SUM(S10+S14+S18+S25+S31+S33)</f>
        <v>126000</v>
      </c>
      <c r="T34" s="134" t="s">
        <v>358</v>
      </c>
      <c r="U34" s="134"/>
      <c r="V34" s="134"/>
      <c r="W34" s="522">
        <f>SUM(W10+W14+W18+W25+W31+W33)</f>
        <v>10797826.09</v>
      </c>
    </row>
    <row r="37" spans="1:23" x14ac:dyDescent="0.2">
      <c r="T37" s="72"/>
    </row>
    <row r="40" spans="1:23" x14ac:dyDescent="0.2">
      <c r="H40" s="72"/>
    </row>
    <row r="41" spans="1:23" x14ac:dyDescent="0.2">
      <c r="D41" s="137"/>
    </row>
    <row r="43" spans="1:23" x14ac:dyDescent="0.2">
      <c r="D43" s="138"/>
      <c r="G43" s="72"/>
    </row>
    <row r="44" spans="1:23" x14ac:dyDescent="0.2">
      <c r="G44" s="72"/>
      <c r="H44" s="72"/>
    </row>
  </sheetData>
  <mergeCells count="24">
    <mergeCell ref="A15:A17"/>
    <mergeCell ref="C15:C18"/>
    <mergeCell ref="A19:A24"/>
    <mergeCell ref="C19:C25"/>
    <mergeCell ref="A26:A30"/>
    <mergeCell ref="C26:C31"/>
    <mergeCell ref="A5:A9"/>
    <mergeCell ref="C5:C10"/>
    <mergeCell ref="A11:A13"/>
    <mergeCell ref="C11:C14"/>
    <mergeCell ref="A2:C2"/>
    <mergeCell ref="A3:A4"/>
    <mergeCell ref="B3:B4"/>
    <mergeCell ref="C3:C4"/>
    <mergeCell ref="D3:E3"/>
    <mergeCell ref="F3:G3"/>
    <mergeCell ref="T3:U3"/>
    <mergeCell ref="V3:W3"/>
    <mergeCell ref="H3:I3"/>
    <mergeCell ref="J3:K3"/>
    <mergeCell ref="L3:M3"/>
    <mergeCell ref="N3:O3"/>
    <mergeCell ref="P3:Q3"/>
    <mergeCell ref="R3:S3"/>
  </mergeCells>
  <phoneticPr fontId="34" type="noConversion"/>
  <printOptions verticalCentered="1"/>
  <pageMargins left="0.39374999999999999" right="0.39374999999999999" top="0.78749999999999998" bottom="0.59097222222222223" header="0.31527777777777777" footer="0.31527777777777777"/>
  <pageSetup orientation="portrait" verticalDpi="0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enableFormatConditionsCalculation="0"/>
  <dimension ref="A1:BG34"/>
  <sheetViews>
    <sheetView showGridLines="0" zoomScaleSheetLayoutView="85" workbookViewId="0">
      <pane xSplit="2" topLeftCell="C1" activePane="topRight" state="frozenSplit"/>
      <selection pane="topRight"/>
    </sheetView>
  </sheetViews>
  <sheetFormatPr defaultColWidth="8.85546875" defaultRowHeight="12.75" x14ac:dyDescent="0.2"/>
  <cols>
    <col min="1" max="1" width="30.7109375" style="72" customWidth="1"/>
    <col min="2" max="2" width="43.42578125" style="73" customWidth="1"/>
    <col min="3" max="3" width="25.42578125" style="73" customWidth="1"/>
    <col min="4" max="4" width="31.28515625" style="73" customWidth="1"/>
    <col min="5" max="5" width="10.7109375" style="74" customWidth="1"/>
    <col min="6" max="6" width="10.7109375" style="75" customWidth="1"/>
    <col min="7" max="7" width="12.7109375" style="73" customWidth="1"/>
    <col min="8" max="8" width="26.140625" style="73" customWidth="1"/>
    <col min="9" max="9" width="6.7109375" style="74" customWidth="1"/>
    <col min="10" max="10" width="10.140625" style="75" customWidth="1"/>
    <col min="11" max="11" width="14.7109375" style="73" customWidth="1"/>
    <col min="12" max="12" width="26.140625" style="76" customWidth="1"/>
    <col min="13" max="13" width="6.7109375" style="74" customWidth="1"/>
    <col min="14" max="14" width="10.7109375" style="75" customWidth="1"/>
    <col min="15" max="15" width="12.7109375" style="31" customWidth="1"/>
    <col min="16" max="16" width="28.7109375" style="73" customWidth="1"/>
    <col min="17" max="17" width="7.42578125" style="74" customWidth="1"/>
    <col min="18" max="18" width="10.7109375" style="75" customWidth="1"/>
    <col min="19" max="19" width="11.42578125" style="31" customWidth="1"/>
    <col min="20" max="20" width="27.85546875" style="73" customWidth="1"/>
    <col min="21" max="21" width="6.7109375" style="74" customWidth="1"/>
    <col min="22" max="22" width="10.7109375" style="75" customWidth="1"/>
    <col min="23" max="23" width="12.28515625" style="31" bestFit="1" customWidth="1"/>
    <col min="24" max="24" width="27.85546875" style="73" customWidth="1"/>
    <col min="25" max="25" width="6.7109375" style="74" customWidth="1"/>
    <col min="26" max="26" width="10.7109375" style="75" customWidth="1"/>
    <col min="27" max="27" width="11.42578125" style="31" customWidth="1"/>
    <col min="28" max="16384" width="8.85546875" style="73"/>
  </cols>
  <sheetData>
    <row r="1" spans="1:59" ht="13.5" thickBot="1" x14ac:dyDescent="0.25">
      <c r="A1" s="77" t="s">
        <v>250</v>
      </c>
      <c r="B1" s="78"/>
      <c r="C1" s="79"/>
      <c r="D1" s="79"/>
      <c r="E1" s="80"/>
      <c r="F1" s="81"/>
      <c r="G1" s="82"/>
      <c r="H1" s="82"/>
      <c r="I1" s="80"/>
      <c r="J1" s="83"/>
      <c r="K1" s="82"/>
      <c r="L1" s="84"/>
      <c r="M1" s="80"/>
      <c r="N1" s="83"/>
      <c r="O1" s="85"/>
      <c r="P1" s="82"/>
      <c r="Q1" s="80"/>
      <c r="R1" s="83"/>
      <c r="S1" s="85"/>
      <c r="T1" s="82"/>
      <c r="U1" s="80"/>
      <c r="V1" s="83"/>
      <c r="W1" s="85"/>
      <c r="X1" s="82"/>
      <c r="Y1" s="80"/>
      <c r="Z1" s="83"/>
      <c r="AA1" s="85"/>
    </row>
    <row r="2" spans="1:59" s="76" customFormat="1" ht="13.5" thickBot="1" x14ac:dyDescent="0.25">
      <c r="A2" s="979" t="str">
        <f>'3_Comp e Produtos'!$A$13</f>
        <v>COMPONENTE 2: PREVENÇÃO SOCIAL DA VIOLÊNCIA PARA A POPULAÇÃO JOVEM</v>
      </c>
      <c r="B2" s="980"/>
      <c r="C2" s="980"/>
      <c r="D2" s="90"/>
      <c r="E2" s="91"/>
      <c r="F2" s="92"/>
      <c r="G2" s="90"/>
      <c r="H2" s="90"/>
      <c r="I2" s="91"/>
      <c r="J2" s="92"/>
      <c r="K2" s="90"/>
      <c r="L2" s="90"/>
      <c r="M2" s="91"/>
      <c r="N2" s="92"/>
      <c r="O2" s="166"/>
      <c r="P2" s="90"/>
      <c r="Q2" s="91"/>
      <c r="R2" s="92"/>
      <c r="S2" s="166"/>
      <c r="T2" s="90"/>
      <c r="U2" s="91"/>
      <c r="V2" s="92"/>
      <c r="W2" s="93"/>
      <c r="X2" s="90"/>
      <c r="Y2" s="91"/>
      <c r="Z2" s="92"/>
      <c r="AA2" s="93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</row>
    <row r="3" spans="1:59" s="95" customFormat="1" ht="13.5" thickBot="1" x14ac:dyDescent="0.25">
      <c r="A3" s="984" t="s">
        <v>251</v>
      </c>
      <c r="B3" s="986" t="s">
        <v>252</v>
      </c>
      <c r="C3" s="988" t="s">
        <v>253</v>
      </c>
      <c r="D3" s="990" t="s">
        <v>254</v>
      </c>
      <c r="E3" s="991"/>
      <c r="F3" s="975" t="s">
        <v>330</v>
      </c>
      <c r="G3" s="975"/>
      <c r="H3" s="981" t="s">
        <v>255</v>
      </c>
      <c r="I3" s="981"/>
      <c r="J3" s="975" t="s">
        <v>330</v>
      </c>
      <c r="K3" s="975"/>
      <c r="L3" s="981" t="s">
        <v>256</v>
      </c>
      <c r="M3" s="981"/>
      <c r="N3" s="975" t="s">
        <v>330</v>
      </c>
      <c r="O3" s="975"/>
      <c r="P3" s="982" t="s">
        <v>224</v>
      </c>
      <c r="Q3" s="982"/>
      <c r="R3" s="983" t="s">
        <v>330</v>
      </c>
      <c r="S3" s="983"/>
      <c r="T3" s="996" t="s">
        <v>258</v>
      </c>
      <c r="U3" s="997"/>
      <c r="V3" s="975" t="s">
        <v>330</v>
      </c>
      <c r="W3" s="975"/>
      <c r="X3" s="976" t="s">
        <v>223</v>
      </c>
      <c r="Y3" s="977"/>
      <c r="Z3" s="975" t="s">
        <v>330</v>
      </c>
      <c r="AA3" s="978"/>
    </row>
    <row r="4" spans="1:59" ht="13.5" thickBot="1" x14ac:dyDescent="0.25">
      <c r="A4" s="985"/>
      <c r="B4" s="987"/>
      <c r="C4" s="989"/>
      <c r="D4" s="421" t="s">
        <v>259</v>
      </c>
      <c r="E4" s="97" t="s">
        <v>260</v>
      </c>
      <c r="F4" s="97" t="s">
        <v>261</v>
      </c>
      <c r="G4" s="98" t="s">
        <v>262</v>
      </c>
      <c r="H4" s="96" t="s">
        <v>263</v>
      </c>
      <c r="I4" s="97" t="s">
        <v>264</v>
      </c>
      <c r="J4" s="97" t="s">
        <v>261</v>
      </c>
      <c r="K4" s="98" t="s">
        <v>262</v>
      </c>
      <c r="L4" s="96" t="s">
        <v>265</v>
      </c>
      <c r="M4" s="97" t="s">
        <v>266</v>
      </c>
      <c r="N4" s="96" t="s">
        <v>261</v>
      </c>
      <c r="O4" s="96" t="s">
        <v>262</v>
      </c>
      <c r="P4" s="96" t="s">
        <v>265</v>
      </c>
      <c r="Q4" s="97" t="s">
        <v>266</v>
      </c>
      <c r="R4" s="97" t="s">
        <v>261</v>
      </c>
      <c r="S4" s="99" t="s">
        <v>262</v>
      </c>
      <c r="T4" s="96" t="s">
        <v>267</v>
      </c>
      <c r="U4" s="97" t="s">
        <v>266</v>
      </c>
      <c r="V4" s="97" t="s">
        <v>261</v>
      </c>
      <c r="W4" s="99" t="s">
        <v>262</v>
      </c>
      <c r="X4" s="96" t="s">
        <v>267</v>
      </c>
      <c r="Y4" s="96" t="s">
        <v>266</v>
      </c>
      <c r="Z4" s="97" t="s">
        <v>261</v>
      </c>
      <c r="AA4" s="422" t="s">
        <v>262</v>
      </c>
    </row>
    <row r="5" spans="1:59" ht="23.25" thickBot="1" x14ac:dyDescent="0.25">
      <c r="A5" s="992" t="s">
        <v>202</v>
      </c>
      <c r="B5" s="414" t="s">
        <v>225</v>
      </c>
      <c r="C5" s="994" t="s">
        <v>222</v>
      </c>
      <c r="D5" s="375"/>
      <c r="E5" s="100"/>
      <c r="F5" s="101"/>
      <c r="G5" s="102">
        <v>0</v>
      </c>
      <c r="H5" s="103" t="s">
        <v>226</v>
      </c>
      <c r="I5" s="100"/>
      <c r="J5" s="101"/>
      <c r="K5" s="510">
        <f>24227248.86/2.3</f>
        <v>10533586.460000001</v>
      </c>
      <c r="L5" s="103"/>
      <c r="M5" s="104"/>
      <c r="N5" s="105"/>
      <c r="O5" s="102">
        <v>0</v>
      </c>
      <c r="P5" s="103"/>
      <c r="Q5" s="104"/>
      <c r="R5" s="139"/>
      <c r="S5" s="102">
        <v>0</v>
      </c>
      <c r="T5" s="103"/>
      <c r="U5" s="104"/>
      <c r="V5" s="105"/>
      <c r="W5" s="102">
        <v>0</v>
      </c>
      <c r="X5" s="103"/>
      <c r="Y5" s="104"/>
      <c r="Z5" s="105"/>
      <c r="AA5" s="348">
        <v>0</v>
      </c>
    </row>
    <row r="6" spans="1:59" ht="13.5" thickBot="1" x14ac:dyDescent="0.25">
      <c r="A6" s="993"/>
      <c r="B6" s="368" t="s">
        <v>221</v>
      </c>
      <c r="C6" s="995"/>
      <c r="D6" s="375"/>
      <c r="E6" s="100"/>
      <c r="F6" s="101"/>
      <c r="G6" s="102">
        <v>0</v>
      </c>
      <c r="H6" s="103"/>
      <c r="I6" s="100"/>
      <c r="J6" s="101"/>
      <c r="K6" s="102">
        <v>0</v>
      </c>
      <c r="L6" s="103"/>
      <c r="M6" s="104"/>
      <c r="N6" s="105"/>
      <c r="O6" s="102">
        <v>0</v>
      </c>
      <c r="P6" s="107" t="s">
        <v>357</v>
      </c>
      <c r="Q6" s="675">
        <v>1750</v>
      </c>
      <c r="R6" s="105">
        <v>480</v>
      </c>
      <c r="S6" s="510">
        <f>Q6*R6</f>
        <v>840000</v>
      </c>
      <c r="T6" s="103"/>
      <c r="U6" s="104"/>
      <c r="V6" s="105"/>
      <c r="W6" s="102">
        <v>0</v>
      </c>
      <c r="X6" s="107"/>
      <c r="Y6" s="104"/>
      <c r="Z6" s="105"/>
      <c r="AA6" s="348">
        <v>0</v>
      </c>
    </row>
    <row r="7" spans="1:59" ht="13.5" thickBot="1" x14ac:dyDescent="0.25">
      <c r="A7" s="993"/>
      <c r="B7" s="368"/>
      <c r="C7" s="995"/>
      <c r="D7" s="375"/>
      <c r="E7" s="100"/>
      <c r="F7" s="101"/>
      <c r="G7" s="102">
        <v>0</v>
      </c>
      <c r="H7" s="103"/>
      <c r="I7" s="100"/>
      <c r="J7" s="101"/>
      <c r="K7" s="102">
        <v>0</v>
      </c>
      <c r="L7" s="103"/>
      <c r="M7" s="104"/>
      <c r="N7" s="105"/>
      <c r="O7" s="102">
        <v>0</v>
      </c>
      <c r="P7" s="106"/>
      <c r="Q7" s="104"/>
      <c r="R7" s="105"/>
      <c r="S7" s="102">
        <v>0</v>
      </c>
      <c r="T7" s="103"/>
      <c r="U7" s="104"/>
      <c r="V7" s="105"/>
      <c r="W7" s="102">
        <v>0</v>
      </c>
      <c r="X7" s="103"/>
      <c r="Y7" s="104"/>
      <c r="Z7" s="105"/>
      <c r="AA7" s="348">
        <v>0</v>
      </c>
    </row>
    <row r="8" spans="1:59" x14ac:dyDescent="0.2">
      <c r="A8" s="993"/>
      <c r="B8" s="368"/>
      <c r="C8" s="995"/>
      <c r="D8" s="374"/>
      <c r="E8" s="100"/>
      <c r="F8" s="101"/>
      <c r="G8" s="102">
        <v>0</v>
      </c>
      <c r="H8" s="107"/>
      <c r="I8" s="100"/>
      <c r="J8" s="108"/>
      <c r="K8" s="102">
        <f>I8*J8</f>
        <v>0</v>
      </c>
      <c r="L8" s="103"/>
      <c r="M8" s="104"/>
      <c r="N8" s="105"/>
      <c r="O8" s="102">
        <v>0</v>
      </c>
      <c r="P8" s="107"/>
      <c r="Q8" s="104"/>
      <c r="R8" s="105"/>
      <c r="S8" s="109"/>
      <c r="T8" s="106"/>
      <c r="U8" s="104"/>
      <c r="V8" s="105"/>
      <c r="W8" s="102">
        <v>0</v>
      </c>
      <c r="Y8" s="104"/>
      <c r="Z8" s="105"/>
      <c r="AA8" s="348">
        <v>0</v>
      </c>
    </row>
    <row r="9" spans="1:59" x14ac:dyDescent="0.2">
      <c r="A9" s="508">
        <f>SUM(G9+K9+O9+S9+W9+AA9)</f>
        <v>11373586.460000001</v>
      </c>
      <c r="B9" s="368"/>
      <c r="C9" s="995"/>
      <c r="D9" s="432"/>
      <c r="E9" s="433"/>
      <c r="F9" s="434"/>
      <c r="G9" s="435">
        <f>SUM(G5:G8)</f>
        <v>0</v>
      </c>
      <c r="H9" s="436"/>
      <c r="I9" s="433"/>
      <c r="J9" s="434"/>
      <c r="K9" s="513">
        <f>SUM(K5:K8)</f>
        <v>10533586.460000001</v>
      </c>
      <c r="L9" s="436"/>
      <c r="M9" s="438"/>
      <c r="N9" s="439"/>
      <c r="O9" s="437">
        <f>SUM(O5:O8)</f>
        <v>0</v>
      </c>
      <c r="P9" s="440"/>
      <c r="Q9" s="438"/>
      <c r="R9" s="439"/>
      <c r="S9" s="513">
        <f>SUM(S5:S8)</f>
        <v>840000</v>
      </c>
      <c r="T9" s="440"/>
      <c r="U9" s="438"/>
      <c r="V9" s="439"/>
      <c r="W9" s="437">
        <f>SUM(W5:W8)</f>
        <v>0</v>
      </c>
      <c r="X9" s="440"/>
      <c r="Y9" s="438"/>
      <c r="Z9" s="439"/>
      <c r="AA9" s="441">
        <f>SUM(AA5:AA8)</f>
        <v>0</v>
      </c>
    </row>
    <row r="10" spans="1:59" ht="22.5" x14ac:dyDescent="0.2">
      <c r="A10" s="998" t="s">
        <v>201</v>
      </c>
      <c r="B10" s="466" t="s">
        <v>227</v>
      </c>
      <c r="C10" s="999" t="s">
        <v>230</v>
      </c>
      <c r="D10" s="427"/>
      <c r="E10" s="341"/>
      <c r="F10" s="428"/>
      <c r="G10" s="132">
        <v>0</v>
      </c>
      <c r="H10" s="429" t="s">
        <v>5</v>
      </c>
      <c r="I10" s="129"/>
      <c r="J10" s="400"/>
      <c r="K10" s="524">
        <f>660000/2.3</f>
        <v>286956.52</v>
      </c>
      <c r="L10" s="130"/>
      <c r="M10" s="341"/>
      <c r="N10" s="341"/>
      <c r="O10" s="132">
        <v>0</v>
      </c>
      <c r="P10" s="429"/>
      <c r="Q10" s="129"/>
      <c r="R10" s="400"/>
      <c r="S10" s="430"/>
      <c r="T10" s="130"/>
      <c r="U10" s="129"/>
      <c r="V10" s="131"/>
      <c r="W10" s="132">
        <v>0</v>
      </c>
      <c r="X10" s="130"/>
      <c r="Y10" s="129"/>
      <c r="Z10" s="131"/>
      <c r="AA10" s="431">
        <v>0</v>
      </c>
    </row>
    <row r="11" spans="1:59" ht="22.5" x14ac:dyDescent="0.2">
      <c r="A11" s="998"/>
      <c r="B11" s="467" t="s">
        <v>228</v>
      </c>
      <c r="C11" s="1000"/>
      <c r="D11" s="375"/>
      <c r="E11" s="100"/>
      <c r="F11" s="101"/>
      <c r="G11" s="102">
        <v>0</v>
      </c>
      <c r="H11" s="103"/>
      <c r="I11" s="100"/>
      <c r="J11" s="101"/>
      <c r="K11" s="102">
        <v>0</v>
      </c>
      <c r="L11" s="103"/>
      <c r="M11" s="100"/>
      <c r="N11" s="100"/>
      <c r="O11" s="102">
        <v>0</v>
      </c>
      <c r="P11" s="106"/>
      <c r="Q11" s="104"/>
      <c r="R11" s="105"/>
      <c r="S11" s="102"/>
      <c r="T11" s="107" t="s">
        <v>231</v>
      </c>
      <c r="U11" s="104">
        <v>1</v>
      </c>
      <c r="V11" s="108">
        <f>11000000/2.3</f>
        <v>4782608.7</v>
      </c>
      <c r="W11" s="510">
        <f>U11*V11</f>
        <v>4782608.7</v>
      </c>
      <c r="X11" s="107"/>
      <c r="Y11" s="104"/>
      <c r="Z11" s="108"/>
      <c r="AA11" s="348">
        <f>Z11*Y11</f>
        <v>0</v>
      </c>
    </row>
    <row r="12" spans="1:59" ht="22.5" x14ac:dyDescent="0.2">
      <c r="A12" s="998"/>
      <c r="B12" s="468" t="s">
        <v>229</v>
      </c>
      <c r="C12" s="1000"/>
      <c r="D12" s="424"/>
      <c r="E12" s="100"/>
      <c r="F12" s="101"/>
      <c r="G12" s="102">
        <v>0</v>
      </c>
      <c r="H12" s="103"/>
      <c r="I12" s="104"/>
      <c r="J12" s="105"/>
      <c r="K12" s="102">
        <v>0</v>
      </c>
      <c r="L12" s="107" t="s">
        <v>52</v>
      </c>
      <c r="M12" s="100"/>
      <c r="N12" s="100"/>
      <c r="O12" s="525">
        <f>8340000/2.3</f>
        <v>3626086.96</v>
      </c>
      <c r="P12" s="106"/>
      <c r="Q12" s="104"/>
      <c r="R12" s="105"/>
      <c r="S12" s="140"/>
      <c r="T12" s="103"/>
      <c r="U12" s="104"/>
      <c r="V12" s="105"/>
      <c r="W12" s="102">
        <v>0</v>
      </c>
      <c r="X12" s="103"/>
      <c r="Y12" s="104"/>
      <c r="Z12" s="105"/>
      <c r="AA12" s="348">
        <v>0</v>
      </c>
    </row>
    <row r="13" spans="1:59" x14ac:dyDescent="0.2">
      <c r="A13" s="518">
        <f>SUM(G13+K13+O13+S13+W13+AA13)</f>
        <v>8695652.1799999997</v>
      </c>
      <c r="B13" s="468"/>
      <c r="C13" s="1001"/>
      <c r="D13" s="447"/>
      <c r="E13" s="433"/>
      <c r="F13" s="434"/>
      <c r="G13" s="437">
        <f>SUM(G9:G12)</f>
        <v>0</v>
      </c>
      <c r="H13" s="440"/>
      <c r="I13" s="438"/>
      <c r="J13" s="439"/>
      <c r="K13" s="513">
        <f>SUM(K10:K12)</f>
        <v>286956.52</v>
      </c>
      <c r="L13" s="436"/>
      <c r="M13" s="438"/>
      <c r="N13" s="439"/>
      <c r="O13" s="513">
        <f>SUM(O9:O12)</f>
        <v>3626086.96</v>
      </c>
      <c r="P13" s="440"/>
      <c r="Q13" s="438"/>
      <c r="R13" s="439"/>
      <c r="S13" s="437"/>
      <c r="T13" s="440"/>
      <c r="U13" s="438"/>
      <c r="V13" s="439"/>
      <c r="W13" s="513">
        <f>SUM(W9:W12)</f>
        <v>4782608.7</v>
      </c>
      <c r="X13" s="440"/>
      <c r="Y13" s="438"/>
      <c r="Z13" s="439"/>
      <c r="AA13" s="441"/>
    </row>
    <row r="14" spans="1:59" ht="22.5" x14ac:dyDescent="0.2">
      <c r="A14" s="1002" t="s">
        <v>232</v>
      </c>
      <c r="B14" s="777" t="s">
        <v>233</v>
      </c>
      <c r="C14" s="1003" t="s">
        <v>193</v>
      </c>
      <c r="D14" s="427"/>
      <c r="E14" s="341"/>
      <c r="F14" s="342"/>
      <c r="G14" s="132">
        <v>0</v>
      </c>
      <c r="H14" s="130" t="s">
        <v>197</v>
      </c>
      <c r="I14" s="341"/>
      <c r="J14" s="342"/>
      <c r="K14" s="512">
        <f>180000/2.3</f>
        <v>78260.87</v>
      </c>
      <c r="L14" s="429"/>
      <c r="M14" s="341"/>
      <c r="N14" s="342"/>
      <c r="O14" s="430"/>
      <c r="P14" s="442"/>
      <c r="Q14" s="443"/>
      <c r="R14" s="444"/>
      <c r="S14" s="132"/>
      <c r="T14" s="130"/>
      <c r="U14" s="129"/>
      <c r="V14" s="445"/>
      <c r="W14" s="132">
        <v>0</v>
      </c>
      <c r="X14" s="429"/>
      <c r="Y14" s="129"/>
      <c r="Z14" s="445"/>
      <c r="AA14" s="446"/>
    </row>
    <row r="15" spans="1:59" ht="22.5" x14ac:dyDescent="0.2">
      <c r="A15" s="1002"/>
      <c r="B15" s="479" t="s">
        <v>234</v>
      </c>
      <c r="C15" s="1004"/>
      <c r="D15" s="375"/>
      <c r="E15" s="100"/>
      <c r="F15" s="112"/>
      <c r="G15" s="102">
        <v>0</v>
      </c>
      <c r="H15" s="106"/>
      <c r="I15" s="111"/>
      <c r="J15" s="105"/>
      <c r="K15" s="102">
        <v>0</v>
      </c>
      <c r="L15" s="113"/>
      <c r="M15" s="114"/>
      <c r="N15" s="115"/>
      <c r="O15" s="102">
        <v>0</v>
      </c>
      <c r="P15" s="116"/>
      <c r="Q15" s="117"/>
      <c r="R15" s="118"/>
      <c r="S15" s="102"/>
      <c r="T15" s="103" t="s">
        <v>198</v>
      </c>
      <c r="U15" s="104">
        <v>2</v>
      </c>
      <c r="V15" s="793">
        <f>1500000/2.3</f>
        <v>652173.91</v>
      </c>
      <c r="W15" s="526">
        <f>U15*V15</f>
        <v>1304347.82</v>
      </c>
      <c r="X15" s="107"/>
      <c r="Y15" s="104"/>
      <c r="Z15" s="119"/>
      <c r="AA15" s="425"/>
    </row>
    <row r="16" spans="1:59" ht="22.5" x14ac:dyDescent="0.2">
      <c r="A16" s="1002"/>
      <c r="B16" s="479" t="s">
        <v>194</v>
      </c>
      <c r="C16" s="1004"/>
      <c r="D16" s="375" t="s">
        <v>196</v>
      </c>
      <c r="E16" s="100"/>
      <c r="F16" s="112"/>
      <c r="G16" s="510">
        <f>755200/2.3</f>
        <v>328347.83</v>
      </c>
      <c r="H16" s="106"/>
      <c r="I16" s="111"/>
      <c r="J16" s="105"/>
      <c r="K16" s="102">
        <v>0</v>
      </c>
      <c r="L16" s="113"/>
      <c r="M16" s="114"/>
      <c r="N16" s="115"/>
      <c r="O16" s="102"/>
      <c r="P16" s="116"/>
      <c r="Q16" s="117"/>
      <c r="R16" s="118"/>
      <c r="S16" s="102"/>
      <c r="T16" s="103"/>
      <c r="U16" s="104"/>
      <c r="V16" s="119"/>
      <c r="W16" s="102">
        <v>0</v>
      </c>
      <c r="X16" s="103"/>
      <c r="Y16" s="104"/>
      <c r="Z16" s="119"/>
      <c r="AA16" s="348">
        <v>0</v>
      </c>
    </row>
    <row r="17" spans="1:27" ht="45" x14ac:dyDescent="0.2">
      <c r="A17" s="1002"/>
      <c r="B17" s="479" t="s">
        <v>195</v>
      </c>
      <c r="C17" s="1004"/>
      <c r="D17" s="375" t="s">
        <v>199</v>
      </c>
      <c r="E17" s="100"/>
      <c r="F17" s="112"/>
      <c r="G17" s="510">
        <f>210000/2.3</f>
        <v>91304.35</v>
      </c>
      <c r="H17" s="106"/>
      <c r="I17" s="111"/>
      <c r="J17" s="105"/>
      <c r="K17" s="102">
        <v>0</v>
      </c>
      <c r="L17" s="113"/>
      <c r="M17" s="114"/>
      <c r="N17" s="115"/>
      <c r="O17" s="102">
        <f>N17*M17</f>
        <v>0</v>
      </c>
      <c r="P17" s="116"/>
      <c r="Q17" s="117"/>
      <c r="R17" s="118"/>
      <c r="S17" s="102"/>
      <c r="T17" s="103"/>
      <c r="U17" s="104"/>
      <c r="V17" s="119"/>
      <c r="W17" s="110"/>
      <c r="X17" s="103"/>
      <c r="Y17" s="104"/>
      <c r="Z17" s="119"/>
      <c r="AA17" s="423"/>
    </row>
    <row r="18" spans="1:27" x14ac:dyDescent="0.2">
      <c r="A18" s="518">
        <f>SUM(G18+K18+O18+S18+W18+AA18)</f>
        <v>1802260.87</v>
      </c>
      <c r="B18" s="479"/>
      <c r="C18" s="1005"/>
      <c r="D18" s="432"/>
      <c r="E18" s="433"/>
      <c r="F18" s="453"/>
      <c r="G18" s="513">
        <f>SUM(G15:G17)</f>
        <v>419652.18</v>
      </c>
      <c r="H18" s="440"/>
      <c r="I18" s="438"/>
      <c r="J18" s="439"/>
      <c r="K18" s="513">
        <f>SUM(K14:K17)</f>
        <v>78260.87</v>
      </c>
      <c r="L18" s="454"/>
      <c r="M18" s="455"/>
      <c r="N18" s="456"/>
      <c r="O18" s="437">
        <f>SUM(O14:O17)</f>
        <v>0</v>
      </c>
      <c r="P18" s="436"/>
      <c r="Q18" s="438"/>
      <c r="R18" s="439"/>
      <c r="S18" s="437"/>
      <c r="T18" s="436"/>
      <c r="U18" s="438"/>
      <c r="V18" s="457"/>
      <c r="W18" s="513">
        <f>SUM(W14:W17)</f>
        <v>1304347.82</v>
      </c>
      <c r="X18" s="436"/>
      <c r="Y18" s="438"/>
      <c r="Z18" s="457"/>
      <c r="AA18" s="441">
        <f>SUM(AA15:AA17)</f>
        <v>0</v>
      </c>
    </row>
    <row r="19" spans="1:27" ht="22.5" x14ac:dyDescent="0.2">
      <c r="A19" s="1002" t="s">
        <v>200</v>
      </c>
      <c r="B19" s="777" t="s">
        <v>204</v>
      </c>
      <c r="C19" s="1006" t="s">
        <v>203</v>
      </c>
      <c r="D19" s="448"/>
      <c r="E19" s="341"/>
      <c r="F19" s="342"/>
      <c r="G19" s="430"/>
      <c r="H19" s="130" t="s">
        <v>205</v>
      </c>
      <c r="I19" s="449"/>
      <c r="J19" s="342"/>
      <c r="K19" s="512">
        <f>14095551.14/2.3</f>
        <v>6128500.5</v>
      </c>
      <c r="L19" s="450"/>
      <c r="M19" s="451"/>
      <c r="N19" s="452"/>
      <c r="O19" s="132">
        <v>0</v>
      </c>
      <c r="P19" s="442"/>
      <c r="Q19" s="443"/>
      <c r="R19" s="443"/>
      <c r="S19" s="132"/>
      <c r="T19" s="130"/>
      <c r="U19" s="129"/>
      <c r="V19" s="445"/>
      <c r="W19" s="132">
        <v>0</v>
      </c>
      <c r="X19" s="130"/>
      <c r="Y19" s="129"/>
      <c r="Z19" s="445"/>
      <c r="AA19" s="431">
        <v>0</v>
      </c>
    </row>
    <row r="20" spans="1:27" x14ac:dyDescent="0.2">
      <c r="A20" s="1002"/>
      <c r="B20" s="479"/>
      <c r="C20" s="1006"/>
      <c r="D20" s="448"/>
      <c r="E20" s="341"/>
      <c r="F20" s="342"/>
      <c r="G20" s="430"/>
      <c r="H20" s="130"/>
      <c r="I20" s="449"/>
      <c r="J20" s="342"/>
      <c r="K20" s="132"/>
      <c r="L20" s="450"/>
      <c r="M20" s="451"/>
      <c r="N20" s="452"/>
      <c r="O20" s="132"/>
      <c r="P20" s="442"/>
      <c r="Q20" s="443"/>
      <c r="R20" s="443"/>
      <c r="S20" s="132"/>
      <c r="T20" s="130"/>
      <c r="U20" s="129"/>
      <c r="V20" s="445"/>
      <c r="W20" s="132"/>
      <c r="X20" s="130"/>
      <c r="Y20" s="129"/>
      <c r="Z20" s="445"/>
      <c r="AA20" s="431"/>
    </row>
    <row r="21" spans="1:27" x14ac:dyDescent="0.2">
      <c r="A21" s="1002"/>
      <c r="B21" s="479"/>
      <c r="C21" s="1006"/>
      <c r="D21" s="448"/>
      <c r="E21" s="341"/>
      <c r="F21" s="342"/>
      <c r="G21" s="430"/>
      <c r="H21" s="130"/>
      <c r="I21" s="449"/>
      <c r="J21" s="342"/>
      <c r="K21" s="132"/>
      <c r="L21" s="450"/>
      <c r="M21" s="451"/>
      <c r="N21" s="452"/>
      <c r="O21" s="132"/>
      <c r="P21" s="442"/>
      <c r="Q21" s="443"/>
      <c r="R21" s="443"/>
      <c r="S21" s="132"/>
      <c r="T21" s="130"/>
      <c r="U21" s="129"/>
      <c r="V21" s="445"/>
      <c r="W21" s="132"/>
      <c r="X21" s="130"/>
      <c r="Y21" s="129"/>
      <c r="Z21" s="445"/>
      <c r="AA21" s="431"/>
    </row>
    <row r="22" spans="1:27" x14ac:dyDescent="0.2">
      <c r="A22" s="1002"/>
      <c r="B22" s="479"/>
      <c r="C22" s="1006"/>
      <c r="D22" s="426"/>
      <c r="E22" s="112"/>
      <c r="F22" s="112"/>
      <c r="G22" s="109"/>
      <c r="H22" s="106"/>
      <c r="I22" s="104"/>
      <c r="J22" s="105"/>
      <c r="K22" s="102">
        <v>0</v>
      </c>
      <c r="L22" s="121"/>
      <c r="M22" s="122"/>
      <c r="N22" s="123"/>
      <c r="O22" s="102">
        <v>0</v>
      </c>
      <c r="P22" s="116"/>
      <c r="Q22" s="117"/>
      <c r="R22" s="118"/>
      <c r="S22" s="102"/>
      <c r="T22" s="103"/>
      <c r="U22" s="104"/>
      <c r="V22" s="119"/>
      <c r="W22" s="102">
        <v>0</v>
      </c>
      <c r="X22" s="103"/>
      <c r="Y22" s="104"/>
      <c r="Z22" s="119"/>
      <c r="AA22" s="425"/>
    </row>
    <row r="23" spans="1:27" x14ac:dyDescent="0.2">
      <c r="A23" s="1002"/>
      <c r="B23" s="778"/>
      <c r="C23" s="1006"/>
      <c r="D23" s="426"/>
      <c r="E23" s="100"/>
      <c r="F23" s="112"/>
      <c r="G23" s="109"/>
      <c r="H23" s="106"/>
      <c r="I23" s="104"/>
      <c r="J23" s="105"/>
      <c r="K23" s="102">
        <v>0</v>
      </c>
      <c r="L23" s="121"/>
      <c r="M23" s="122"/>
      <c r="N23" s="123"/>
      <c r="O23" s="102">
        <v>0</v>
      </c>
      <c r="P23" s="116"/>
      <c r="Q23" s="117"/>
      <c r="R23" s="118"/>
      <c r="S23" s="102"/>
      <c r="T23" s="103"/>
      <c r="U23" s="104"/>
      <c r="V23" s="105"/>
      <c r="W23" s="102">
        <v>0</v>
      </c>
      <c r="X23" s="107"/>
      <c r="Y23" s="104"/>
      <c r="Z23" s="105"/>
      <c r="AA23" s="425"/>
    </row>
    <row r="24" spans="1:27" x14ac:dyDescent="0.2">
      <c r="A24" s="518">
        <f>SUM(G24+K24+O24+S24+W24+AA24)</f>
        <v>6128500.5</v>
      </c>
      <c r="B24" s="779"/>
      <c r="C24" s="1006"/>
      <c r="D24" s="458"/>
      <c r="E24" s="459">
        <f>SUM(E19:E23)</f>
        <v>0</v>
      </c>
      <c r="F24" s="460">
        <f>SUM(F19:F23)</f>
        <v>0</v>
      </c>
      <c r="G24" s="437">
        <f>SUM(G19:G23)</f>
        <v>0</v>
      </c>
      <c r="H24" s="440"/>
      <c r="I24" s="438"/>
      <c r="J24" s="439"/>
      <c r="K24" s="513">
        <f>SUM(K19:K23)</f>
        <v>6128500.5</v>
      </c>
      <c r="L24" s="461"/>
      <c r="M24" s="462"/>
      <c r="N24" s="463"/>
      <c r="O24" s="437">
        <f>SUM(O19:O23)</f>
        <v>0</v>
      </c>
      <c r="P24" s="436"/>
      <c r="Q24" s="438"/>
      <c r="R24" s="439"/>
      <c r="S24" s="437">
        <f>SUM(S19:S23)</f>
        <v>0</v>
      </c>
      <c r="T24" s="436"/>
      <c r="U24" s="438"/>
      <c r="V24" s="439"/>
      <c r="W24" s="437">
        <f>SUM(W19:W23)</f>
        <v>0</v>
      </c>
      <c r="X24" s="464"/>
      <c r="Y24" s="438"/>
      <c r="Z24" s="439"/>
      <c r="AA24" s="441"/>
    </row>
    <row r="25" spans="1:27" s="136" customFormat="1" ht="13.5" thickBot="1" x14ac:dyDescent="0.25">
      <c r="A25" s="412" t="s">
        <v>317</v>
      </c>
      <c r="B25" s="520">
        <f>SUM(G25+K25+O25+S25+W25+AA25)</f>
        <v>28000000</v>
      </c>
      <c r="C25" s="413"/>
      <c r="D25" s="415"/>
      <c r="E25" s="416"/>
      <c r="F25" s="417"/>
      <c r="G25" s="523">
        <f>SUM(G9+G13+G18+G24)</f>
        <v>419652.18</v>
      </c>
      <c r="H25" s="419"/>
      <c r="I25" s="416"/>
      <c r="J25" s="417"/>
      <c r="K25" s="523">
        <f>SUM(K9+K13+K18+K24)</f>
        <v>17027304.350000001</v>
      </c>
      <c r="L25" s="420"/>
      <c r="M25" s="416"/>
      <c r="N25" s="417"/>
      <c r="O25" s="523">
        <f>SUM(O9+O13+O18+O24)</f>
        <v>3626086.96</v>
      </c>
      <c r="P25" s="419"/>
      <c r="Q25" s="416"/>
      <c r="R25" s="417"/>
      <c r="S25" s="523">
        <f>SUM(S9+S13+S18+S24)</f>
        <v>840000</v>
      </c>
      <c r="T25" s="419"/>
      <c r="U25" s="416"/>
      <c r="V25" s="417"/>
      <c r="W25" s="523">
        <f>SUM(W9+W13+W18+W24)</f>
        <v>6086956.5199999996</v>
      </c>
      <c r="X25" s="419"/>
      <c r="Y25" s="416"/>
      <c r="Z25" s="417"/>
      <c r="AA25" s="418">
        <f>SUM(AA9+AA13+AA18+AA24)</f>
        <v>0</v>
      </c>
    </row>
    <row r="27" spans="1:27" x14ac:dyDescent="0.2">
      <c r="T27" s="72"/>
      <c r="X27" s="72"/>
    </row>
    <row r="30" spans="1:27" x14ac:dyDescent="0.2">
      <c r="H30" s="72"/>
    </row>
    <row r="33" spans="7:8" x14ac:dyDescent="0.2">
      <c r="G33" s="72"/>
    </row>
    <row r="34" spans="7:8" x14ac:dyDescent="0.2">
      <c r="G34" s="72"/>
      <c r="H34" s="72"/>
    </row>
  </sheetData>
  <mergeCells count="24">
    <mergeCell ref="A10:A12"/>
    <mergeCell ref="C10:C13"/>
    <mergeCell ref="A14:A17"/>
    <mergeCell ref="C14:C18"/>
    <mergeCell ref="A19:A23"/>
    <mergeCell ref="C19:C24"/>
    <mergeCell ref="A5:A8"/>
    <mergeCell ref="C5:C9"/>
    <mergeCell ref="H3:I3"/>
    <mergeCell ref="J3:K3"/>
    <mergeCell ref="T3:U3"/>
    <mergeCell ref="V3:W3"/>
    <mergeCell ref="X3:Y3"/>
    <mergeCell ref="Z3:AA3"/>
    <mergeCell ref="A2:C2"/>
    <mergeCell ref="L3:M3"/>
    <mergeCell ref="N3:O3"/>
    <mergeCell ref="P3:Q3"/>
    <mergeCell ref="R3:S3"/>
    <mergeCell ref="A3:A4"/>
    <mergeCell ref="B3:B4"/>
    <mergeCell ref="C3:C4"/>
    <mergeCell ref="D3:E3"/>
    <mergeCell ref="F3:G3"/>
  </mergeCells>
  <phoneticPr fontId="34" type="noConversion"/>
  <printOptions verticalCentered="1"/>
  <pageMargins left="0.39374999999999999" right="0.39374999999999999" top="0.78749999999999998" bottom="0.59097222222222223" header="0.31527777777777777" footer="0.31527777777777777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enableFormatConditionsCalculation="0"/>
  <dimension ref="A1:BG34"/>
  <sheetViews>
    <sheetView showGridLines="0" zoomScaleSheetLayoutView="85" workbookViewId="0">
      <pane xSplit="2" ySplit="4" topLeftCell="C5" activePane="bottomRight" state="frozenSplit"/>
      <selection pane="topRight" activeCell="C1" sqref="C1"/>
      <selection pane="bottomLeft" activeCell="A5" sqref="A5"/>
      <selection pane="bottomRight"/>
    </sheetView>
  </sheetViews>
  <sheetFormatPr defaultColWidth="8.85546875" defaultRowHeight="12.75" x14ac:dyDescent="0.2"/>
  <cols>
    <col min="1" max="1" width="30.7109375" style="72" customWidth="1"/>
    <col min="2" max="2" width="43.42578125" style="73" customWidth="1"/>
    <col min="3" max="3" width="25.42578125" style="73" customWidth="1"/>
    <col min="4" max="4" width="31.28515625" style="73" customWidth="1"/>
    <col min="5" max="5" width="10.7109375" style="74" customWidth="1"/>
    <col min="6" max="6" width="10.7109375" style="75" customWidth="1"/>
    <col min="7" max="7" width="12.7109375" style="73" customWidth="1"/>
    <col min="8" max="8" width="26.140625" style="73" customWidth="1"/>
    <col min="9" max="9" width="6.7109375" style="74" customWidth="1"/>
    <col min="10" max="10" width="10.140625" style="75" customWidth="1"/>
    <col min="11" max="11" width="14.7109375" style="73" customWidth="1"/>
    <col min="12" max="12" width="26.140625" style="76" customWidth="1"/>
    <col min="13" max="13" width="6.7109375" style="74" customWidth="1"/>
    <col min="14" max="14" width="10.7109375" style="75" customWidth="1"/>
    <col min="15" max="15" width="12.7109375" style="31" customWidth="1"/>
    <col min="16" max="16" width="28.7109375" style="73" customWidth="1"/>
    <col min="17" max="17" width="7.42578125" style="74" customWidth="1"/>
    <col min="18" max="18" width="10.7109375" style="75" customWidth="1"/>
    <col min="19" max="19" width="12.28515625" style="31" bestFit="1" customWidth="1"/>
    <col min="20" max="20" width="27.85546875" style="73" customWidth="1"/>
    <col min="21" max="21" width="6.7109375" style="74" customWidth="1"/>
    <col min="22" max="22" width="10.7109375" style="75" customWidth="1"/>
    <col min="23" max="23" width="10.7109375" style="31" bestFit="1" customWidth="1"/>
    <col min="24" max="24" width="27.85546875" style="73" customWidth="1"/>
    <col min="25" max="25" width="6.7109375" style="74" customWidth="1"/>
    <col min="26" max="26" width="10.7109375" style="75" customWidth="1"/>
    <col min="27" max="27" width="11.42578125" style="31" customWidth="1"/>
    <col min="28" max="16384" width="8.85546875" style="73"/>
  </cols>
  <sheetData>
    <row r="1" spans="1:59" ht="13.5" thickBot="1" x14ac:dyDescent="0.25">
      <c r="A1" s="77" t="s">
        <v>250</v>
      </c>
      <c r="B1" s="78"/>
      <c r="C1" s="79"/>
      <c r="D1" s="79"/>
      <c r="E1" s="80"/>
      <c r="F1" s="81"/>
      <c r="G1" s="82"/>
      <c r="H1" s="82"/>
      <c r="I1" s="80"/>
      <c r="J1" s="83"/>
      <c r="K1" s="82"/>
      <c r="L1" s="84"/>
      <c r="M1" s="80"/>
      <c r="N1" s="83"/>
      <c r="O1" s="85"/>
      <c r="P1" s="82"/>
      <c r="Q1" s="80"/>
      <c r="R1" s="83"/>
      <c r="S1" s="85"/>
      <c r="T1" s="82"/>
      <c r="U1" s="80"/>
      <c r="V1" s="83"/>
      <c r="W1" s="85"/>
      <c r="X1" s="82"/>
      <c r="Y1" s="80"/>
      <c r="Z1" s="83"/>
      <c r="AA1" s="85"/>
    </row>
    <row r="2" spans="1:59" s="76" customFormat="1" ht="13.5" thickBot="1" x14ac:dyDescent="0.25">
      <c r="A2" s="1009" t="str">
        <f>'3_Comp e Produtos'!$A$18</f>
        <v>COMPONENTE 3: MODERNIZAÇÃO DO PROCESSO DE RESSOCIALIZAÇÃO</v>
      </c>
      <c r="B2" s="1010"/>
      <c r="C2" s="1010"/>
      <c r="D2" s="86"/>
      <c r="E2" s="87"/>
      <c r="F2" s="88"/>
      <c r="G2" s="86"/>
      <c r="H2" s="86"/>
      <c r="I2" s="87"/>
      <c r="J2" s="88"/>
      <c r="K2" s="86"/>
      <c r="L2" s="86"/>
      <c r="M2" s="87"/>
      <c r="N2" s="88"/>
      <c r="O2" s="89"/>
      <c r="P2" s="86"/>
      <c r="Q2" s="87"/>
      <c r="R2" s="88"/>
      <c r="S2" s="89"/>
      <c r="T2" s="90"/>
      <c r="U2" s="91"/>
      <c r="V2" s="92"/>
      <c r="W2" s="93"/>
      <c r="X2" s="90"/>
      <c r="Y2" s="91"/>
      <c r="Z2" s="92"/>
      <c r="AA2" s="93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</row>
    <row r="3" spans="1:59" s="95" customFormat="1" ht="13.5" customHeight="1" thickBot="1" x14ac:dyDescent="0.25">
      <c r="A3" s="955" t="s">
        <v>251</v>
      </c>
      <c r="B3" s="957" t="s">
        <v>252</v>
      </c>
      <c r="C3" s="959" t="s">
        <v>253</v>
      </c>
      <c r="D3" s="943" t="s">
        <v>254</v>
      </c>
      <c r="E3" s="943"/>
      <c r="F3" s="944" t="s">
        <v>330</v>
      </c>
      <c r="G3" s="944"/>
      <c r="H3" s="945" t="s">
        <v>255</v>
      </c>
      <c r="I3" s="945"/>
      <c r="J3" s="944" t="s">
        <v>330</v>
      </c>
      <c r="K3" s="944"/>
      <c r="L3" s="945" t="s">
        <v>256</v>
      </c>
      <c r="M3" s="945"/>
      <c r="N3" s="944" t="s">
        <v>330</v>
      </c>
      <c r="O3" s="944"/>
      <c r="P3" s="946" t="s">
        <v>257</v>
      </c>
      <c r="Q3" s="946"/>
      <c r="R3" s="947" t="s">
        <v>330</v>
      </c>
      <c r="S3" s="947"/>
      <c r="T3" s="1011" t="s">
        <v>258</v>
      </c>
      <c r="U3" s="1012"/>
      <c r="V3" s="944" t="s">
        <v>330</v>
      </c>
      <c r="W3" s="944"/>
      <c r="X3" s="1007" t="s">
        <v>315</v>
      </c>
      <c r="Y3" s="1008"/>
      <c r="Z3" s="944" t="s">
        <v>330</v>
      </c>
      <c r="AA3" s="944"/>
    </row>
    <row r="4" spans="1:59" ht="13.5" thickBot="1" x14ac:dyDescent="0.25">
      <c r="A4" s="956"/>
      <c r="B4" s="958"/>
      <c r="C4" s="960"/>
      <c r="D4" s="96" t="s">
        <v>259</v>
      </c>
      <c r="E4" s="97" t="s">
        <v>260</v>
      </c>
      <c r="F4" s="97" t="s">
        <v>261</v>
      </c>
      <c r="G4" s="98" t="s">
        <v>262</v>
      </c>
      <c r="H4" s="96" t="s">
        <v>263</v>
      </c>
      <c r="I4" s="97" t="s">
        <v>264</v>
      </c>
      <c r="J4" s="97" t="s">
        <v>261</v>
      </c>
      <c r="K4" s="98" t="s">
        <v>262</v>
      </c>
      <c r="L4" s="96" t="s">
        <v>265</v>
      </c>
      <c r="M4" s="97" t="s">
        <v>266</v>
      </c>
      <c r="N4" s="96" t="s">
        <v>261</v>
      </c>
      <c r="O4" s="96" t="s">
        <v>262</v>
      </c>
      <c r="P4" s="96" t="s">
        <v>265</v>
      </c>
      <c r="Q4" s="97" t="s">
        <v>266</v>
      </c>
      <c r="R4" s="97" t="s">
        <v>261</v>
      </c>
      <c r="S4" s="99" t="s">
        <v>262</v>
      </c>
      <c r="T4" s="96" t="s">
        <v>267</v>
      </c>
      <c r="U4" s="97" t="s">
        <v>266</v>
      </c>
      <c r="V4" s="97" t="s">
        <v>261</v>
      </c>
      <c r="W4" s="99" t="s">
        <v>262</v>
      </c>
      <c r="X4" s="96" t="s">
        <v>267</v>
      </c>
      <c r="Y4" s="96" t="s">
        <v>266</v>
      </c>
      <c r="Z4" s="97" t="s">
        <v>261</v>
      </c>
      <c r="AA4" s="99" t="s">
        <v>262</v>
      </c>
    </row>
    <row r="5" spans="1:59" ht="23.25" thickBot="1" x14ac:dyDescent="0.25">
      <c r="A5" s="992" t="s">
        <v>206</v>
      </c>
      <c r="B5" s="414" t="s">
        <v>212</v>
      </c>
      <c r="C5" s="994" t="s">
        <v>304</v>
      </c>
      <c r="D5" s="407" t="s">
        <v>213</v>
      </c>
      <c r="E5" s="100"/>
      <c r="F5" s="101"/>
      <c r="G5" s="510">
        <f>3405138.74/2.3</f>
        <v>1480495.1</v>
      </c>
      <c r="H5" s="103"/>
      <c r="I5" s="100"/>
      <c r="J5" s="101"/>
      <c r="K5" s="102">
        <v>0</v>
      </c>
      <c r="L5" s="103"/>
      <c r="M5" s="104"/>
      <c r="N5" s="105"/>
      <c r="O5" s="102">
        <v>0</v>
      </c>
      <c r="P5" s="103"/>
      <c r="Q5" s="104"/>
      <c r="R5" s="139"/>
      <c r="S5" s="102">
        <v>0</v>
      </c>
      <c r="T5" s="103"/>
      <c r="U5" s="104"/>
      <c r="V5" s="105"/>
      <c r="W5" s="102">
        <v>0</v>
      </c>
      <c r="X5" s="103"/>
      <c r="Y5" s="104"/>
      <c r="Z5" s="105"/>
      <c r="AA5" s="102">
        <v>0</v>
      </c>
    </row>
    <row r="6" spans="1:59" x14ac:dyDescent="0.2">
      <c r="A6" s="993"/>
      <c r="B6" s="368"/>
      <c r="C6" s="995"/>
      <c r="D6" s="407"/>
      <c r="E6" s="100"/>
      <c r="F6" s="101"/>
      <c r="G6" s="102">
        <v>0</v>
      </c>
      <c r="H6" s="103"/>
      <c r="I6" s="100"/>
      <c r="J6" s="101"/>
      <c r="K6" s="102">
        <v>0</v>
      </c>
      <c r="L6" s="103"/>
      <c r="M6" s="104"/>
      <c r="N6" s="105"/>
      <c r="O6" s="102">
        <v>0</v>
      </c>
      <c r="P6" s="106"/>
      <c r="Q6" s="104"/>
      <c r="R6" s="105"/>
      <c r="S6" s="102">
        <v>0</v>
      </c>
      <c r="T6" s="103"/>
      <c r="U6" s="104"/>
      <c r="V6" s="105"/>
      <c r="W6" s="102">
        <v>0</v>
      </c>
      <c r="X6" s="103"/>
      <c r="Y6" s="104"/>
      <c r="Z6" s="105"/>
      <c r="AA6" s="102">
        <v>0</v>
      </c>
    </row>
    <row r="7" spans="1:59" x14ac:dyDescent="0.2">
      <c r="A7" s="508">
        <f>SUM(G7+K7+O7+S7+W7+AA7+AA7)</f>
        <v>1480495.1</v>
      </c>
      <c r="B7" s="369"/>
      <c r="C7" s="995"/>
      <c r="D7" s="432"/>
      <c r="E7" s="433"/>
      <c r="F7" s="434"/>
      <c r="G7" s="511">
        <f>SUM(G5:G6)</f>
        <v>1480495.1</v>
      </c>
      <c r="H7" s="436"/>
      <c r="I7" s="433"/>
      <c r="J7" s="434"/>
      <c r="K7" s="437">
        <f>SUM(K5:K6)</f>
        <v>0</v>
      </c>
      <c r="L7" s="436"/>
      <c r="M7" s="438"/>
      <c r="N7" s="439"/>
      <c r="O7" s="437">
        <f>SUM(O5:O6)</f>
        <v>0</v>
      </c>
      <c r="P7" s="440"/>
      <c r="Q7" s="438"/>
      <c r="R7" s="439"/>
      <c r="S7" s="437">
        <f>SUM(S5:S6)</f>
        <v>0</v>
      </c>
      <c r="T7" s="440"/>
      <c r="U7" s="438"/>
      <c r="V7" s="439"/>
      <c r="W7" s="437">
        <f>SUM(W5:W6)</f>
        <v>0</v>
      </c>
      <c r="X7" s="440"/>
      <c r="Y7" s="438"/>
      <c r="Z7" s="439"/>
      <c r="AA7" s="437">
        <f>SUM(AA5:AA6)</f>
        <v>0</v>
      </c>
    </row>
    <row r="8" spans="1:59" ht="45" x14ac:dyDescent="0.2">
      <c r="A8" s="1015" t="s">
        <v>207</v>
      </c>
      <c r="B8" s="466" t="s">
        <v>163</v>
      </c>
      <c r="C8" s="1016" t="s">
        <v>305</v>
      </c>
      <c r="D8" s="505"/>
      <c r="E8" s="341"/>
      <c r="F8" s="428"/>
      <c r="G8" s="132">
        <v>0</v>
      </c>
      <c r="H8" s="429" t="s">
        <v>164</v>
      </c>
      <c r="I8" s="129"/>
      <c r="J8" s="400"/>
      <c r="K8" s="469">
        <f>4441496.66/2.3</f>
        <v>1931085.5</v>
      </c>
      <c r="L8" s="130"/>
      <c r="M8" s="341"/>
      <c r="N8" s="341"/>
      <c r="O8" s="132">
        <v>0</v>
      </c>
      <c r="P8" s="429"/>
      <c r="Q8" s="129"/>
      <c r="R8" s="400"/>
      <c r="S8" s="430"/>
      <c r="T8" s="130"/>
      <c r="U8" s="129"/>
      <c r="V8" s="131"/>
      <c r="W8" s="132">
        <v>0</v>
      </c>
      <c r="X8" s="130"/>
      <c r="Y8" s="129"/>
      <c r="Z8" s="131"/>
      <c r="AA8" s="132">
        <v>0</v>
      </c>
    </row>
    <row r="9" spans="1:59" x14ac:dyDescent="0.2">
      <c r="A9" s="1015"/>
      <c r="B9" s="467"/>
      <c r="C9" s="1016"/>
      <c r="D9" s="407"/>
      <c r="E9" s="100"/>
      <c r="F9" s="101"/>
      <c r="G9" s="102">
        <v>0</v>
      </c>
      <c r="H9" s="103"/>
      <c r="I9" s="100"/>
      <c r="J9" s="101"/>
      <c r="K9" s="102">
        <v>0</v>
      </c>
      <c r="L9" s="103"/>
      <c r="M9" s="100"/>
      <c r="N9" s="100"/>
      <c r="O9" s="102">
        <v>0</v>
      </c>
      <c r="P9" s="106"/>
      <c r="Q9" s="104"/>
      <c r="R9" s="105"/>
      <c r="S9" s="102"/>
      <c r="T9" s="107"/>
      <c r="U9" s="104"/>
      <c r="V9" s="108"/>
      <c r="W9" s="102">
        <f>V9*U9</f>
        <v>0</v>
      </c>
      <c r="X9" s="107"/>
      <c r="Y9" s="104"/>
      <c r="Z9" s="108"/>
      <c r="AA9" s="102">
        <f>Z9*Y9</f>
        <v>0</v>
      </c>
    </row>
    <row r="10" spans="1:59" x14ac:dyDescent="0.2">
      <c r="A10" s="518">
        <f>SUM(G10+K10+O10+S10+W10+AA10)</f>
        <v>1931085.5</v>
      </c>
      <c r="B10" s="468"/>
      <c r="C10" s="1016"/>
      <c r="D10" s="447"/>
      <c r="E10" s="433"/>
      <c r="F10" s="434"/>
      <c r="G10" s="437">
        <f>SUM(G8:G9)</f>
        <v>0</v>
      </c>
      <c r="H10" s="440"/>
      <c r="I10" s="438"/>
      <c r="J10" s="439"/>
      <c r="K10" s="513">
        <f>SUM(K8:K9)</f>
        <v>1931085.5</v>
      </c>
      <c r="L10" s="436"/>
      <c r="M10" s="438"/>
      <c r="N10" s="439"/>
      <c r="O10" s="437">
        <f>SUM(O7:O9)</f>
        <v>0</v>
      </c>
      <c r="P10" s="440"/>
      <c r="Q10" s="438"/>
      <c r="R10" s="439"/>
      <c r="S10" s="437"/>
      <c r="T10" s="440"/>
      <c r="U10" s="438"/>
      <c r="V10" s="439"/>
      <c r="W10" s="437">
        <f>SUM(W7:W9)</f>
        <v>0</v>
      </c>
      <c r="X10" s="440"/>
      <c r="Y10" s="438"/>
      <c r="Z10" s="439"/>
      <c r="AA10" s="437">
        <f>SUM(AA7:AA9)</f>
        <v>0</v>
      </c>
    </row>
    <row r="11" spans="1:59" x14ac:dyDescent="0.2">
      <c r="A11" s="1002" t="s">
        <v>361</v>
      </c>
      <c r="B11" s="365" t="s">
        <v>165</v>
      </c>
      <c r="C11" s="1016" t="s">
        <v>304</v>
      </c>
      <c r="D11" s="505"/>
      <c r="E11" s="341"/>
      <c r="F11" s="342"/>
      <c r="G11" s="132">
        <v>0</v>
      </c>
      <c r="H11" s="429"/>
      <c r="I11" s="341"/>
      <c r="J11" s="342"/>
      <c r="K11" s="132">
        <v>0</v>
      </c>
      <c r="L11" s="429"/>
      <c r="M11" s="341"/>
      <c r="N11" s="342"/>
      <c r="O11" s="430"/>
      <c r="P11" s="442"/>
      <c r="Q11" s="443"/>
      <c r="R11" s="444"/>
      <c r="S11" s="132"/>
      <c r="T11" s="130" t="s">
        <v>167</v>
      </c>
      <c r="U11" s="129"/>
      <c r="V11" s="445"/>
      <c r="W11" s="512">
        <f>600000/2.3</f>
        <v>260869.57</v>
      </c>
      <c r="X11" s="429"/>
      <c r="Y11" s="129"/>
      <c r="Z11" s="445"/>
      <c r="AA11" s="430"/>
    </row>
    <row r="12" spans="1:59" x14ac:dyDescent="0.2">
      <c r="A12" s="1002"/>
      <c r="B12" s="366" t="s">
        <v>173</v>
      </c>
      <c r="C12" s="1016"/>
      <c r="D12" s="407"/>
      <c r="E12" s="100"/>
      <c r="F12" s="112"/>
      <c r="G12" s="102">
        <v>0</v>
      </c>
      <c r="H12" s="106"/>
      <c r="I12" s="111"/>
      <c r="J12" s="105"/>
      <c r="K12" s="102">
        <v>0</v>
      </c>
      <c r="L12" s="113"/>
      <c r="M12" s="114"/>
      <c r="N12" s="115"/>
      <c r="O12" s="102">
        <v>0</v>
      </c>
      <c r="P12" s="116" t="s">
        <v>168</v>
      </c>
      <c r="Q12" s="117"/>
      <c r="R12" s="118"/>
      <c r="S12" s="510">
        <f>864000/2.3</f>
        <v>375652.17</v>
      </c>
      <c r="T12" s="107"/>
      <c r="U12" s="104"/>
      <c r="V12" s="119"/>
      <c r="W12" s="110"/>
      <c r="X12" s="107"/>
      <c r="Y12" s="104"/>
      <c r="Z12" s="119"/>
      <c r="AA12" s="109"/>
    </row>
    <row r="13" spans="1:59" x14ac:dyDescent="0.2">
      <c r="A13" s="1002"/>
      <c r="B13" s="366" t="s">
        <v>172</v>
      </c>
      <c r="C13" s="1016"/>
      <c r="D13" s="407"/>
      <c r="E13" s="100"/>
      <c r="F13" s="112"/>
      <c r="G13" s="102"/>
      <c r="H13" s="106"/>
      <c r="I13" s="111"/>
      <c r="J13" s="105"/>
      <c r="K13" s="102"/>
      <c r="L13" s="113"/>
      <c r="M13" s="114"/>
      <c r="N13" s="115"/>
      <c r="O13" s="102"/>
      <c r="P13" s="116" t="s">
        <v>169</v>
      </c>
      <c r="Q13" s="117"/>
      <c r="R13" s="118"/>
      <c r="S13" s="510">
        <f>1813272/2.3</f>
        <v>788379.13</v>
      </c>
      <c r="T13" s="107"/>
      <c r="U13" s="104"/>
      <c r="V13" s="119"/>
      <c r="W13" s="110"/>
      <c r="X13" s="107"/>
      <c r="Y13" s="104"/>
      <c r="Z13" s="119"/>
      <c r="AA13" s="109"/>
    </row>
    <row r="14" spans="1:59" ht="22.5" x14ac:dyDescent="0.2">
      <c r="A14" s="1002"/>
      <c r="B14" s="366" t="s">
        <v>171</v>
      </c>
      <c r="C14" s="1016"/>
      <c r="D14" s="407"/>
      <c r="E14" s="100"/>
      <c r="F14" s="112"/>
      <c r="G14" s="102"/>
      <c r="H14" s="106"/>
      <c r="I14" s="111"/>
      <c r="J14" s="105"/>
      <c r="K14" s="102"/>
      <c r="L14" s="116" t="s">
        <v>170</v>
      </c>
      <c r="M14" s="117"/>
      <c r="N14" s="118"/>
      <c r="O14" s="510">
        <f>106478.82/2.3</f>
        <v>46295.14</v>
      </c>
      <c r="P14" s="116"/>
      <c r="Q14" s="117"/>
      <c r="R14" s="118"/>
      <c r="S14" s="102"/>
      <c r="T14" s="107"/>
      <c r="U14" s="104"/>
      <c r="V14" s="119"/>
      <c r="W14" s="110"/>
      <c r="X14" s="107"/>
      <c r="Y14" s="104"/>
      <c r="Z14" s="119"/>
      <c r="AA14" s="109"/>
    </row>
    <row r="15" spans="1:59" x14ac:dyDescent="0.2">
      <c r="A15" s="1002"/>
      <c r="B15" s="366" t="s">
        <v>174</v>
      </c>
      <c r="C15" s="1016"/>
      <c r="D15" s="407"/>
      <c r="E15" s="100"/>
      <c r="F15" s="112"/>
      <c r="G15" s="102">
        <v>0</v>
      </c>
      <c r="H15" s="106"/>
      <c r="I15" s="111"/>
      <c r="J15" s="105"/>
      <c r="K15" s="102">
        <v>0</v>
      </c>
      <c r="L15" s="113" t="s">
        <v>175</v>
      </c>
      <c r="M15" s="114"/>
      <c r="N15" s="115"/>
      <c r="O15" s="510">
        <f>244475.04/2.3</f>
        <v>106293.5</v>
      </c>
      <c r="P15" s="116"/>
      <c r="Q15" s="117"/>
      <c r="R15" s="118"/>
      <c r="S15" s="102"/>
      <c r="T15" s="103"/>
      <c r="U15" s="104"/>
      <c r="V15" s="119"/>
      <c r="W15" s="102">
        <v>0</v>
      </c>
      <c r="X15" s="103"/>
      <c r="Y15" s="104"/>
      <c r="Z15" s="119"/>
      <c r="AA15" s="102">
        <v>0</v>
      </c>
    </row>
    <row r="16" spans="1:59" ht="22.5" x14ac:dyDescent="0.2">
      <c r="A16" s="1002"/>
      <c r="B16" s="366" t="s">
        <v>166</v>
      </c>
      <c r="C16" s="1016"/>
      <c r="D16" s="407"/>
      <c r="E16" s="100"/>
      <c r="F16" s="112"/>
      <c r="G16" s="102">
        <v>0</v>
      </c>
      <c r="H16" s="103" t="s">
        <v>176</v>
      </c>
      <c r="I16" s="111"/>
      <c r="J16" s="105"/>
      <c r="K16" s="510">
        <f>500000/2.3</f>
        <v>217391.3</v>
      </c>
      <c r="L16" s="113"/>
      <c r="M16" s="114"/>
      <c r="N16" s="115"/>
      <c r="O16" s="102">
        <f>N16*M16</f>
        <v>0</v>
      </c>
      <c r="P16" s="116"/>
      <c r="Q16" s="117"/>
      <c r="R16" s="118"/>
      <c r="S16" s="102"/>
      <c r="T16" s="103"/>
      <c r="U16" s="104"/>
      <c r="V16" s="119"/>
      <c r="W16" s="110"/>
      <c r="X16" s="103"/>
      <c r="Y16" s="104"/>
      <c r="Z16" s="119"/>
      <c r="AA16" s="110"/>
    </row>
    <row r="17" spans="1:59" x14ac:dyDescent="0.2">
      <c r="A17" s="518">
        <f>SUM(G17+K17+O17+S17+W17+AA17)</f>
        <v>1794880.81</v>
      </c>
      <c r="B17" s="367"/>
      <c r="C17" s="1016"/>
      <c r="D17" s="432"/>
      <c r="E17" s="433"/>
      <c r="F17" s="453"/>
      <c r="G17" s="437">
        <f>SUM(G12:G16)</f>
        <v>0</v>
      </c>
      <c r="H17" s="440"/>
      <c r="I17" s="438"/>
      <c r="J17" s="439"/>
      <c r="K17" s="513">
        <f>SUM(K12:K16)</f>
        <v>217391.3</v>
      </c>
      <c r="L17" s="454"/>
      <c r="M17" s="455"/>
      <c r="N17" s="456"/>
      <c r="O17" s="513">
        <f>SUM(O11:O16)</f>
        <v>152588.64000000001</v>
      </c>
      <c r="P17" s="436"/>
      <c r="Q17" s="438"/>
      <c r="R17" s="439"/>
      <c r="S17" s="513">
        <f>SUM(S11:S16)</f>
        <v>1164031.3</v>
      </c>
      <c r="T17" s="436"/>
      <c r="U17" s="438"/>
      <c r="V17" s="457"/>
      <c r="W17" s="513">
        <f>SUM(W11:W16)</f>
        <v>260869.57</v>
      </c>
      <c r="X17" s="436"/>
      <c r="Y17" s="438"/>
      <c r="Z17" s="457"/>
      <c r="AA17" s="437">
        <f>SUM(AA12:AA16)</f>
        <v>0</v>
      </c>
    </row>
    <row r="18" spans="1:59" ht="45" x14ac:dyDescent="0.2">
      <c r="A18" s="1017" t="s">
        <v>209</v>
      </c>
      <c r="B18" s="366" t="s">
        <v>177</v>
      </c>
      <c r="C18" s="1013" t="s">
        <v>305</v>
      </c>
      <c r="D18" s="509" t="s">
        <v>179</v>
      </c>
      <c r="E18" s="341"/>
      <c r="F18" s="342"/>
      <c r="G18" s="514">
        <f>4500000/2.3</f>
        <v>1956521.74</v>
      </c>
      <c r="H18" s="130"/>
      <c r="I18" s="449"/>
      <c r="J18" s="342"/>
      <c r="K18" s="132">
        <v>0</v>
      </c>
      <c r="L18" s="450"/>
      <c r="M18" s="451"/>
      <c r="N18" s="452"/>
      <c r="O18" s="132">
        <v>0</v>
      </c>
      <c r="P18" s="442"/>
      <c r="Q18" s="443"/>
      <c r="R18" s="443"/>
      <c r="S18" s="132"/>
      <c r="T18" s="130"/>
      <c r="U18" s="129"/>
      <c r="V18" s="445"/>
      <c r="W18" s="132">
        <v>0</v>
      </c>
      <c r="X18" s="130"/>
      <c r="Y18" s="129"/>
      <c r="Z18" s="445"/>
      <c r="AA18" s="132">
        <v>0</v>
      </c>
    </row>
    <row r="19" spans="1:59" ht="27.75" customHeight="1" x14ac:dyDescent="0.2">
      <c r="A19" s="1018"/>
      <c r="B19" s="366" t="s">
        <v>178</v>
      </c>
      <c r="C19" s="1013"/>
      <c r="D19" s="411" t="s">
        <v>180</v>
      </c>
      <c r="E19" s="100"/>
      <c r="F19" s="112"/>
      <c r="G19" s="515">
        <f>4500000/2.3</f>
        <v>1956521.74</v>
      </c>
      <c r="H19" s="103"/>
      <c r="I19" s="142"/>
      <c r="J19" s="112"/>
      <c r="K19" s="102"/>
      <c r="L19" s="121"/>
      <c r="M19" s="122"/>
      <c r="N19" s="123"/>
      <c r="O19" s="102"/>
      <c r="P19" s="116"/>
      <c r="Q19" s="117"/>
      <c r="R19" s="117"/>
      <c r="S19" s="102"/>
      <c r="T19" s="103"/>
      <c r="U19" s="104"/>
      <c r="V19" s="141"/>
      <c r="W19" s="102"/>
      <c r="X19" s="103"/>
      <c r="Y19" s="104"/>
      <c r="Z19" s="141"/>
      <c r="AA19" s="102"/>
    </row>
    <row r="20" spans="1:59" x14ac:dyDescent="0.2">
      <c r="A20" s="1019"/>
      <c r="B20" s="366"/>
      <c r="C20" s="1013"/>
      <c r="D20" s="411"/>
      <c r="E20" s="112"/>
      <c r="F20" s="112"/>
      <c r="G20" s="516"/>
      <c r="H20" s="106"/>
      <c r="I20" s="104"/>
      <c r="J20" s="105"/>
      <c r="K20" s="102">
        <v>0</v>
      </c>
      <c r="L20" s="121"/>
      <c r="M20" s="122"/>
      <c r="N20" s="123"/>
      <c r="O20" s="102">
        <v>0</v>
      </c>
      <c r="P20" s="116"/>
      <c r="Q20" s="117"/>
      <c r="R20" s="118"/>
      <c r="S20" s="102"/>
      <c r="T20" s="103"/>
      <c r="U20" s="104"/>
      <c r="V20" s="119"/>
      <c r="W20" s="102">
        <v>0</v>
      </c>
      <c r="X20" s="103"/>
      <c r="Y20" s="104"/>
      <c r="Z20" s="119"/>
      <c r="AA20" s="109"/>
    </row>
    <row r="21" spans="1:59" x14ac:dyDescent="0.2">
      <c r="A21" s="518">
        <f>SUM(G21+K21+O21+S21+W21+AA21)</f>
        <v>3913043.48</v>
      </c>
      <c r="B21" s="470"/>
      <c r="C21" s="1013"/>
      <c r="D21" s="458"/>
      <c r="E21" s="459">
        <f>SUM(E18:E20)</f>
        <v>0</v>
      </c>
      <c r="F21" s="460">
        <f>SUM(F18:F20)</f>
        <v>0</v>
      </c>
      <c r="G21" s="513">
        <f>SUM(G18:G20)</f>
        <v>3913043.48</v>
      </c>
      <c r="H21" s="440"/>
      <c r="I21" s="438"/>
      <c r="J21" s="439"/>
      <c r="K21" s="437">
        <f>SUM(K18:K20)</f>
        <v>0</v>
      </c>
      <c r="L21" s="461"/>
      <c r="M21" s="462"/>
      <c r="N21" s="463"/>
      <c r="O21" s="437">
        <f>SUM(O18:O20)</f>
        <v>0</v>
      </c>
      <c r="P21" s="436"/>
      <c r="Q21" s="438"/>
      <c r="R21" s="439"/>
      <c r="S21" s="437">
        <f>SUM(S18:S20)</f>
        <v>0</v>
      </c>
      <c r="T21" s="436"/>
      <c r="U21" s="438"/>
      <c r="V21" s="439"/>
      <c r="W21" s="437">
        <f>SUM(W18:W20)</f>
        <v>0</v>
      </c>
      <c r="X21" s="464"/>
      <c r="Y21" s="438"/>
      <c r="Z21" s="439"/>
      <c r="AA21" s="437"/>
    </row>
    <row r="22" spans="1:59" ht="33.75" x14ac:dyDescent="0.2">
      <c r="A22" s="1002" t="s">
        <v>210</v>
      </c>
      <c r="B22" s="365" t="s">
        <v>211</v>
      </c>
      <c r="C22" s="1013" t="s">
        <v>305</v>
      </c>
      <c r="D22" s="506"/>
      <c r="E22" s="341"/>
      <c r="F22" s="428"/>
      <c r="G22" s="132">
        <v>0</v>
      </c>
      <c r="H22" s="130"/>
      <c r="I22" s="449"/>
      <c r="J22" s="342"/>
      <c r="K22" s="132">
        <v>0</v>
      </c>
      <c r="L22" s="429" t="s">
        <v>181</v>
      </c>
      <c r="M22" s="129"/>
      <c r="N22" s="341"/>
      <c r="O22" s="430">
        <f>3405138.74/2.3</f>
        <v>1480495.1</v>
      </c>
      <c r="P22" s="130"/>
      <c r="Q22" s="129"/>
      <c r="R22" s="131"/>
      <c r="S22" s="132"/>
      <c r="T22" s="130"/>
      <c r="U22" s="449"/>
      <c r="V22" s="342"/>
      <c r="W22" s="132">
        <v>0</v>
      </c>
      <c r="X22" s="429"/>
      <c r="Y22" s="449"/>
      <c r="Z22" s="342"/>
      <c r="AA22" s="430"/>
    </row>
    <row r="23" spans="1:59" x14ac:dyDescent="0.2">
      <c r="A23" s="1002"/>
      <c r="B23" s="367"/>
      <c r="C23" s="1013"/>
      <c r="D23" s="410"/>
      <c r="E23" s="100"/>
      <c r="F23" s="101"/>
      <c r="G23" s="102">
        <f>F23*E23</f>
        <v>0</v>
      </c>
      <c r="H23" s="103"/>
      <c r="I23" s="142"/>
      <c r="J23" s="112"/>
      <c r="K23" s="102">
        <v>0</v>
      </c>
      <c r="L23" s="107"/>
      <c r="M23" s="104"/>
      <c r="N23" s="100"/>
      <c r="O23" s="109"/>
      <c r="P23" s="103"/>
      <c r="Q23" s="104"/>
      <c r="R23" s="105"/>
      <c r="S23" s="102">
        <v>0</v>
      </c>
      <c r="T23" s="103"/>
      <c r="U23" s="142"/>
      <c r="V23" s="112"/>
      <c r="W23" s="102">
        <v>0</v>
      </c>
      <c r="X23" s="103"/>
      <c r="Y23" s="142"/>
      <c r="Z23" s="112"/>
      <c r="AA23" s="102">
        <v>0</v>
      </c>
    </row>
    <row r="24" spans="1:59" ht="13.5" thickBot="1" x14ac:dyDescent="0.25">
      <c r="A24" s="519">
        <f>SUM(G24+K24+O24+S24+W24+AA24)</f>
        <v>1480495.1</v>
      </c>
      <c r="B24" s="409"/>
      <c r="C24" s="1014"/>
      <c r="D24" s="458"/>
      <c r="E24" s="433"/>
      <c r="F24" s="507"/>
      <c r="G24" s="437">
        <f>SUM(G22:G23)</f>
        <v>0</v>
      </c>
      <c r="H24" s="440"/>
      <c r="I24" s="438"/>
      <c r="J24" s="439"/>
      <c r="K24" s="435">
        <v>0</v>
      </c>
      <c r="L24" s="440"/>
      <c r="M24" s="438"/>
      <c r="N24" s="439"/>
      <c r="O24" s="513">
        <f>SUM(O22:O23)</f>
        <v>1480495.1</v>
      </c>
      <c r="P24" s="436"/>
      <c r="Q24" s="438"/>
      <c r="R24" s="439"/>
      <c r="S24" s="437">
        <f>SUM(S22:S23)</f>
        <v>0</v>
      </c>
      <c r="T24" s="440"/>
      <c r="U24" s="438"/>
      <c r="V24" s="439"/>
      <c r="W24" s="437">
        <f>SUM(W21:W23)</f>
        <v>0</v>
      </c>
      <c r="X24" s="440"/>
      <c r="Y24" s="438"/>
      <c r="Z24" s="439"/>
      <c r="AA24" s="437">
        <f>SUM(AA21:AA23)</f>
        <v>0</v>
      </c>
    </row>
    <row r="25" spans="1:59" s="136" customFormat="1" ht="13.5" thickBot="1" x14ac:dyDescent="0.25">
      <c r="A25" s="412" t="s">
        <v>317</v>
      </c>
      <c r="B25" s="520">
        <f>SUM(G25+K25+O25+S25+W25+AA25)</f>
        <v>10600000</v>
      </c>
      <c r="C25" s="413"/>
      <c r="D25" s="143"/>
      <c r="E25" s="144"/>
      <c r="F25" s="145"/>
      <c r="G25" s="517">
        <f>SUM(G7+G17+G21+G24)</f>
        <v>5393538.5800000001</v>
      </c>
      <c r="H25" s="147"/>
      <c r="I25" s="144"/>
      <c r="J25" s="145"/>
      <c r="K25" s="517">
        <f>SUM(K7+K10+K17+K21+K24)</f>
        <v>2148476.7999999998</v>
      </c>
      <c r="L25" s="148"/>
      <c r="M25" s="144"/>
      <c r="N25" s="145"/>
      <c r="O25" s="517">
        <f>SUM(O7+O10+O17+O21+O24)</f>
        <v>1633083.74</v>
      </c>
      <c r="P25" s="147"/>
      <c r="Q25" s="144"/>
      <c r="R25" s="145"/>
      <c r="S25" s="517">
        <f>SUM(S7+S10+S17+S21+S24)</f>
        <v>1164031.3</v>
      </c>
      <c r="T25" s="147"/>
      <c r="U25" s="144"/>
      <c r="V25" s="145"/>
      <c r="W25" s="517">
        <f>SUM(W7+W10+W17+W21+W24)</f>
        <v>260869.57</v>
      </c>
      <c r="X25" s="147"/>
      <c r="Y25" s="144"/>
      <c r="Z25" s="145"/>
      <c r="AA25" s="146">
        <f>SUM(AA7+AA10+AA17+AA21+AA24)</f>
        <v>0</v>
      </c>
    </row>
    <row r="27" spans="1:59" x14ac:dyDescent="0.2">
      <c r="T27" s="72"/>
      <c r="X27" s="72"/>
    </row>
    <row r="30" spans="1:59" s="74" customFormat="1" x14ac:dyDescent="0.2">
      <c r="A30" s="72"/>
      <c r="B30" s="73"/>
      <c r="C30" s="73"/>
      <c r="D30" s="73"/>
      <c r="F30" s="75"/>
      <c r="G30" s="73"/>
      <c r="H30" s="72"/>
      <c r="J30" s="75"/>
      <c r="K30" s="73"/>
      <c r="L30" s="76"/>
      <c r="N30" s="75"/>
      <c r="O30" s="31"/>
      <c r="P30" s="73"/>
      <c r="R30" s="75"/>
      <c r="S30" s="31"/>
      <c r="T30" s="73"/>
      <c r="V30" s="75"/>
      <c r="W30" s="31"/>
      <c r="X30" s="73"/>
      <c r="Z30" s="75"/>
      <c r="AA30" s="31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</row>
    <row r="33" spans="1:59" s="74" customFormat="1" x14ac:dyDescent="0.2">
      <c r="A33" s="72"/>
      <c r="B33" s="73"/>
      <c r="C33" s="73"/>
      <c r="D33" s="73"/>
      <c r="F33" s="75"/>
      <c r="G33" s="72"/>
      <c r="H33" s="73"/>
      <c r="J33" s="75"/>
      <c r="K33" s="73"/>
      <c r="L33" s="76"/>
      <c r="N33" s="75"/>
      <c r="O33" s="31"/>
      <c r="P33" s="73"/>
      <c r="R33" s="75"/>
      <c r="S33" s="31"/>
      <c r="T33" s="73"/>
      <c r="V33" s="75"/>
      <c r="W33" s="31"/>
      <c r="X33" s="73"/>
      <c r="Z33" s="75"/>
      <c r="AA33" s="31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</row>
    <row r="34" spans="1:59" s="74" customFormat="1" x14ac:dyDescent="0.2">
      <c r="A34" s="72"/>
      <c r="B34" s="73"/>
      <c r="C34" s="73"/>
      <c r="D34" s="73"/>
      <c r="F34" s="75"/>
      <c r="G34" s="72"/>
      <c r="H34" s="72"/>
      <c r="J34" s="75"/>
      <c r="K34" s="73"/>
      <c r="L34" s="76"/>
      <c r="N34" s="75"/>
      <c r="O34" s="31"/>
      <c r="P34" s="73"/>
      <c r="R34" s="75"/>
      <c r="S34" s="31"/>
      <c r="T34" s="73"/>
      <c r="V34" s="75"/>
      <c r="W34" s="31"/>
      <c r="X34" s="73"/>
      <c r="Z34" s="75"/>
      <c r="AA34" s="31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</row>
  </sheetData>
  <mergeCells count="26">
    <mergeCell ref="A2:C2"/>
    <mergeCell ref="F3:G3"/>
    <mergeCell ref="T3:U3"/>
    <mergeCell ref="A22:A23"/>
    <mergeCell ref="C22:C24"/>
    <mergeCell ref="A8:A9"/>
    <mergeCell ref="C8:C10"/>
    <mergeCell ref="A11:A16"/>
    <mergeCell ref="C11:C17"/>
    <mergeCell ref="A18:A20"/>
    <mergeCell ref="C18:C21"/>
    <mergeCell ref="V3:W3"/>
    <mergeCell ref="X3:Y3"/>
    <mergeCell ref="Z3:AA3"/>
    <mergeCell ref="A5:A6"/>
    <mergeCell ref="C5:C7"/>
    <mergeCell ref="H3:I3"/>
    <mergeCell ref="J3:K3"/>
    <mergeCell ref="L3:M3"/>
    <mergeCell ref="N3:O3"/>
    <mergeCell ref="P3:Q3"/>
    <mergeCell ref="R3:S3"/>
    <mergeCell ref="A3:A4"/>
    <mergeCell ref="B3:B4"/>
    <mergeCell ref="C3:C4"/>
    <mergeCell ref="D3:E3"/>
  </mergeCells>
  <phoneticPr fontId="34" type="noConversion"/>
  <printOptions verticalCentered="1"/>
  <pageMargins left="0.39374999999999999" right="0.39374999999999999" top="0.78749999999999998" bottom="0.59097222222222223" header="0.31527777777777777" footer="0.31527777777777777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 enableFormatConditionsCalculation="0"/>
  <dimension ref="A1:BK33"/>
  <sheetViews>
    <sheetView showGridLines="0" zoomScale="97" zoomScaleNormal="97" zoomScaleSheetLayoutView="85" zoomScalePageLayoutView="97" workbookViewId="0">
      <pane xSplit="2" ySplit="4" topLeftCell="C5" activePane="bottomRight" state="frozenSplit"/>
      <selection pane="topRight" activeCell="C1" sqref="C1"/>
      <selection pane="bottomLeft" activeCell="A5" sqref="A5"/>
      <selection pane="bottomRight"/>
    </sheetView>
  </sheetViews>
  <sheetFormatPr defaultColWidth="8.85546875" defaultRowHeight="12.75" x14ac:dyDescent="0.2"/>
  <cols>
    <col min="1" max="1" width="30.7109375" customWidth="1"/>
    <col min="2" max="2" width="46" customWidth="1"/>
    <col min="3" max="3" width="44.7109375" customWidth="1"/>
    <col min="4" max="4" width="28.7109375" customWidth="1"/>
    <col min="5" max="5" width="10.7109375" style="149" customWidth="1"/>
    <col min="6" max="6" width="10.7109375" style="31" customWidth="1"/>
    <col min="7" max="7" width="12.7109375" customWidth="1"/>
    <col min="8" max="8" width="27.85546875" customWidth="1"/>
    <col min="9" max="9" width="6.7109375" style="150" customWidth="1"/>
    <col min="10" max="10" width="8.140625" style="151" customWidth="1"/>
    <col min="11" max="11" width="12.7109375" customWidth="1"/>
    <col min="12" max="12" width="27.140625" customWidth="1"/>
    <col min="13" max="13" width="6.7109375" style="149" customWidth="1"/>
    <col min="14" max="14" width="8.140625" style="31" customWidth="1"/>
    <col min="15" max="15" width="11" style="31" customWidth="1"/>
    <col min="16" max="16" width="27.42578125" customWidth="1"/>
    <col min="17" max="17" width="6.7109375" style="149" customWidth="1"/>
    <col min="18" max="18" width="10.7109375" style="31" customWidth="1"/>
    <col min="19" max="19" width="11.42578125" style="31" customWidth="1"/>
    <col min="20" max="20" width="15.42578125" customWidth="1"/>
    <col min="21" max="21" width="6.42578125" customWidth="1"/>
    <col min="22" max="22" width="8.42578125" bestFit="1" customWidth="1"/>
    <col min="23" max="23" width="10" bestFit="1" customWidth="1"/>
    <col min="24" max="24" width="27.140625" customWidth="1"/>
    <col min="25" max="25" width="6.7109375" style="149" customWidth="1"/>
    <col min="26" max="26" width="8.140625" style="31" customWidth="1"/>
    <col min="27" max="27" width="10.7109375" style="31" customWidth="1"/>
  </cols>
  <sheetData>
    <row r="1" spans="1:63" ht="13.5" thickBot="1" x14ac:dyDescent="0.25">
      <c r="A1" s="152" t="s">
        <v>250</v>
      </c>
      <c r="B1" s="153"/>
      <c r="C1" s="154"/>
      <c r="D1" s="154"/>
      <c r="E1" s="155"/>
      <c r="F1" s="156"/>
      <c r="G1" s="157"/>
      <c r="H1" s="157"/>
      <c r="I1" s="158"/>
      <c r="J1" s="159"/>
      <c r="K1" s="157"/>
      <c r="L1" s="157"/>
      <c r="M1" s="160"/>
      <c r="N1" s="85"/>
      <c r="O1" s="85"/>
      <c r="P1" s="157"/>
      <c r="Q1" s="160"/>
      <c r="R1" s="85"/>
      <c r="S1" s="85"/>
      <c r="T1" s="157"/>
      <c r="U1" s="157"/>
      <c r="V1" s="157"/>
      <c r="W1" s="157"/>
      <c r="X1" s="157"/>
      <c r="Y1" s="160"/>
      <c r="Z1" s="85"/>
      <c r="AA1" s="161"/>
    </row>
    <row r="2" spans="1:63" s="170" customFormat="1" ht="13.5" thickBot="1" x14ac:dyDescent="0.25">
      <c r="A2" s="162" t="str">
        <f>'3_Comp e Produtos'!A24</f>
        <v>Administração</v>
      </c>
      <c r="B2" s="163"/>
      <c r="C2" s="164"/>
      <c r="D2" s="164"/>
      <c r="E2" s="165"/>
      <c r="F2" s="166"/>
      <c r="G2" s="164"/>
      <c r="H2" s="164"/>
      <c r="I2" s="167"/>
      <c r="J2" s="168"/>
      <c r="K2" s="164"/>
      <c r="L2" s="164"/>
      <c r="M2" s="165"/>
      <c r="N2" s="166"/>
      <c r="O2" s="166"/>
      <c r="P2" s="164"/>
      <c r="Q2" s="165"/>
      <c r="R2" s="166"/>
      <c r="S2" s="166"/>
      <c r="T2" s="164"/>
      <c r="U2" s="164"/>
      <c r="V2" s="164"/>
      <c r="W2" s="164"/>
      <c r="X2" s="164"/>
      <c r="Y2" s="165"/>
      <c r="Z2" s="166"/>
      <c r="AA2" s="93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</row>
    <row r="3" spans="1:63" ht="27.75" customHeight="1" thickBot="1" x14ac:dyDescent="0.25">
      <c r="A3" s="984" t="s">
        <v>251</v>
      </c>
      <c r="B3" s="986" t="s">
        <v>252</v>
      </c>
      <c r="C3" s="988" t="s">
        <v>253</v>
      </c>
      <c r="D3" s="1041" t="s">
        <v>254</v>
      </c>
      <c r="E3" s="1042"/>
      <c r="F3" s="1043" t="s">
        <v>330</v>
      </c>
      <c r="G3" s="1043"/>
      <c r="H3" s="1044" t="s">
        <v>255</v>
      </c>
      <c r="I3" s="1044"/>
      <c r="J3" s="1021" t="s">
        <v>330</v>
      </c>
      <c r="K3" s="1021"/>
      <c r="L3" s="1022" t="s">
        <v>188</v>
      </c>
      <c r="M3" s="1023"/>
      <c r="N3" s="1020" t="s">
        <v>330</v>
      </c>
      <c r="O3" s="1020"/>
      <c r="P3" s="1024" t="s">
        <v>257</v>
      </c>
      <c r="Q3" s="1024"/>
      <c r="R3" s="947" t="s">
        <v>330</v>
      </c>
      <c r="S3" s="947"/>
      <c r="T3" s="1033" t="s">
        <v>258</v>
      </c>
      <c r="U3" s="1034"/>
      <c r="V3" s="1031" t="s">
        <v>330</v>
      </c>
      <c r="W3" s="1032"/>
      <c r="X3" s="1025" t="s">
        <v>318</v>
      </c>
      <c r="Y3" s="1025"/>
      <c r="Z3" s="1020" t="s">
        <v>330</v>
      </c>
      <c r="AA3" s="1020"/>
    </row>
    <row r="4" spans="1:63" x14ac:dyDescent="0.2">
      <c r="A4" s="1039"/>
      <c r="B4" s="958"/>
      <c r="C4" s="1040"/>
      <c r="D4" s="579" t="s">
        <v>259</v>
      </c>
      <c r="E4" s="528" t="s">
        <v>260</v>
      </c>
      <c r="F4" s="528" t="s">
        <v>261</v>
      </c>
      <c r="G4" s="529" t="s">
        <v>262</v>
      </c>
      <c r="H4" s="350" t="s">
        <v>263</v>
      </c>
      <c r="I4" s="351" t="s">
        <v>264</v>
      </c>
      <c r="J4" s="351" t="s">
        <v>261</v>
      </c>
      <c r="K4" s="352" t="s">
        <v>262</v>
      </c>
      <c r="L4" s="527" t="s">
        <v>265</v>
      </c>
      <c r="M4" s="528" t="s">
        <v>266</v>
      </c>
      <c r="N4" s="528" t="s">
        <v>261</v>
      </c>
      <c r="O4" s="530" t="s">
        <v>262</v>
      </c>
      <c r="P4" s="350" t="s">
        <v>265</v>
      </c>
      <c r="Q4" s="351" t="s">
        <v>266</v>
      </c>
      <c r="R4" s="351" t="s">
        <v>261</v>
      </c>
      <c r="S4" s="353" t="s">
        <v>262</v>
      </c>
      <c r="T4" s="589" t="s">
        <v>267</v>
      </c>
      <c r="U4" s="592" t="s">
        <v>266</v>
      </c>
      <c r="V4" s="590" t="s">
        <v>261</v>
      </c>
      <c r="W4" s="591" t="s">
        <v>262</v>
      </c>
      <c r="X4" s="527" t="s">
        <v>267</v>
      </c>
      <c r="Y4" s="528" t="s">
        <v>266</v>
      </c>
      <c r="Z4" s="528" t="s">
        <v>261</v>
      </c>
      <c r="AA4" s="531" t="s">
        <v>262</v>
      </c>
    </row>
    <row r="5" spans="1:63" s="73" customFormat="1" ht="22.5" x14ac:dyDescent="0.2">
      <c r="A5" s="1026" t="s">
        <v>138</v>
      </c>
      <c r="B5" s="576" t="s">
        <v>139</v>
      </c>
      <c r="C5" s="1029" t="s">
        <v>184</v>
      </c>
      <c r="D5" s="573"/>
      <c r="E5" s="544"/>
      <c r="F5" s="545"/>
      <c r="G5" s="546"/>
      <c r="H5" s="532" t="s">
        <v>182</v>
      </c>
      <c r="I5" s="544"/>
      <c r="J5" s="545"/>
      <c r="K5" s="782">
        <f>(3500000/2.3)-60000</f>
        <v>1461739.13</v>
      </c>
      <c r="L5" s="532"/>
      <c r="M5" s="544"/>
      <c r="N5" s="544"/>
      <c r="O5" s="546"/>
      <c r="P5" s="532"/>
      <c r="Q5" s="547"/>
      <c r="R5" s="548"/>
      <c r="S5" s="546"/>
      <c r="T5" s="533"/>
      <c r="U5" s="533"/>
      <c r="V5" s="533"/>
      <c r="W5" s="593"/>
      <c r="X5" s="533"/>
      <c r="Y5" s="547"/>
      <c r="Z5" s="548"/>
      <c r="AA5" s="546"/>
    </row>
    <row r="6" spans="1:63" s="73" customFormat="1" ht="33.75" x14ac:dyDescent="0.2">
      <c r="A6" s="1027"/>
      <c r="B6" s="577" t="s">
        <v>140</v>
      </c>
      <c r="C6" s="1000"/>
      <c r="D6" s="532" t="s">
        <v>185</v>
      </c>
      <c r="E6" s="544"/>
      <c r="F6" s="545"/>
      <c r="G6" s="582">
        <f>100000/2.3</f>
        <v>43478.26</v>
      </c>
      <c r="H6" s="532"/>
      <c r="I6" s="544"/>
      <c r="J6" s="545"/>
      <c r="K6" s="782"/>
      <c r="L6" s="532"/>
      <c r="M6" s="544"/>
      <c r="N6" s="544"/>
      <c r="O6" s="546"/>
      <c r="P6" s="532"/>
      <c r="Q6" s="547"/>
      <c r="R6" s="548"/>
      <c r="S6" s="546"/>
      <c r="T6" s="533"/>
      <c r="U6" s="533"/>
      <c r="V6" s="533"/>
      <c r="W6" s="593"/>
      <c r="X6" s="533"/>
      <c r="Y6" s="547"/>
      <c r="Z6" s="548"/>
      <c r="AA6" s="546"/>
    </row>
    <row r="7" spans="1:63" s="73" customFormat="1" ht="22.5" x14ac:dyDescent="0.2">
      <c r="A7" s="1027"/>
      <c r="B7" s="577" t="s">
        <v>141</v>
      </c>
      <c r="C7" s="1000"/>
      <c r="D7" s="573"/>
      <c r="E7" s="544"/>
      <c r="F7" s="545"/>
      <c r="G7" s="546"/>
      <c r="H7" s="532"/>
      <c r="I7" s="544"/>
      <c r="J7" s="545"/>
      <c r="K7" s="783"/>
      <c r="L7" s="532"/>
      <c r="M7" s="544"/>
      <c r="N7" s="544"/>
      <c r="O7" s="546"/>
      <c r="P7" s="533" t="s">
        <v>186</v>
      </c>
      <c r="Q7" s="547"/>
      <c r="R7" s="548"/>
      <c r="S7" s="582">
        <f>500000/2.3</f>
        <v>217391.3</v>
      </c>
      <c r="T7" s="533"/>
      <c r="U7" s="533"/>
      <c r="V7" s="533"/>
      <c r="W7" s="593"/>
      <c r="X7" s="533"/>
      <c r="Y7" s="547"/>
      <c r="Z7" s="548"/>
      <c r="AA7" s="582"/>
    </row>
    <row r="8" spans="1:63" s="73" customFormat="1" x14ac:dyDescent="0.2">
      <c r="A8" s="1027"/>
      <c r="B8" s="577" t="s">
        <v>142</v>
      </c>
      <c r="C8" s="1000"/>
      <c r="D8" s="573"/>
      <c r="E8" s="544"/>
      <c r="F8" s="545"/>
      <c r="G8" s="546"/>
      <c r="H8" s="532"/>
      <c r="I8" s="544"/>
      <c r="J8" s="545"/>
      <c r="K8" s="783"/>
      <c r="L8" s="532" t="s">
        <v>187</v>
      </c>
      <c r="M8" s="544"/>
      <c r="N8" s="544"/>
      <c r="O8" s="582">
        <f>500000/2.3</f>
        <v>217391.3</v>
      </c>
      <c r="P8" s="532"/>
      <c r="Q8" s="547"/>
      <c r="R8" s="548"/>
      <c r="S8" s="546"/>
      <c r="T8" s="533"/>
      <c r="U8" s="533"/>
      <c r="V8" s="533"/>
      <c r="W8" s="593"/>
      <c r="X8" s="533"/>
      <c r="Y8" s="547"/>
      <c r="Z8" s="548"/>
      <c r="AA8" s="546"/>
    </row>
    <row r="9" spans="1:63" s="73" customFormat="1" x14ac:dyDescent="0.2">
      <c r="A9" s="1027"/>
      <c r="B9" s="577" t="s">
        <v>143</v>
      </c>
      <c r="C9" s="1000"/>
      <c r="D9" s="573"/>
      <c r="E9" s="544"/>
      <c r="F9" s="545"/>
      <c r="G9" s="546"/>
      <c r="H9" s="532"/>
      <c r="I9" s="544"/>
      <c r="J9" s="545"/>
      <c r="K9" s="783"/>
      <c r="L9" s="532" t="s">
        <v>189</v>
      </c>
      <c r="M9" s="544"/>
      <c r="N9" s="544"/>
      <c r="O9" s="582">
        <f>50000/2.3</f>
        <v>21739.13</v>
      </c>
      <c r="P9" s="532"/>
      <c r="Q9" s="547"/>
      <c r="R9" s="548"/>
      <c r="S9" s="546"/>
      <c r="T9" s="533"/>
      <c r="U9" s="533"/>
      <c r="V9" s="533"/>
      <c r="W9" s="593"/>
      <c r="X9" s="533"/>
      <c r="Y9" s="547"/>
      <c r="Z9" s="548"/>
      <c r="AA9" s="546"/>
    </row>
    <row r="10" spans="1:63" s="73" customFormat="1" x14ac:dyDescent="0.2">
      <c r="A10" s="1027"/>
      <c r="B10" s="577" t="s">
        <v>144</v>
      </c>
      <c r="C10" s="1000"/>
      <c r="D10" s="573"/>
      <c r="E10" s="544"/>
      <c r="F10" s="545"/>
      <c r="G10" s="546"/>
      <c r="H10" s="532"/>
      <c r="I10" s="544"/>
      <c r="J10" s="545"/>
      <c r="K10" s="783"/>
      <c r="L10" s="532" t="s">
        <v>190</v>
      </c>
      <c r="M10" s="544"/>
      <c r="N10" s="544"/>
      <c r="O10" s="582">
        <f>50000/2.3</f>
        <v>21739.13</v>
      </c>
      <c r="P10" s="532"/>
      <c r="Q10" s="547"/>
      <c r="R10" s="548"/>
      <c r="S10" s="546"/>
      <c r="T10" s="533"/>
      <c r="U10" s="533"/>
      <c r="V10" s="533"/>
      <c r="W10" s="593"/>
      <c r="X10" s="533"/>
      <c r="Y10" s="547"/>
      <c r="Z10" s="548"/>
      <c r="AA10" s="546"/>
    </row>
    <row r="11" spans="1:63" s="73" customFormat="1" x14ac:dyDescent="0.2">
      <c r="A11" s="1027"/>
      <c r="B11" s="577" t="s">
        <v>145</v>
      </c>
      <c r="C11" s="1000"/>
      <c r="D11" s="573"/>
      <c r="E11" s="544"/>
      <c r="F11" s="545"/>
      <c r="G11" s="546"/>
      <c r="H11" s="532"/>
      <c r="I11" s="544"/>
      <c r="J11" s="545"/>
      <c r="K11" s="783"/>
      <c r="L11" s="532"/>
      <c r="M11" s="544"/>
      <c r="N11" s="544"/>
      <c r="O11" s="546"/>
      <c r="P11" s="532"/>
      <c r="Q11" s="547"/>
      <c r="R11" s="548"/>
      <c r="S11" s="546"/>
      <c r="T11" s="533" t="s">
        <v>191</v>
      </c>
      <c r="U11" s="533"/>
      <c r="V11" s="533"/>
      <c r="W11" s="598">
        <f>25000/2.3</f>
        <v>10869.57</v>
      </c>
      <c r="X11" s="533"/>
      <c r="Y11" s="547"/>
      <c r="Z11" s="548"/>
      <c r="AA11" s="546"/>
    </row>
    <row r="12" spans="1:63" s="73" customFormat="1" ht="22.5" x14ac:dyDescent="0.2">
      <c r="A12" s="1027"/>
      <c r="B12" s="578" t="s">
        <v>146</v>
      </c>
      <c r="C12" s="1000"/>
      <c r="D12" s="574"/>
      <c r="E12" s="566"/>
      <c r="F12" s="567"/>
      <c r="G12" s="568"/>
      <c r="H12" s="565"/>
      <c r="I12" s="566"/>
      <c r="J12" s="567"/>
      <c r="K12" s="784"/>
      <c r="L12" s="565"/>
      <c r="M12" s="566"/>
      <c r="N12" s="566"/>
      <c r="O12" s="568"/>
      <c r="P12" s="565" t="s">
        <v>192</v>
      </c>
      <c r="Q12" s="569"/>
      <c r="R12" s="570"/>
      <c r="S12" s="600">
        <f>50000/2.3</f>
        <v>21739.13</v>
      </c>
      <c r="T12" s="571"/>
      <c r="U12" s="571"/>
      <c r="V12" s="571"/>
      <c r="W12" s="594"/>
      <c r="X12" s="571"/>
      <c r="Y12" s="569"/>
      <c r="Z12" s="570"/>
      <c r="AA12" s="568"/>
    </row>
    <row r="13" spans="1:63" s="73" customFormat="1" ht="22.5" x14ac:dyDescent="0.2">
      <c r="A13" s="1028"/>
      <c r="B13" s="578" t="s">
        <v>55</v>
      </c>
      <c r="C13" s="1000"/>
      <c r="D13" s="574"/>
      <c r="E13" s="566"/>
      <c r="F13" s="567"/>
      <c r="G13" s="568"/>
      <c r="H13" s="565" t="s">
        <v>56</v>
      </c>
      <c r="I13" s="566"/>
      <c r="J13" s="567"/>
      <c r="K13" s="791">
        <v>60000</v>
      </c>
      <c r="L13" s="565"/>
      <c r="M13" s="566"/>
      <c r="N13" s="566"/>
      <c r="O13" s="568"/>
      <c r="P13" s="565"/>
      <c r="Q13" s="569"/>
      <c r="R13" s="570"/>
      <c r="S13" s="568"/>
      <c r="T13" s="571"/>
      <c r="U13" s="571"/>
      <c r="V13" s="571"/>
      <c r="W13" s="594"/>
      <c r="X13" s="571"/>
      <c r="Y13" s="569"/>
      <c r="Z13" s="570"/>
      <c r="AA13" s="568"/>
    </row>
    <row r="14" spans="1:63" s="73" customFormat="1" x14ac:dyDescent="0.2">
      <c r="A14" s="584">
        <f>SUM(G14+K14+O14+S14+W14+AA14)</f>
        <v>2076086.95</v>
      </c>
      <c r="B14" s="604"/>
      <c r="C14" s="1030"/>
      <c r="D14" s="575"/>
      <c r="E14" s="560"/>
      <c r="F14" s="561"/>
      <c r="G14" s="583">
        <f>SUM(G5:G13)</f>
        <v>43478.26</v>
      </c>
      <c r="H14" s="559"/>
      <c r="I14" s="560"/>
      <c r="J14" s="561"/>
      <c r="K14" s="586">
        <f>SUM(K5:K13)</f>
        <v>1521739.13</v>
      </c>
      <c r="L14" s="559"/>
      <c r="M14" s="560"/>
      <c r="N14" s="560"/>
      <c r="O14" s="586">
        <f>SUM(O5:O13)</f>
        <v>260869.56</v>
      </c>
      <c r="P14" s="559"/>
      <c r="Q14" s="562"/>
      <c r="R14" s="563"/>
      <c r="S14" s="586">
        <f>SUM(S5:S13)</f>
        <v>239130.43</v>
      </c>
      <c r="T14" s="564"/>
      <c r="U14" s="564"/>
      <c r="V14" s="564"/>
      <c r="W14" s="599">
        <f>SUM(W5:W13)</f>
        <v>10869.57</v>
      </c>
      <c r="X14" s="564"/>
      <c r="Y14" s="562"/>
      <c r="Z14" s="563"/>
      <c r="AA14" s="676">
        <f>SUM(AA5:AA13)</f>
        <v>0</v>
      </c>
    </row>
    <row r="15" spans="1:63" s="73" customFormat="1" ht="33.75" x14ac:dyDescent="0.2">
      <c r="A15" s="1035" t="s">
        <v>62</v>
      </c>
      <c r="B15" s="607" t="s">
        <v>32</v>
      </c>
      <c r="C15" s="1037" t="s">
        <v>183</v>
      </c>
      <c r="D15" s="580"/>
      <c r="E15" s="554"/>
      <c r="F15" s="555"/>
      <c r="G15" s="556">
        <v>0</v>
      </c>
      <c r="H15" s="553" t="s">
        <v>33</v>
      </c>
      <c r="I15" s="554"/>
      <c r="J15" s="555"/>
      <c r="K15" s="785">
        <v>300000</v>
      </c>
      <c r="L15" s="553"/>
      <c r="M15" s="554"/>
      <c r="N15" s="554"/>
      <c r="O15" s="556"/>
      <c r="P15" s="553"/>
      <c r="Q15" s="557"/>
      <c r="R15" s="558"/>
      <c r="S15" s="556"/>
      <c r="T15" s="552"/>
      <c r="U15" s="552"/>
      <c r="V15" s="552"/>
      <c r="W15" s="595"/>
      <c r="X15" s="552"/>
      <c r="Y15" s="557"/>
      <c r="Z15" s="558"/>
      <c r="AA15" s="556"/>
    </row>
    <row r="16" spans="1:63" s="73" customFormat="1" x14ac:dyDescent="0.2">
      <c r="A16" s="1036"/>
      <c r="B16" s="572" t="s">
        <v>63</v>
      </c>
      <c r="C16" s="1004"/>
      <c r="D16" s="573"/>
      <c r="E16" s="544"/>
      <c r="F16" s="545"/>
      <c r="G16" s="546">
        <v>0</v>
      </c>
      <c r="H16" s="539"/>
      <c r="I16" s="544"/>
      <c r="J16" s="549"/>
      <c r="K16" s="782"/>
      <c r="L16" s="532"/>
      <c r="M16" s="544"/>
      <c r="N16" s="544"/>
      <c r="O16" s="546"/>
      <c r="P16" s="540" t="s">
        <v>66</v>
      </c>
      <c r="Q16" s="547"/>
      <c r="R16" s="550"/>
      <c r="S16" s="582">
        <v>27000</v>
      </c>
      <c r="T16" s="532"/>
      <c r="U16" s="532"/>
      <c r="V16" s="532"/>
      <c r="W16" s="596"/>
      <c r="X16" s="532"/>
      <c r="Y16" s="547"/>
      <c r="Z16" s="548"/>
      <c r="AA16" s="546">
        <v>0</v>
      </c>
    </row>
    <row r="17" spans="1:27" s="73" customFormat="1" ht="22.5" x14ac:dyDescent="0.2">
      <c r="A17" s="1036"/>
      <c r="B17" s="572" t="s">
        <v>64</v>
      </c>
      <c r="C17" s="1004"/>
      <c r="D17" s="573"/>
      <c r="E17" s="544"/>
      <c r="F17" s="545"/>
      <c r="G17" s="546"/>
      <c r="H17" s="532" t="s">
        <v>14</v>
      </c>
      <c r="I17" s="544"/>
      <c r="J17" s="549"/>
      <c r="K17" s="780">
        <v>350000</v>
      </c>
      <c r="L17" s="532"/>
      <c r="M17" s="544"/>
      <c r="N17" s="544"/>
      <c r="O17" s="781"/>
      <c r="P17" s="540"/>
      <c r="Q17" s="547"/>
      <c r="R17" s="550"/>
      <c r="S17" s="551"/>
      <c r="T17" s="532"/>
      <c r="U17" s="532"/>
      <c r="V17" s="532"/>
      <c r="W17" s="596"/>
      <c r="X17" s="532"/>
      <c r="Y17" s="547"/>
      <c r="Z17" s="548"/>
      <c r="AA17" s="546"/>
    </row>
    <row r="18" spans="1:27" s="73" customFormat="1" ht="33.75" x14ac:dyDescent="0.2">
      <c r="A18" s="1036"/>
      <c r="B18" s="572" t="s">
        <v>65</v>
      </c>
      <c r="C18" s="1004"/>
      <c r="D18" s="573"/>
      <c r="E18" s="544"/>
      <c r="F18" s="545"/>
      <c r="G18" s="546"/>
      <c r="H18" s="539"/>
      <c r="I18" s="544"/>
      <c r="J18" s="549"/>
      <c r="K18" s="782"/>
      <c r="L18" s="532" t="s">
        <v>15</v>
      </c>
      <c r="M18" s="544"/>
      <c r="N18" s="544"/>
      <c r="O18" s="582">
        <v>100000</v>
      </c>
      <c r="P18" s="540"/>
      <c r="Q18" s="547"/>
      <c r="R18" s="550"/>
      <c r="S18" s="551"/>
      <c r="T18" s="532"/>
      <c r="U18" s="532"/>
      <c r="V18" s="532"/>
      <c r="W18" s="596"/>
      <c r="X18" s="532"/>
      <c r="Y18" s="547"/>
      <c r="Z18" s="548"/>
      <c r="AA18" s="546"/>
    </row>
    <row r="19" spans="1:27" s="73" customFormat="1" x14ac:dyDescent="0.2">
      <c r="A19" s="1036"/>
      <c r="B19" s="572" t="s">
        <v>16</v>
      </c>
      <c r="C19" s="1004"/>
      <c r="D19" s="573"/>
      <c r="E19" s="544"/>
      <c r="F19" s="545"/>
      <c r="G19" s="546"/>
      <c r="H19" s="539" t="s">
        <v>24</v>
      </c>
      <c r="I19" s="544"/>
      <c r="J19" s="549"/>
      <c r="K19" s="782">
        <f>220000</f>
        <v>220000</v>
      </c>
      <c r="L19" s="532"/>
      <c r="M19" s="544"/>
      <c r="N19" s="544"/>
      <c r="O19" s="546"/>
      <c r="P19" s="540"/>
      <c r="Q19" s="547"/>
      <c r="R19" s="550"/>
      <c r="S19" s="551"/>
      <c r="T19" s="532"/>
      <c r="U19" s="532"/>
      <c r="V19" s="532"/>
      <c r="W19" s="596"/>
      <c r="X19" s="532"/>
      <c r="Y19" s="547"/>
      <c r="Z19" s="548"/>
      <c r="AA19" s="546"/>
    </row>
    <row r="20" spans="1:27" s="73" customFormat="1" ht="33.75" x14ac:dyDescent="0.2">
      <c r="A20" s="1036"/>
      <c r="B20" s="572" t="s">
        <v>17</v>
      </c>
      <c r="C20" s="1004"/>
      <c r="D20" s="573"/>
      <c r="E20" s="544"/>
      <c r="F20" s="545"/>
      <c r="G20" s="546"/>
      <c r="H20" s="539" t="s">
        <v>25</v>
      </c>
      <c r="I20" s="544"/>
      <c r="J20" s="549"/>
      <c r="K20" s="782">
        <v>246913.04</v>
      </c>
      <c r="L20" s="532"/>
      <c r="M20" s="544"/>
      <c r="N20" s="544"/>
      <c r="O20" s="546"/>
      <c r="P20" s="540"/>
      <c r="Q20" s="547"/>
      <c r="R20" s="550"/>
      <c r="S20" s="551"/>
      <c r="T20" s="532"/>
      <c r="U20" s="532"/>
      <c r="V20" s="532"/>
      <c r="W20" s="596"/>
      <c r="X20" s="532"/>
      <c r="Y20" s="547"/>
      <c r="Z20" s="548"/>
      <c r="AA20" s="546"/>
    </row>
    <row r="21" spans="1:27" s="73" customFormat="1" ht="22.5" x14ac:dyDescent="0.2">
      <c r="A21" s="1036"/>
      <c r="B21" s="572" t="s">
        <v>18</v>
      </c>
      <c r="C21" s="1004"/>
      <c r="D21" s="573"/>
      <c r="E21" s="544"/>
      <c r="F21" s="545"/>
      <c r="G21" s="546"/>
      <c r="H21" s="539" t="s">
        <v>23</v>
      </c>
      <c r="I21" s="544"/>
      <c r="J21" s="549"/>
      <c r="K21" s="782">
        <v>54000</v>
      </c>
      <c r="L21" s="532"/>
      <c r="M21" s="544"/>
      <c r="N21" s="544"/>
      <c r="O21" s="546"/>
      <c r="P21" s="540"/>
      <c r="Q21" s="547"/>
      <c r="R21" s="550"/>
      <c r="S21" s="551"/>
      <c r="T21" s="532"/>
      <c r="U21" s="532"/>
      <c r="V21" s="532"/>
      <c r="W21" s="596"/>
      <c r="X21" s="532"/>
      <c r="Y21" s="547"/>
      <c r="Z21" s="548"/>
      <c r="AA21" s="546"/>
    </row>
    <row r="22" spans="1:27" s="73" customFormat="1" ht="22.5" x14ac:dyDescent="0.2">
      <c r="A22" s="1036"/>
      <c r="B22" s="572" t="s">
        <v>21</v>
      </c>
      <c r="C22" s="1004"/>
      <c r="D22" s="573"/>
      <c r="E22" s="544"/>
      <c r="F22" s="545"/>
      <c r="G22" s="546"/>
      <c r="H22" s="539" t="s">
        <v>22</v>
      </c>
      <c r="I22" s="544"/>
      <c r="J22" s="549"/>
      <c r="K22" s="782">
        <v>5000</v>
      </c>
      <c r="L22" s="532"/>
      <c r="M22" s="544"/>
      <c r="N22" s="544"/>
      <c r="O22" s="546"/>
      <c r="P22" s="540"/>
      <c r="Q22" s="547"/>
      <c r="R22" s="550"/>
      <c r="S22" s="551"/>
      <c r="T22" s="532"/>
      <c r="U22" s="532"/>
      <c r="V22" s="532"/>
      <c r="W22" s="596"/>
      <c r="X22" s="532"/>
      <c r="Y22" s="547"/>
      <c r="Z22" s="548"/>
      <c r="AA22" s="546"/>
    </row>
    <row r="23" spans="1:27" s="73" customFormat="1" ht="22.5" x14ac:dyDescent="0.2">
      <c r="A23" s="1036"/>
      <c r="B23" s="572" t="s">
        <v>19</v>
      </c>
      <c r="C23" s="1004"/>
      <c r="D23" s="573"/>
      <c r="E23" s="544"/>
      <c r="F23" s="545"/>
      <c r="G23" s="546"/>
      <c r="H23" s="532" t="s">
        <v>20</v>
      </c>
      <c r="I23" s="544"/>
      <c r="J23" s="545"/>
      <c r="K23" s="782">
        <v>21000</v>
      </c>
      <c r="L23" s="532"/>
      <c r="M23" s="544"/>
      <c r="N23" s="544"/>
      <c r="O23" s="546"/>
      <c r="P23" s="533"/>
      <c r="Q23" s="547"/>
      <c r="R23" s="548"/>
      <c r="S23" s="551"/>
      <c r="T23" s="532"/>
      <c r="U23" s="532"/>
      <c r="V23" s="532"/>
      <c r="W23" s="596"/>
      <c r="X23" s="532"/>
      <c r="Y23" s="547"/>
      <c r="Z23" s="548"/>
      <c r="AA23" s="546"/>
    </row>
    <row r="24" spans="1:27" s="73" customFormat="1" ht="13.5" thickBot="1" x14ac:dyDescent="0.25">
      <c r="A24" s="603">
        <f>SUM(G24+K24+O24+S24+AA24)</f>
        <v>1323913.04</v>
      </c>
      <c r="B24" s="606"/>
      <c r="C24" s="1038"/>
      <c r="D24" s="581"/>
      <c r="E24" s="541"/>
      <c r="F24" s="541"/>
      <c r="G24" s="542">
        <f>SUM(G15:G23)</f>
        <v>0</v>
      </c>
      <c r="H24" s="541"/>
      <c r="I24" s="541"/>
      <c r="J24" s="541"/>
      <c r="K24" s="587">
        <f>SUM(K15:K23)</f>
        <v>1196913.04</v>
      </c>
      <c r="L24" s="541" t="s">
        <v>262</v>
      </c>
      <c r="M24" s="541">
        <f>SUM(M15:M23)</f>
        <v>0</v>
      </c>
      <c r="N24" s="541">
        <f>SUM(N15:N23)</f>
        <v>0</v>
      </c>
      <c r="O24" s="587">
        <f>SUM(O15:O23)</f>
        <v>100000</v>
      </c>
      <c r="P24" s="541"/>
      <c r="Q24" s="541"/>
      <c r="R24" s="541"/>
      <c r="S24" s="587">
        <f>SUM(S15:S23)</f>
        <v>27000</v>
      </c>
      <c r="T24" s="541"/>
      <c r="U24" s="541"/>
      <c r="V24" s="541"/>
      <c r="W24" s="597">
        <f>SUM(W15:W23)</f>
        <v>0</v>
      </c>
      <c r="X24" s="541"/>
      <c r="Y24" s="541"/>
      <c r="Z24" s="541"/>
      <c r="AA24" s="543">
        <f>SUM(AA15:AA23)</f>
        <v>0</v>
      </c>
    </row>
    <row r="25" spans="1:27" ht="13.5" thickBot="1" x14ac:dyDescent="0.25">
      <c r="A25" s="601" t="s">
        <v>317</v>
      </c>
      <c r="B25" s="605">
        <f>SUM(G25+K25+O25+S25+W25+AA25)</f>
        <v>3400000</v>
      </c>
      <c r="C25" s="534"/>
      <c r="D25" s="535"/>
      <c r="E25" s="536"/>
      <c r="F25" s="537"/>
      <c r="G25" s="677">
        <f>SUM(G14+G24)</f>
        <v>43478.26</v>
      </c>
      <c r="H25" s="538"/>
      <c r="I25" s="536"/>
      <c r="J25" s="537"/>
      <c r="K25" s="585">
        <f>SUM(K14+K24)</f>
        <v>2718652.17</v>
      </c>
      <c r="L25" s="538"/>
      <c r="M25" s="536"/>
      <c r="N25" s="537"/>
      <c r="O25" s="585">
        <f>SUM(O14+O24)</f>
        <v>360869.56</v>
      </c>
      <c r="P25" s="538"/>
      <c r="Q25" s="536"/>
      <c r="R25" s="537"/>
      <c r="S25" s="585">
        <f>SUM(S14+S24)</f>
        <v>266130.43</v>
      </c>
      <c r="T25" s="588"/>
      <c r="U25" s="588"/>
      <c r="V25" s="588"/>
      <c r="W25" s="588">
        <f>SUM(W14+W24)</f>
        <v>10869.57</v>
      </c>
      <c r="X25" s="538"/>
      <c r="Y25" s="536"/>
      <c r="Z25" s="537"/>
      <c r="AA25" s="602">
        <f>SUM(AA14+AA24)</f>
        <v>0</v>
      </c>
    </row>
    <row r="29" spans="1:27" x14ac:dyDescent="0.2">
      <c r="B29" s="171"/>
    </row>
    <row r="31" spans="1:27" x14ac:dyDescent="0.2">
      <c r="J31" s="151">
        <v>2076086.52</v>
      </c>
    </row>
    <row r="32" spans="1:27" x14ac:dyDescent="0.2">
      <c r="K32">
        <v>1215217.3899999999</v>
      </c>
    </row>
    <row r="33" spans="10:11" x14ac:dyDescent="0.2">
      <c r="J33" s="151">
        <v>1323913.04</v>
      </c>
      <c r="K33">
        <v>108695.65</v>
      </c>
    </row>
  </sheetData>
  <mergeCells count="19">
    <mergeCell ref="A5:A13"/>
    <mergeCell ref="C5:C14"/>
    <mergeCell ref="V3:W3"/>
    <mergeCell ref="T3:U3"/>
    <mergeCell ref="A15:A23"/>
    <mergeCell ref="C15:C24"/>
    <mergeCell ref="A3:A4"/>
    <mergeCell ref="B3:B4"/>
    <mergeCell ref="C3:C4"/>
    <mergeCell ref="D3:E3"/>
    <mergeCell ref="F3:G3"/>
    <mergeCell ref="H3:I3"/>
    <mergeCell ref="Z3:AA3"/>
    <mergeCell ref="J3:K3"/>
    <mergeCell ref="L3:M3"/>
    <mergeCell ref="N3:O3"/>
    <mergeCell ref="P3:Q3"/>
    <mergeCell ref="R3:S3"/>
    <mergeCell ref="X3:Y3"/>
  </mergeCells>
  <phoneticPr fontId="34" type="noConversion"/>
  <printOptions horizontalCentered="1"/>
  <pageMargins left="0.39374999999999999" right="0.39374999999999999" top="0.78749999999999998" bottom="0.59097222222222223" header="0.31527777777777777" footer="0.31527777777777777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tabColor indexed="10"/>
    <pageSetUpPr fitToPage="1"/>
  </sheetPr>
  <dimension ref="A1:R35"/>
  <sheetViews>
    <sheetView zoomScale="85" zoomScaleNormal="85" zoomScalePageLayoutView="85" workbookViewId="0">
      <selection sqref="A1:H1"/>
    </sheetView>
  </sheetViews>
  <sheetFormatPr defaultColWidth="8.85546875" defaultRowHeight="12.75" x14ac:dyDescent="0.2"/>
  <cols>
    <col min="1" max="1" width="57.7109375" style="172" customWidth="1"/>
    <col min="2" max="2" width="14.85546875" style="172" customWidth="1"/>
    <col min="3" max="3" width="14.28515625" style="172" customWidth="1"/>
    <col min="4" max="4" width="18.140625" style="172" customWidth="1"/>
    <col min="5" max="5" width="18.7109375" style="172" customWidth="1"/>
    <col min="6" max="6" width="18.42578125" style="172" customWidth="1"/>
    <col min="7" max="7" width="14.28515625" style="172" customWidth="1"/>
    <col min="8" max="8" width="11.85546875" style="173" customWidth="1"/>
    <col min="9" max="9" width="4.140625" style="172" bestFit="1" customWidth="1"/>
    <col min="10" max="10" width="11.140625" style="172" customWidth="1"/>
    <col min="11" max="16384" width="8.85546875" style="172"/>
  </cols>
  <sheetData>
    <row r="1" spans="1:18" ht="13.5" thickBot="1" x14ac:dyDescent="0.25">
      <c r="A1" s="1045" t="s">
        <v>319</v>
      </c>
      <c r="B1" s="1045"/>
      <c r="C1" s="1045"/>
      <c r="D1" s="1045"/>
      <c r="E1" s="1045"/>
      <c r="F1" s="1045"/>
      <c r="G1" s="1045"/>
      <c r="H1" s="1045"/>
      <c r="I1" s="174"/>
      <c r="J1" s="174"/>
      <c r="K1" s="174"/>
      <c r="L1" s="174"/>
      <c r="M1" s="174"/>
      <c r="N1" s="174"/>
      <c r="O1" s="174"/>
      <c r="P1" s="174"/>
      <c r="Q1" s="174"/>
      <c r="R1" s="174"/>
    </row>
    <row r="2" spans="1:18" ht="13.5" thickBot="1" x14ac:dyDescent="0.25">
      <c r="A2" s="1046" t="s">
        <v>320</v>
      </c>
      <c r="B2" s="1046"/>
      <c r="C2" s="1046"/>
      <c r="D2" s="1046"/>
      <c r="E2" s="1046"/>
      <c r="F2" s="1046"/>
      <c r="G2" s="1047" t="s">
        <v>359</v>
      </c>
      <c r="H2" s="1047"/>
      <c r="I2" s="172">
        <v>2.2999999999999998</v>
      </c>
    </row>
    <row r="3" spans="1:18" ht="39" thickBot="1" x14ac:dyDescent="0.25">
      <c r="A3" s="682" t="s">
        <v>321</v>
      </c>
      <c r="B3" s="683" t="s">
        <v>254</v>
      </c>
      <c r="C3" s="683" t="s">
        <v>255</v>
      </c>
      <c r="D3" s="683" t="s">
        <v>322</v>
      </c>
      <c r="E3" s="683" t="s">
        <v>257</v>
      </c>
      <c r="F3" s="683" t="s">
        <v>258</v>
      </c>
      <c r="G3" s="683" t="s">
        <v>317</v>
      </c>
      <c r="H3" s="684" t="s">
        <v>323</v>
      </c>
    </row>
    <row r="4" spans="1:18" ht="12.75" customHeight="1" x14ac:dyDescent="0.2">
      <c r="A4" s="1048" t="s">
        <v>294</v>
      </c>
      <c r="B4" s="1049"/>
      <c r="C4" s="1049"/>
      <c r="D4" s="1049"/>
      <c r="E4" s="1049"/>
      <c r="F4" s="1049"/>
      <c r="G4" s="1049"/>
      <c r="H4" s="1050"/>
    </row>
    <row r="5" spans="1:18" ht="38.25" x14ac:dyDescent="0.2">
      <c r="A5" s="685" t="str">
        <f>'3_Comp e Produtos'!A6</f>
        <v>COMPONENTE 1: MELHORA DA EFETIVIDADE POLICIAL PARA A PREVENÇÃO, CONTROLE E INVESTIGAÇÃO DO CRIME</v>
      </c>
      <c r="B5" s="701">
        <f t="shared" ref="B5:F6" si="0">+B22*$I$2</f>
        <v>6269172.0099999998</v>
      </c>
      <c r="C5" s="701">
        <f t="shared" si="0"/>
        <v>10581899.98</v>
      </c>
      <c r="D5" s="701">
        <f t="shared" si="0"/>
        <v>22424128.02</v>
      </c>
      <c r="E5" s="280">
        <f t="shared" si="0"/>
        <v>289800</v>
      </c>
      <c r="F5" s="701">
        <f t="shared" si="0"/>
        <v>24835000.010000002</v>
      </c>
      <c r="G5" s="272">
        <f>SUM(B5:F5)</f>
        <v>64400000</v>
      </c>
      <c r="H5" s="686">
        <f>G5/G8</f>
        <v>0.4204</v>
      </c>
    </row>
    <row r="6" spans="1:18" ht="25.5" x14ac:dyDescent="0.2">
      <c r="A6" s="685" t="str">
        <f>'3_Comp e Produtos'!A13</f>
        <v>COMPONENTE 2: PREVENÇÃO SOCIAL DA VIOLÊNCIA PARA A POPULAÇÃO JOVEM</v>
      </c>
      <c r="B6" s="701">
        <f t="shared" si="0"/>
        <v>965200.01</v>
      </c>
      <c r="C6" s="701">
        <f t="shared" si="0"/>
        <v>39162800.009999998</v>
      </c>
      <c r="D6" s="701">
        <f t="shared" si="0"/>
        <v>8340000.0099999998</v>
      </c>
      <c r="E6" s="701">
        <f t="shared" si="0"/>
        <v>1932000</v>
      </c>
      <c r="F6" s="701">
        <f t="shared" si="0"/>
        <v>14000000</v>
      </c>
      <c r="G6" s="272">
        <f t="shared" ref="G6:G7" si="1">SUM(B6:F6)</f>
        <v>64400000</v>
      </c>
      <c r="H6" s="686">
        <f>G6/G8</f>
        <v>0.4204</v>
      </c>
      <c r="I6" s="175"/>
    </row>
    <row r="7" spans="1:18" ht="25.5" x14ac:dyDescent="0.2">
      <c r="A7" s="685" t="str">
        <f>'3_Comp e Produtos'!A18</f>
        <v>COMPONENTE 3: MODERNIZAÇÃO DO PROCESSO DE RESSOCIALIZAÇÃO</v>
      </c>
      <c r="B7" s="701">
        <f>+B24*$I$2</f>
        <v>12405138.73</v>
      </c>
      <c r="C7" s="701">
        <f t="shared" ref="C7:F7" si="2">+C24*$I$2</f>
        <v>4941496.6399999997</v>
      </c>
      <c r="D7" s="701">
        <f t="shared" si="2"/>
        <v>3756092.6</v>
      </c>
      <c r="E7" s="701">
        <f t="shared" si="2"/>
        <v>2677271.9900000002</v>
      </c>
      <c r="F7" s="701">
        <f t="shared" si="2"/>
        <v>600000.01</v>
      </c>
      <c r="G7" s="272">
        <f t="shared" si="1"/>
        <v>24380000</v>
      </c>
      <c r="H7" s="687">
        <f>G7/G8</f>
        <v>0.15920000000000001</v>
      </c>
      <c r="I7" s="175"/>
    </row>
    <row r="8" spans="1:18" s="177" customFormat="1" x14ac:dyDescent="0.2">
      <c r="A8" s="688" t="s">
        <v>324</v>
      </c>
      <c r="B8" s="273">
        <f>SUM(B5:B7)</f>
        <v>19639511</v>
      </c>
      <c r="C8" s="273">
        <f t="shared" ref="C8:F8" si="3">SUM(C5:C7)</f>
        <v>54686197</v>
      </c>
      <c r="D8" s="273">
        <f t="shared" si="3"/>
        <v>34520221</v>
      </c>
      <c r="E8" s="273">
        <f t="shared" si="3"/>
        <v>4899072</v>
      </c>
      <c r="F8" s="273">
        <f t="shared" si="3"/>
        <v>39435000</v>
      </c>
      <c r="G8" s="272">
        <f>SUM(G5:G7)</f>
        <v>153180000</v>
      </c>
      <c r="H8" s="689">
        <f>SUM(H5:H7)</f>
        <v>1</v>
      </c>
      <c r="I8" s="176"/>
    </row>
    <row r="9" spans="1:18" s="279" customFormat="1" ht="13.5" thickBot="1" x14ac:dyDescent="0.25">
      <c r="A9" s="690" t="s">
        <v>325</v>
      </c>
      <c r="B9" s="277">
        <f t="shared" ref="B9:G9" si="4">B8/$G8</f>
        <v>0.12820000000000001</v>
      </c>
      <c r="C9" s="277">
        <f t="shared" si="4"/>
        <v>0.35699999999999998</v>
      </c>
      <c r="D9" s="277">
        <f t="shared" si="4"/>
        <v>0.22539999999999999</v>
      </c>
      <c r="E9" s="277">
        <f t="shared" si="4"/>
        <v>3.2000000000000001E-2</v>
      </c>
      <c r="F9" s="277">
        <f t="shared" si="4"/>
        <v>0.25740000000000002</v>
      </c>
      <c r="G9" s="277">
        <f t="shared" si="4"/>
        <v>1</v>
      </c>
      <c r="H9" s="691"/>
    </row>
    <row r="10" spans="1:18" ht="12.75" customHeight="1" x14ac:dyDescent="0.2">
      <c r="A10" s="1051" t="s">
        <v>360</v>
      </c>
      <c r="B10" s="1052"/>
      <c r="C10" s="1052"/>
      <c r="D10" s="1052"/>
      <c r="E10" s="1052"/>
      <c r="F10" s="1052"/>
      <c r="G10" s="1052"/>
      <c r="H10" s="1053"/>
      <c r="I10" s="175"/>
    </row>
    <row r="11" spans="1:18" x14ac:dyDescent="0.2">
      <c r="A11" s="685" t="s">
        <v>53</v>
      </c>
      <c r="B11" s="681">
        <f>+B28*$I$2</f>
        <v>100000</v>
      </c>
      <c r="C11" s="681">
        <f t="shared" ref="C11:F11" si="5">+C28*$I$2</f>
        <v>6252899.9900000002</v>
      </c>
      <c r="D11" s="681">
        <f t="shared" si="5"/>
        <v>829999.99</v>
      </c>
      <c r="E11" s="681">
        <f t="shared" si="5"/>
        <v>612099.99</v>
      </c>
      <c r="F11" s="681">
        <f t="shared" si="5"/>
        <v>25000.01</v>
      </c>
      <c r="G11" s="272">
        <f>SUM(B11:F11)</f>
        <v>7820000</v>
      </c>
      <c r="H11" s="692">
        <f>G11/G$13</f>
        <v>1</v>
      </c>
      <c r="I11" s="175"/>
    </row>
    <row r="12" spans="1:18" x14ac:dyDescent="0.2">
      <c r="A12" s="685" t="s">
        <v>54</v>
      </c>
      <c r="B12" s="276"/>
      <c r="C12" s="276"/>
      <c r="D12" s="276"/>
      <c r="E12" s="276"/>
      <c r="F12" s="276"/>
      <c r="G12" s="272"/>
      <c r="H12" s="692"/>
      <c r="I12" s="175"/>
    </row>
    <row r="13" spans="1:18" ht="13.5" thickBot="1" x14ac:dyDescent="0.25">
      <c r="A13" s="693" t="s">
        <v>326</v>
      </c>
      <c r="B13" s="272">
        <f>SUM(B11:B12)</f>
        <v>100000</v>
      </c>
      <c r="C13" s="272">
        <f t="shared" ref="C13:F13" si="6">SUM(C11:C12)</f>
        <v>6252900</v>
      </c>
      <c r="D13" s="272">
        <f t="shared" si="6"/>
        <v>830000</v>
      </c>
      <c r="E13" s="272">
        <f t="shared" si="6"/>
        <v>612100</v>
      </c>
      <c r="F13" s="272">
        <f t="shared" si="6"/>
        <v>25000</v>
      </c>
      <c r="G13" s="272">
        <f>SUM(G11:G12)</f>
        <v>7820000</v>
      </c>
      <c r="H13" s="694">
        <f>SUM(H11:H11)</f>
        <v>1</v>
      </c>
      <c r="I13" s="175"/>
    </row>
    <row r="14" spans="1:18" s="279" customFormat="1" ht="13.5" thickBot="1" x14ac:dyDescent="0.25">
      <c r="A14" s="690" t="s">
        <v>323</v>
      </c>
      <c r="B14" s="277">
        <f t="shared" ref="B14:G14" si="7">B13/$G13</f>
        <v>1.2800000000000001E-2</v>
      </c>
      <c r="C14" s="277">
        <f t="shared" si="7"/>
        <v>0.79959999999999998</v>
      </c>
      <c r="D14" s="277">
        <f t="shared" si="7"/>
        <v>0.1061</v>
      </c>
      <c r="E14" s="277">
        <f t="shared" si="7"/>
        <v>7.8299999999999995E-2</v>
      </c>
      <c r="F14" s="277">
        <f t="shared" si="7"/>
        <v>3.2000000000000002E-3</v>
      </c>
      <c r="G14" s="278">
        <f t="shared" si="7"/>
        <v>1</v>
      </c>
      <c r="H14" s="699">
        <f>G13/G8</f>
        <v>5.11E-2</v>
      </c>
      <c r="I14" s="700"/>
    </row>
    <row r="15" spans="1:18" s="284" customFormat="1" ht="13.5" thickBot="1" x14ac:dyDescent="0.25">
      <c r="A15" s="696" t="s">
        <v>327</v>
      </c>
      <c r="B15" s="282">
        <f t="shared" ref="B15:G15" si="8">B8+B13</f>
        <v>19739511</v>
      </c>
      <c r="C15" s="282">
        <f t="shared" si="8"/>
        <v>60939097</v>
      </c>
      <c r="D15" s="282">
        <f t="shared" si="8"/>
        <v>35350221</v>
      </c>
      <c r="E15" s="282">
        <f t="shared" si="8"/>
        <v>5511172</v>
      </c>
      <c r="F15" s="282">
        <f t="shared" si="8"/>
        <v>39460000</v>
      </c>
      <c r="G15" s="282">
        <f t="shared" si="8"/>
        <v>161000000</v>
      </c>
      <c r="H15" s="1059"/>
      <c r="I15" s="283"/>
    </row>
    <row r="16" spans="1:18" s="288" customFormat="1" ht="13.5" thickBot="1" x14ac:dyDescent="0.25">
      <c r="A16" s="697" t="s">
        <v>323</v>
      </c>
      <c r="B16" s="698">
        <f t="shared" ref="B16:G16" si="9">B15/$G15</f>
        <v>0.1226</v>
      </c>
      <c r="C16" s="698">
        <f t="shared" si="9"/>
        <v>0.3785</v>
      </c>
      <c r="D16" s="698">
        <f t="shared" si="9"/>
        <v>0.21959999999999999</v>
      </c>
      <c r="E16" s="698">
        <f t="shared" si="9"/>
        <v>3.4200000000000001E-2</v>
      </c>
      <c r="F16" s="698">
        <f t="shared" si="9"/>
        <v>0.24510000000000001</v>
      </c>
      <c r="G16" s="698">
        <f t="shared" si="9"/>
        <v>1</v>
      </c>
      <c r="H16" s="1058"/>
      <c r="I16" s="287"/>
    </row>
    <row r="17" spans="1:10" ht="13.5" thickBot="1" x14ac:dyDescent="0.25">
      <c r="F17" s="1060"/>
      <c r="G17" s="1060"/>
      <c r="H17" s="1060"/>
    </row>
    <row r="18" spans="1:10" ht="13.5" thickBot="1" x14ac:dyDescent="0.25">
      <c r="A18" s="802" t="s">
        <v>328</v>
      </c>
      <c r="B18" s="803"/>
      <c r="C18" s="803"/>
      <c r="D18" s="803"/>
      <c r="E18" s="803"/>
      <c r="F18" s="803"/>
      <c r="G18" s="804" t="s">
        <v>329</v>
      </c>
      <c r="H18" s="805">
        <f>'3_Comp e Produtos'!E1</f>
        <v>2.2999999999999998</v>
      </c>
    </row>
    <row r="19" spans="1:10" ht="13.35" customHeight="1" thickBot="1" x14ac:dyDescent="0.25">
      <c r="A19" s="1061" t="str">
        <f>A2</f>
        <v>ESTA PLANILHA NÃO DEVE SER PREENCHIDA. CONSOLIDA OS RECURSOS DOS COMPONENTES E SUBCOMPONENTES.</v>
      </c>
      <c r="B19" s="1046"/>
      <c r="C19" s="1046"/>
      <c r="D19" s="1046"/>
      <c r="E19" s="1046"/>
      <c r="F19" s="1046"/>
      <c r="G19" s="1062" t="s">
        <v>330</v>
      </c>
      <c r="H19" s="1063"/>
    </row>
    <row r="20" spans="1:10" ht="39" thickBot="1" x14ac:dyDescent="0.25">
      <c r="A20" s="806" t="s">
        <v>331</v>
      </c>
      <c r="B20" s="178" t="s">
        <v>254</v>
      </c>
      <c r="C20" s="178" t="s">
        <v>255</v>
      </c>
      <c r="D20" s="178" t="s">
        <v>322</v>
      </c>
      <c r="E20" s="178" t="s">
        <v>257</v>
      </c>
      <c r="F20" s="178" t="s">
        <v>258</v>
      </c>
      <c r="G20" s="178" t="s">
        <v>317</v>
      </c>
      <c r="H20" s="807" t="s">
        <v>323</v>
      </c>
    </row>
    <row r="21" spans="1:10" ht="12.75" customHeight="1" x14ac:dyDescent="0.2">
      <c r="A21" s="1064" t="s">
        <v>294</v>
      </c>
      <c r="B21" s="1065"/>
      <c r="C21" s="1065"/>
      <c r="D21" s="1065"/>
      <c r="E21" s="1065"/>
      <c r="F21" s="1065"/>
      <c r="G21" s="1065"/>
      <c r="H21" s="1066"/>
    </row>
    <row r="22" spans="1:10" ht="38.25" x14ac:dyDescent="0.2">
      <c r="A22" s="808" t="str">
        <f>A5</f>
        <v>COMPONENTE 1: MELHORA DA EFETIVIDADE POLICIAL PARA A PREVENÇÃO, CONTROLE E INVESTIGAÇÃO DO CRIME</v>
      </c>
      <c r="B22" s="679">
        <f>'4_Componente 1'!$G$34</f>
        <v>2725726.96</v>
      </c>
      <c r="C22" s="679">
        <f>'4_Componente 1'!$K$34</f>
        <v>4600826.08</v>
      </c>
      <c r="D22" s="679">
        <f>'4_Componente 1'!$O$34</f>
        <v>9749620.8800000008</v>
      </c>
      <c r="E22" s="285">
        <f>'4_Componente 1'!$S$34</f>
        <v>126000</v>
      </c>
      <c r="F22" s="679">
        <f>'4_Componente 1'!$W$34</f>
        <v>10797826.09</v>
      </c>
      <c r="G22" s="270">
        <f>+SUM(B22:F22)</f>
        <v>28000000</v>
      </c>
      <c r="H22" s="809">
        <f t="shared" ref="H22:H23" si="10">G22/$G$25</f>
        <v>0.4204</v>
      </c>
    </row>
    <row r="23" spans="1:10" ht="25.5" x14ac:dyDescent="0.2">
      <c r="A23" s="808" t="str">
        <f>A6</f>
        <v>COMPONENTE 2: PREVENÇÃO SOCIAL DA VIOLÊNCIA PARA A POPULAÇÃO JOVEM</v>
      </c>
      <c r="B23" s="679">
        <f>'5_Componente 2'!$G$25</f>
        <v>419652.18</v>
      </c>
      <c r="C23" s="679">
        <f>'5_Componente 2'!$K$25</f>
        <v>17027304.350000001</v>
      </c>
      <c r="D23" s="679">
        <f>'5_Componente 2'!$O$25</f>
        <v>3626086.96</v>
      </c>
      <c r="E23" s="679">
        <f>'5_Componente 2'!$S$25</f>
        <v>840000</v>
      </c>
      <c r="F23" s="679">
        <f>'5_Componente 2'!$W$25</f>
        <v>6086956.5199999996</v>
      </c>
      <c r="G23" s="270">
        <f>+SUM(B23:F23)</f>
        <v>28000000</v>
      </c>
      <c r="H23" s="809">
        <f t="shared" si="10"/>
        <v>0.4204</v>
      </c>
    </row>
    <row r="24" spans="1:10" ht="25.5" x14ac:dyDescent="0.2">
      <c r="A24" s="810" t="str">
        <f>A7</f>
        <v>COMPONENTE 3: MODERNIZAÇÃO DO PROCESSO DE RESSOCIALIZAÇÃO</v>
      </c>
      <c r="B24" s="680">
        <f>'6_Componente 3'!$G$25</f>
        <v>5393538.5800000001</v>
      </c>
      <c r="C24" s="680">
        <f>'6_Componente 3'!$K$25</f>
        <v>2148476.7999999998</v>
      </c>
      <c r="D24" s="680">
        <f>'6_Componente 3'!$O$25</f>
        <v>1633083.74</v>
      </c>
      <c r="E24" s="680">
        <f>'6_Componente 3'!$S$25</f>
        <v>1164031.3</v>
      </c>
      <c r="F24" s="680">
        <f>'6_Componente 3'!$W$25</f>
        <v>260869.57</v>
      </c>
      <c r="G24" s="270">
        <f>+SUM(B24:F24)</f>
        <v>10600000</v>
      </c>
      <c r="H24" s="809">
        <f>G24/$G$25</f>
        <v>0.15920000000000001</v>
      </c>
    </row>
    <row r="25" spans="1:10" x14ac:dyDescent="0.2">
      <c r="A25" s="811" t="s">
        <v>324</v>
      </c>
      <c r="B25" s="271">
        <f>SUM(B22:B24)</f>
        <v>8538918</v>
      </c>
      <c r="C25" s="271">
        <f t="shared" ref="C25:F25" si="11">SUM(C22:C24)</f>
        <v>23776607</v>
      </c>
      <c r="D25" s="271">
        <f t="shared" si="11"/>
        <v>15008792</v>
      </c>
      <c r="E25" s="271">
        <f t="shared" si="11"/>
        <v>2130031</v>
      </c>
      <c r="F25" s="271">
        <f t="shared" si="11"/>
        <v>17145652</v>
      </c>
      <c r="G25" s="271">
        <f>SUM(G22:G24)</f>
        <v>66600000</v>
      </c>
      <c r="H25" s="812">
        <f>G25/G$25</f>
        <v>1</v>
      </c>
    </row>
    <row r="26" spans="1:10" s="279" customFormat="1" ht="13.5" thickBot="1" x14ac:dyDescent="0.25">
      <c r="A26" s="813" t="s">
        <v>325</v>
      </c>
      <c r="B26" s="286">
        <f>B25/$G$25</f>
        <v>0.12820000000000001</v>
      </c>
      <c r="C26" s="286">
        <f>C25/$G$25</f>
        <v>0.35699999999999998</v>
      </c>
      <c r="D26" s="286">
        <f>D25/$G$25</f>
        <v>0.22539999999999999</v>
      </c>
      <c r="E26" s="286">
        <f>E25/$G$25</f>
        <v>3.2000000000000001E-2</v>
      </c>
      <c r="F26" s="286">
        <f>F25/$G$25</f>
        <v>0.25740000000000002</v>
      </c>
      <c r="G26" s="286">
        <f>G25/$G25</f>
        <v>1</v>
      </c>
      <c r="H26" s="814"/>
    </row>
    <row r="27" spans="1:10" ht="12.75" customHeight="1" x14ac:dyDescent="0.2">
      <c r="A27" s="1054" t="s">
        <v>360</v>
      </c>
      <c r="B27" s="1055"/>
      <c r="C27" s="1055"/>
      <c r="D27" s="1055"/>
      <c r="E27" s="1055"/>
      <c r="F27" s="1055"/>
      <c r="G27" s="1055"/>
      <c r="H27" s="1056"/>
    </row>
    <row r="28" spans="1:10" x14ac:dyDescent="0.2">
      <c r="A28" s="685" t="s">
        <v>53</v>
      </c>
      <c r="B28" s="681">
        <f>'7_ADM'!$G$25</f>
        <v>43478.26</v>
      </c>
      <c r="C28" s="681">
        <f>'7_ADM'!$K$25</f>
        <v>2718652.17</v>
      </c>
      <c r="D28" s="681">
        <f>'7_ADM'!$O$25</f>
        <v>360869.56</v>
      </c>
      <c r="E28" s="681">
        <f>'7_ADM'!$S$25</f>
        <v>266130.43</v>
      </c>
      <c r="F28" s="681">
        <f>'7_ADM'!$W$25</f>
        <v>10869.57</v>
      </c>
      <c r="G28" s="272">
        <f>SUM(B28:F28)</f>
        <v>3400000</v>
      </c>
      <c r="H28" s="686">
        <f>G28/G30</f>
        <v>1</v>
      </c>
    </row>
    <row r="29" spans="1:10" x14ac:dyDescent="0.2">
      <c r="A29" s="685" t="s">
        <v>54</v>
      </c>
      <c r="B29" s="276"/>
      <c r="C29" s="276"/>
      <c r="D29" s="276"/>
      <c r="E29" s="276"/>
      <c r="F29" s="276"/>
      <c r="G29" s="272"/>
      <c r="H29" s="686"/>
    </row>
    <row r="30" spans="1:10" ht="13.5" thickBot="1" x14ac:dyDescent="0.25">
      <c r="A30" s="693" t="s">
        <v>326</v>
      </c>
      <c r="B30" s="272">
        <f>SUM(B28:B28)</f>
        <v>43478</v>
      </c>
      <c r="C30" s="272">
        <f>SUM(C28:C28)</f>
        <v>2718652</v>
      </c>
      <c r="D30" s="272">
        <f>SUM(D28:D28)</f>
        <v>360870</v>
      </c>
      <c r="E30" s="272">
        <f>SUM(E28:E28)</f>
        <v>266130</v>
      </c>
      <c r="F30" s="272">
        <f>SUM(F28:F29)</f>
        <v>10870</v>
      </c>
      <c r="G30" s="272">
        <f>SUM(G28:G29)</f>
        <v>3400000</v>
      </c>
      <c r="H30" s="691">
        <f>SUM(H28:H28)</f>
        <v>1</v>
      </c>
      <c r="I30" s="179"/>
      <c r="J30" s="180"/>
    </row>
    <row r="31" spans="1:10" s="279" customFormat="1" ht="13.5" thickBot="1" x14ac:dyDescent="0.25">
      <c r="A31" s="690" t="s">
        <v>323</v>
      </c>
      <c r="B31" s="277">
        <f>B30/$G$30</f>
        <v>1.2800000000000001E-2</v>
      </c>
      <c r="C31" s="277">
        <f t="shared" ref="C31:F31" si="12">C30/$G$30</f>
        <v>0.79959999999999998</v>
      </c>
      <c r="D31" s="277">
        <f t="shared" si="12"/>
        <v>0.1061</v>
      </c>
      <c r="E31" s="277">
        <f t="shared" si="12"/>
        <v>7.8299999999999995E-2</v>
      </c>
      <c r="F31" s="277">
        <f t="shared" si="12"/>
        <v>3.2000000000000002E-3</v>
      </c>
      <c r="G31" s="278">
        <f>G30/$G30</f>
        <v>1</v>
      </c>
      <c r="H31" s="695">
        <f>G30/G25</f>
        <v>5.11E-2</v>
      </c>
      <c r="I31" s="281"/>
      <c r="J31" s="281"/>
    </row>
    <row r="32" spans="1:10" s="279" customFormat="1" ht="13.5" thickBot="1" x14ac:dyDescent="0.25">
      <c r="A32" s="696" t="s">
        <v>327</v>
      </c>
      <c r="B32" s="282">
        <f>B25+B30</f>
        <v>8582396</v>
      </c>
      <c r="C32" s="282">
        <f t="shared" ref="C32:F32" si="13">C25+C30</f>
        <v>26495259</v>
      </c>
      <c r="D32" s="282">
        <f t="shared" si="13"/>
        <v>15369662</v>
      </c>
      <c r="E32" s="282">
        <f t="shared" si="13"/>
        <v>2396161</v>
      </c>
      <c r="F32" s="282">
        <f t="shared" si="13"/>
        <v>17156522</v>
      </c>
      <c r="G32" s="282">
        <f>G25+G30</f>
        <v>70000000</v>
      </c>
      <c r="H32" s="1057"/>
      <c r="I32" s="281"/>
      <c r="J32" s="281"/>
    </row>
    <row r="33" spans="1:10" s="279" customFormat="1" ht="13.5" thickBot="1" x14ac:dyDescent="0.25">
      <c r="A33" s="697" t="s">
        <v>323</v>
      </c>
      <c r="B33" s="698">
        <f>B32/$G$32</f>
        <v>0.1226</v>
      </c>
      <c r="C33" s="698">
        <f t="shared" ref="C33:F33" si="14">C32/$G$32</f>
        <v>0.3785</v>
      </c>
      <c r="D33" s="698">
        <f t="shared" si="14"/>
        <v>0.21959999999999999</v>
      </c>
      <c r="E33" s="698">
        <f t="shared" si="14"/>
        <v>3.4200000000000001E-2</v>
      </c>
      <c r="F33" s="698">
        <f t="shared" si="14"/>
        <v>0.24510000000000001</v>
      </c>
      <c r="G33" s="698">
        <f>G32/$G32</f>
        <v>1</v>
      </c>
      <c r="H33" s="1058"/>
      <c r="J33" s="281"/>
    </row>
    <row r="34" spans="1:10" x14ac:dyDescent="0.2">
      <c r="I34" s="179"/>
    </row>
    <row r="35" spans="1:10" x14ac:dyDescent="0.2">
      <c r="G35" s="179"/>
    </row>
  </sheetData>
  <mergeCells count="12">
    <mergeCell ref="A27:H27"/>
    <mergeCell ref="H32:H33"/>
    <mergeCell ref="H15:H16"/>
    <mergeCell ref="F17:H17"/>
    <mergeCell ref="A19:F19"/>
    <mergeCell ref="G19:H19"/>
    <mergeCell ref="A21:H21"/>
    <mergeCell ref="A1:H1"/>
    <mergeCell ref="A2:F2"/>
    <mergeCell ref="G2:H2"/>
    <mergeCell ref="A4:H4"/>
    <mergeCell ref="A10:H10"/>
  </mergeCells>
  <phoneticPr fontId="34" type="noConversion"/>
  <conditionalFormatting sqref="G9 G26">
    <cfRule type="cellIs" dxfId="3" priority="1" stopIfTrue="1" operator="between">
      <formula>0</formula>
      <formula>0.1</formula>
    </cfRule>
  </conditionalFormatting>
  <conditionalFormatting sqref="H14 H31">
    <cfRule type="cellIs" dxfId="2" priority="2" stopIfTrue="1" operator="greaterThan">
      <formula>0.05</formula>
    </cfRule>
  </conditionalFormatting>
  <printOptions horizontalCentered="1"/>
  <pageMargins left="0.39374999999999999" right="0.39374999999999999" top="0.59097222222222223" bottom="0.59097222222222223" header="0.31527777777777777" footer="0.31527777777777777"/>
  <headerFooter alignWithMargins="0">
    <oddHeader>&amp;LBID Modernização da AGU&amp;CPLANO DE AÇÃO E DE INVESTIMENTOS - PAI</oddHeader>
    <oddFooter>&amp;L&amp;D&amp;C&amp;A&amp;R&amp;P / &amp;N</oddFooter>
  </headerFooter>
  <rowBreaks count="2" manualBreakCount="2">
    <brk id="16" max="16383" man="1"/>
    <brk id="17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BC39"/>
  <sheetViews>
    <sheetView showGridLines="0" zoomScale="70" zoomScaleNormal="70" workbookViewId="0">
      <pane xSplit="1" topLeftCell="B1" activePane="topRight" state="frozen"/>
      <selection pane="topRight"/>
    </sheetView>
  </sheetViews>
  <sheetFormatPr defaultColWidth="8.85546875" defaultRowHeight="12.75" x14ac:dyDescent="0.2"/>
  <cols>
    <col min="1" max="1" width="74.42578125" customWidth="1"/>
    <col min="3" max="3" width="10.85546875" customWidth="1"/>
    <col min="4" max="4" width="10.7109375" style="19" customWidth="1"/>
    <col min="5" max="24" width="2.7109375" customWidth="1"/>
    <col min="25" max="25" width="17.7109375" customWidth="1"/>
    <col min="26" max="30" width="0" hidden="1" customWidth="1"/>
    <col min="31" max="32" width="16" customWidth="1"/>
    <col min="33" max="34" width="16.42578125" customWidth="1"/>
    <col min="35" max="35" width="16.85546875" customWidth="1"/>
    <col min="36" max="39" width="16.42578125" customWidth="1"/>
    <col min="40" max="40" width="16.85546875" customWidth="1"/>
    <col min="41" max="43" width="16.42578125" customWidth="1"/>
    <col min="44" max="44" width="16" customWidth="1"/>
    <col min="45" max="45" width="19.42578125" customWidth="1"/>
    <col min="46" max="46" width="16.42578125" customWidth="1"/>
    <col min="47" max="47" width="16.85546875" customWidth="1"/>
    <col min="48" max="49" width="16.42578125" customWidth="1"/>
    <col min="50" max="50" width="19.42578125" customWidth="1"/>
    <col min="51" max="51" width="16.42578125" customWidth="1"/>
    <col min="52" max="52" width="16.85546875" customWidth="1"/>
    <col min="53" max="54" width="16.42578125" customWidth="1"/>
    <col min="55" max="55" width="18.42578125" customWidth="1"/>
  </cols>
  <sheetData>
    <row r="1" spans="1:55" ht="28.5" customHeight="1" thickBot="1" x14ac:dyDescent="0.25">
      <c r="A1" s="181" t="s">
        <v>332</v>
      </c>
      <c r="B1" s="182"/>
      <c r="C1" s="182"/>
      <c r="D1" s="182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4"/>
      <c r="U1" s="183"/>
      <c r="V1" s="183"/>
      <c r="W1" s="183"/>
      <c r="X1" s="184"/>
      <c r="Y1" s="185"/>
      <c r="Z1" s="182"/>
      <c r="AA1" s="182"/>
      <c r="AB1" s="182"/>
      <c r="AC1" s="182"/>
      <c r="AD1" s="182"/>
      <c r="AE1" s="183"/>
      <c r="AF1" s="183"/>
      <c r="AG1" s="183"/>
      <c r="AH1" s="183"/>
      <c r="AI1" s="183"/>
      <c r="AJ1" s="890"/>
      <c r="AK1" s="891"/>
      <c r="AL1" s="891"/>
      <c r="AM1" s="891"/>
      <c r="AN1" s="892"/>
      <c r="AO1" s="183"/>
      <c r="AP1" s="183"/>
      <c r="AQ1" s="183"/>
      <c r="AR1" s="184"/>
      <c r="AS1" s="184"/>
      <c r="AT1" s="186"/>
      <c r="AU1" s="183"/>
      <c r="AV1" s="183"/>
      <c r="AW1" s="184"/>
      <c r="AX1" s="187"/>
      <c r="AY1" s="186"/>
      <c r="AZ1" s="183"/>
      <c r="BA1" s="183"/>
      <c r="BB1" s="184"/>
      <c r="BC1" s="187"/>
    </row>
    <row r="2" spans="1:55" ht="12.75" customHeight="1" x14ac:dyDescent="0.2">
      <c r="A2" s="188" t="s">
        <v>333</v>
      </c>
      <c r="B2" s="1070">
        <v>41640</v>
      </c>
      <c r="C2" s="1070"/>
      <c r="D2" s="189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2"/>
      <c r="Z2" s="193"/>
      <c r="AA2" s="190"/>
      <c r="AB2" s="190"/>
      <c r="AC2" s="190"/>
      <c r="AD2" s="194"/>
      <c r="AE2" s="195"/>
      <c r="AF2" s="191"/>
      <c r="AG2" s="191"/>
      <c r="AH2" s="191"/>
      <c r="AI2" s="192"/>
      <c r="AJ2" s="887"/>
      <c r="AK2" s="888"/>
      <c r="AL2" s="888"/>
      <c r="AM2" s="888"/>
      <c r="AN2" s="889"/>
      <c r="AO2" s="195"/>
      <c r="AP2" s="191"/>
      <c r="AQ2" s="191"/>
      <c r="AR2" s="196"/>
      <c r="AS2" s="196"/>
      <c r="AT2" s="195"/>
      <c r="AU2" s="191"/>
      <c r="AV2" s="191"/>
      <c r="AW2" s="196"/>
      <c r="AX2" s="197"/>
      <c r="AY2" s="195"/>
      <c r="AZ2" s="191"/>
      <c r="BA2" s="191"/>
      <c r="BB2" s="196"/>
      <c r="BC2" s="197"/>
    </row>
    <row r="3" spans="1:55" ht="13.5" customHeight="1" x14ac:dyDescent="0.2">
      <c r="A3" s="1067" t="s">
        <v>331</v>
      </c>
      <c r="B3" s="1068" t="s">
        <v>13</v>
      </c>
      <c r="C3" s="1068" t="s">
        <v>334</v>
      </c>
      <c r="D3" s="1068" t="s">
        <v>335</v>
      </c>
      <c r="E3" s="1069" t="s">
        <v>7</v>
      </c>
      <c r="F3" s="1069"/>
      <c r="G3" s="1069"/>
      <c r="H3" s="1069"/>
      <c r="I3" s="1069" t="s">
        <v>8</v>
      </c>
      <c r="J3" s="1069"/>
      <c r="K3" s="1069"/>
      <c r="L3" s="1069"/>
      <c r="M3" s="1069" t="s">
        <v>9</v>
      </c>
      <c r="N3" s="1069"/>
      <c r="O3" s="1069"/>
      <c r="P3" s="1069"/>
      <c r="Q3" s="1069" t="s">
        <v>10</v>
      </c>
      <c r="R3" s="1069"/>
      <c r="S3" s="1069"/>
      <c r="T3" s="1069"/>
      <c r="U3" s="1069" t="s">
        <v>11</v>
      </c>
      <c r="V3" s="1069"/>
      <c r="W3" s="1069"/>
      <c r="X3" s="1069"/>
      <c r="Y3" s="199" t="s">
        <v>336</v>
      </c>
      <c r="Z3" s="1071" t="s">
        <v>337</v>
      </c>
      <c r="AA3" s="1071"/>
      <c r="AB3" s="1071"/>
      <c r="AC3" s="1071"/>
      <c r="AD3" s="201" t="e">
        <f>AD5/$Y5</f>
        <v>#REF!</v>
      </c>
      <c r="AE3" s="1071" t="s">
        <v>337</v>
      </c>
      <c r="AF3" s="1071"/>
      <c r="AG3" s="1071"/>
      <c r="AH3" s="1071"/>
      <c r="AI3" s="201"/>
      <c r="AJ3" s="1071" t="s">
        <v>338</v>
      </c>
      <c r="AK3" s="1071"/>
      <c r="AL3" s="1071"/>
      <c r="AM3" s="1071"/>
      <c r="AN3" s="201"/>
      <c r="AO3" s="1071" t="s">
        <v>339</v>
      </c>
      <c r="AP3" s="1071"/>
      <c r="AQ3" s="1071"/>
      <c r="AR3" s="1071"/>
      <c r="AS3" s="201"/>
      <c r="AT3" s="1071" t="s">
        <v>340</v>
      </c>
      <c r="AU3" s="1071"/>
      <c r="AV3" s="1071"/>
      <c r="AW3" s="1071"/>
      <c r="AX3" s="201"/>
      <c r="AY3" s="1071" t="s">
        <v>341</v>
      </c>
      <c r="AZ3" s="1071"/>
      <c r="BA3" s="1071"/>
      <c r="BB3" s="1071"/>
      <c r="BC3" s="201"/>
    </row>
    <row r="4" spans="1:55" ht="38.25" customHeight="1" x14ac:dyDescent="0.2">
      <c r="A4" s="1067"/>
      <c r="B4" s="1068"/>
      <c r="C4" s="1068"/>
      <c r="D4" s="1068"/>
      <c r="E4" s="198">
        <v>1</v>
      </c>
      <c r="F4" s="198">
        <v>2</v>
      </c>
      <c r="G4" s="198">
        <v>3</v>
      </c>
      <c r="H4" s="198">
        <v>4</v>
      </c>
      <c r="I4" s="198">
        <v>1</v>
      </c>
      <c r="J4" s="198">
        <v>2</v>
      </c>
      <c r="K4" s="198">
        <v>3</v>
      </c>
      <c r="L4" s="198">
        <v>4</v>
      </c>
      <c r="M4" s="198">
        <v>1</v>
      </c>
      <c r="N4" s="198">
        <v>2</v>
      </c>
      <c r="O4" s="198">
        <v>3</v>
      </c>
      <c r="P4" s="198">
        <v>4</v>
      </c>
      <c r="Q4" s="198">
        <v>1</v>
      </c>
      <c r="R4" s="198">
        <v>2</v>
      </c>
      <c r="S4" s="198">
        <v>3</v>
      </c>
      <c r="T4" s="198">
        <v>4</v>
      </c>
      <c r="U4" s="198">
        <v>1</v>
      </c>
      <c r="V4" s="198">
        <v>2</v>
      </c>
      <c r="W4" s="198">
        <v>3</v>
      </c>
      <c r="X4" s="198">
        <v>4</v>
      </c>
      <c r="Y4" s="199" t="s">
        <v>342</v>
      </c>
      <c r="Z4" s="200">
        <v>1</v>
      </c>
      <c r="AA4" s="202">
        <v>2</v>
      </c>
      <c r="AB4" s="202">
        <v>3</v>
      </c>
      <c r="AC4" s="202">
        <v>4</v>
      </c>
      <c r="AD4" s="203" t="s">
        <v>262</v>
      </c>
      <c r="AE4" s="200">
        <v>1</v>
      </c>
      <c r="AF4" s="202">
        <v>2</v>
      </c>
      <c r="AG4" s="202">
        <v>3</v>
      </c>
      <c r="AH4" s="202">
        <v>4</v>
      </c>
      <c r="AI4" s="203" t="s">
        <v>262</v>
      </c>
      <c r="AJ4" s="200">
        <v>1</v>
      </c>
      <c r="AK4" s="202">
        <v>2</v>
      </c>
      <c r="AL4" s="202">
        <v>3</v>
      </c>
      <c r="AM4" s="202">
        <v>4</v>
      </c>
      <c r="AN4" s="203" t="s">
        <v>262</v>
      </c>
      <c r="AO4" s="200">
        <v>1</v>
      </c>
      <c r="AP4" s="202">
        <v>2</v>
      </c>
      <c r="AQ4" s="202">
        <v>3</v>
      </c>
      <c r="AR4" s="202">
        <v>4</v>
      </c>
      <c r="AS4" s="204" t="s">
        <v>262</v>
      </c>
      <c r="AT4" s="200">
        <v>1</v>
      </c>
      <c r="AU4" s="202">
        <v>2</v>
      </c>
      <c r="AV4" s="202">
        <v>3</v>
      </c>
      <c r="AW4" s="202">
        <v>4</v>
      </c>
      <c r="AX4" s="203" t="s">
        <v>262</v>
      </c>
      <c r="AY4" s="200">
        <v>1</v>
      </c>
      <c r="AZ4" s="202">
        <v>2</v>
      </c>
      <c r="BA4" s="202">
        <v>3</v>
      </c>
      <c r="BB4" s="202">
        <v>4</v>
      </c>
      <c r="BC4" s="203" t="s">
        <v>262</v>
      </c>
    </row>
    <row r="5" spans="1:55" x14ac:dyDescent="0.2">
      <c r="A5" s="205"/>
      <c r="B5" s="206"/>
      <c r="C5" s="206"/>
      <c r="D5" s="206"/>
      <c r="E5" s="207">
        <v>41640</v>
      </c>
      <c r="F5" s="207">
        <v>41730</v>
      </c>
      <c r="G5" s="207">
        <v>41821</v>
      </c>
      <c r="H5" s="207">
        <v>41913</v>
      </c>
      <c r="I5" s="207">
        <v>42005</v>
      </c>
      <c r="J5" s="207">
        <v>42095</v>
      </c>
      <c r="K5" s="207">
        <v>42186</v>
      </c>
      <c r="L5" s="207">
        <v>42278</v>
      </c>
      <c r="M5" s="207">
        <v>42370</v>
      </c>
      <c r="N5" s="207">
        <v>42461</v>
      </c>
      <c r="O5" s="207">
        <v>42552</v>
      </c>
      <c r="P5" s="207">
        <v>42644</v>
      </c>
      <c r="Q5" s="207">
        <v>42736</v>
      </c>
      <c r="R5" s="207">
        <v>42826</v>
      </c>
      <c r="S5" s="207">
        <v>42917</v>
      </c>
      <c r="T5" s="207">
        <v>43009</v>
      </c>
      <c r="U5" s="207">
        <v>43101</v>
      </c>
      <c r="V5" s="207">
        <v>43191</v>
      </c>
      <c r="W5" s="207">
        <v>43282</v>
      </c>
      <c r="X5" s="207">
        <v>43374</v>
      </c>
      <c r="Y5" s="874">
        <f>Y6+Y13+Y18+Y24</f>
        <v>70000000</v>
      </c>
      <c r="Z5" s="208" t="e">
        <f t="shared" ref="Z5:BC5" si="0">Z6+Z13+Z24</f>
        <v>#REF!</v>
      </c>
      <c r="AA5" s="208" t="e">
        <f t="shared" si="0"/>
        <v>#REF!</v>
      </c>
      <c r="AB5" s="208" t="e">
        <f t="shared" si="0"/>
        <v>#REF!</v>
      </c>
      <c r="AC5" s="208" t="e">
        <f t="shared" si="0"/>
        <v>#REF!</v>
      </c>
      <c r="AD5" s="208" t="e">
        <f t="shared" si="0"/>
        <v>#REF!</v>
      </c>
      <c r="AE5" s="208">
        <f t="shared" si="0"/>
        <v>0</v>
      </c>
      <c r="AF5" s="208">
        <f t="shared" si="0"/>
        <v>0</v>
      </c>
      <c r="AG5" s="208">
        <f t="shared" si="0"/>
        <v>3801212.19</v>
      </c>
      <c r="AH5" s="208">
        <f t="shared" si="0"/>
        <v>3801212.19</v>
      </c>
      <c r="AI5" s="208">
        <f t="shared" si="0"/>
        <v>7602424.3799999999</v>
      </c>
      <c r="AJ5" s="208">
        <f t="shared" si="0"/>
        <v>7547822.4199999999</v>
      </c>
      <c r="AK5" s="208">
        <f t="shared" si="0"/>
        <v>7572822.4199999999</v>
      </c>
      <c r="AL5" s="208">
        <f t="shared" si="0"/>
        <v>7512527.4199999999</v>
      </c>
      <c r="AM5" s="208">
        <f t="shared" si="0"/>
        <v>7537527.4199999999</v>
      </c>
      <c r="AN5" s="208">
        <f t="shared" si="0"/>
        <v>30170699.670000002</v>
      </c>
      <c r="AO5" s="208">
        <f t="shared" si="0"/>
        <v>2743906.32</v>
      </c>
      <c r="AP5" s="208">
        <f t="shared" si="0"/>
        <v>2768906.32</v>
      </c>
      <c r="AQ5" s="208">
        <f t="shared" si="0"/>
        <v>2743906.32</v>
      </c>
      <c r="AR5" s="208">
        <f t="shared" si="0"/>
        <v>2768906.32</v>
      </c>
      <c r="AS5" s="208">
        <f t="shared" si="0"/>
        <v>11025625.279999999</v>
      </c>
      <c r="AT5" s="208">
        <f t="shared" si="0"/>
        <v>1312656.32</v>
      </c>
      <c r="AU5" s="208">
        <f t="shared" si="0"/>
        <v>1337656.3200000001</v>
      </c>
      <c r="AV5" s="208">
        <f t="shared" si="0"/>
        <v>1312656.32</v>
      </c>
      <c r="AW5" s="208">
        <f t="shared" si="0"/>
        <v>1337656.3200000001</v>
      </c>
      <c r="AX5" s="208">
        <f t="shared" si="0"/>
        <v>5300625.28</v>
      </c>
      <c r="AY5" s="208">
        <f t="shared" si="0"/>
        <v>1312656.32</v>
      </c>
      <c r="AZ5" s="208">
        <f t="shared" si="0"/>
        <v>1337656.3200000001</v>
      </c>
      <c r="BA5" s="208">
        <f t="shared" si="0"/>
        <v>1312656.32</v>
      </c>
      <c r="BB5" s="208">
        <f t="shared" si="0"/>
        <v>1337656.3200000001</v>
      </c>
      <c r="BC5" s="208">
        <f t="shared" si="0"/>
        <v>5300625.28</v>
      </c>
    </row>
    <row r="6" spans="1:55" s="19" customFormat="1" ht="25.5" x14ac:dyDescent="0.2">
      <c r="A6" s="875" t="str">
        <f>'3_Comp e Produtos'!A6</f>
        <v>COMPONENTE 1: MELHORA DA EFETIVIDADE POLICIAL PARA A PREVENÇÃO, CONTROLE E INVESTIGAÇÃO DO CRIME</v>
      </c>
      <c r="B6" s="876">
        <f>MIN(B7:B12)</f>
        <v>41821</v>
      </c>
      <c r="C6" s="877">
        <f>IF(INT((D6-B6)/30)+1&gt;21,INT((D6-B6)/30),INT((D6-B6)/30)+1)</f>
        <v>54</v>
      </c>
      <c r="D6" s="878">
        <f>MAX(D7:D12)</f>
        <v>43464</v>
      </c>
      <c r="E6" s="209" t="str">
        <f>IF(COUNTIF(E7:E12,"X")&lt;&gt;0,"X","")</f>
        <v/>
      </c>
      <c r="F6" s="209" t="str">
        <f t="shared" ref="F6:H6" si="1">IF(COUNTIF(F7:F12,"X")&lt;&gt;0,"X","")</f>
        <v/>
      </c>
      <c r="G6" s="209" t="str">
        <f t="shared" si="1"/>
        <v>X</v>
      </c>
      <c r="H6" s="209" t="str">
        <f t="shared" si="1"/>
        <v>X</v>
      </c>
      <c r="I6" s="209" t="str">
        <f>IF(COUNTIF(I7:I12,"X")&lt;&gt;0,"X","")</f>
        <v>X</v>
      </c>
      <c r="J6" s="209" t="str">
        <f>IF(COUNTIF(J7:J12,"X")&lt;&gt;0,"X","")</f>
        <v>X</v>
      </c>
      <c r="K6" s="209" t="str">
        <f t="shared" ref="K6:X6" si="2">IF(COUNTIF(K7:K12,"X")&lt;&gt;0,"X","")</f>
        <v>X</v>
      </c>
      <c r="L6" s="209" t="str">
        <f t="shared" si="2"/>
        <v>X</v>
      </c>
      <c r="M6" s="209" t="str">
        <f t="shared" si="2"/>
        <v>X</v>
      </c>
      <c r="N6" s="209" t="str">
        <f t="shared" si="2"/>
        <v>X</v>
      </c>
      <c r="O6" s="209" t="str">
        <f t="shared" si="2"/>
        <v>X</v>
      </c>
      <c r="P6" s="209" t="str">
        <f t="shared" si="2"/>
        <v>X</v>
      </c>
      <c r="Q6" s="209" t="str">
        <f t="shared" si="2"/>
        <v>X</v>
      </c>
      <c r="R6" s="209" t="str">
        <f t="shared" si="2"/>
        <v>X</v>
      </c>
      <c r="S6" s="209" t="str">
        <f t="shared" si="2"/>
        <v>X</v>
      </c>
      <c r="T6" s="209" t="str">
        <f t="shared" si="2"/>
        <v>X</v>
      </c>
      <c r="U6" s="209" t="str">
        <f t="shared" si="2"/>
        <v>X</v>
      </c>
      <c r="V6" s="209" t="str">
        <f t="shared" si="2"/>
        <v>X</v>
      </c>
      <c r="W6" s="209" t="str">
        <f t="shared" si="2"/>
        <v>X</v>
      </c>
      <c r="X6" s="209" t="str">
        <f t="shared" si="2"/>
        <v>X</v>
      </c>
      <c r="Y6" s="881">
        <f>SUM(AI6+AN6+AS6+AX6+BC6)</f>
        <v>28000000</v>
      </c>
      <c r="Z6" s="210" t="e">
        <f>SUM(Z7:Z9)</f>
        <v>#REF!</v>
      </c>
      <c r="AA6" s="210" t="e">
        <f>SUM(AA7:AA9)</f>
        <v>#REF!</v>
      </c>
      <c r="AB6" s="210" t="e">
        <f>SUM(AB7:AB9)</f>
        <v>#REF!</v>
      </c>
      <c r="AC6" s="210" t="e">
        <f>SUM(AC7:AC9)</f>
        <v>#REF!</v>
      </c>
      <c r="AD6" s="210" t="e">
        <f>SUM(AD7:AD9)</f>
        <v>#REF!</v>
      </c>
      <c r="AE6" s="210">
        <f t="shared" ref="AE6:BC6" si="3">SUM(AE7:AE12)</f>
        <v>0</v>
      </c>
      <c r="AF6" s="210">
        <f t="shared" si="3"/>
        <v>0</v>
      </c>
      <c r="AG6" s="210">
        <f t="shared" si="3"/>
        <v>2639985.15</v>
      </c>
      <c r="AH6" s="210">
        <f t="shared" si="3"/>
        <v>2639985.15</v>
      </c>
      <c r="AI6" s="210">
        <f t="shared" si="3"/>
        <v>5279970.3</v>
      </c>
      <c r="AJ6" s="210">
        <f t="shared" si="3"/>
        <v>3762117.11</v>
      </c>
      <c r="AK6" s="210">
        <f t="shared" si="3"/>
        <v>3787117.11</v>
      </c>
      <c r="AL6" s="210">
        <f t="shared" si="3"/>
        <v>3726822.11</v>
      </c>
      <c r="AM6" s="210">
        <f t="shared" si="3"/>
        <v>3751822.11</v>
      </c>
      <c r="AN6" s="210">
        <f t="shared" si="3"/>
        <v>15027878.43</v>
      </c>
      <c r="AO6" s="210">
        <f t="shared" si="3"/>
        <v>1582679.28</v>
      </c>
      <c r="AP6" s="210">
        <f t="shared" si="3"/>
        <v>1607679.28</v>
      </c>
      <c r="AQ6" s="210">
        <f t="shared" si="3"/>
        <v>1582679.28</v>
      </c>
      <c r="AR6" s="210">
        <f t="shared" si="3"/>
        <v>1607679.28</v>
      </c>
      <c r="AS6" s="210">
        <f t="shared" si="3"/>
        <v>6380717.1200000001</v>
      </c>
      <c r="AT6" s="210">
        <f t="shared" si="3"/>
        <v>151429.28</v>
      </c>
      <c r="AU6" s="210">
        <f t="shared" si="3"/>
        <v>176429.28</v>
      </c>
      <c r="AV6" s="210">
        <f t="shared" si="3"/>
        <v>151429.28</v>
      </c>
      <c r="AW6" s="210">
        <f t="shared" si="3"/>
        <v>176429.28</v>
      </c>
      <c r="AX6" s="210">
        <f t="shared" si="3"/>
        <v>655717.12</v>
      </c>
      <c r="AY6" s="210">
        <f t="shared" si="3"/>
        <v>151429.28</v>
      </c>
      <c r="AZ6" s="210">
        <f t="shared" si="3"/>
        <v>176429.28</v>
      </c>
      <c r="BA6" s="210">
        <f t="shared" si="3"/>
        <v>151429.28</v>
      </c>
      <c r="BB6" s="210">
        <f t="shared" si="3"/>
        <v>176429.28</v>
      </c>
      <c r="BC6" s="210">
        <f t="shared" si="3"/>
        <v>655717.12</v>
      </c>
    </row>
    <row r="7" spans="1:55" s="19" customFormat="1" ht="38.25" x14ac:dyDescent="0.2">
      <c r="A7" s="217" t="str">
        <f>'3_Comp e Produtos'!A7</f>
        <v>1.1. Modelo de planejamento e gestão integrada orientada para resultados da segurança pública, incluindo a modernização das tecnologias de informação sobre o crime, apoio para a análise e investigação criminal, implementado</v>
      </c>
      <c r="B7" s="866">
        <v>41821</v>
      </c>
      <c r="C7" s="867">
        <v>18</v>
      </c>
      <c r="D7" s="211">
        <v>42368</v>
      </c>
      <c r="E7" s="212" t="str">
        <f t="shared" ref="E7:T12" si="4">IF(AND($C7&lt;&gt;0,$A7&lt;&gt;"NÃO SELECIONADO"),IF(E$5&gt;=$B7,IF(E$5&lt;=$D7,"X"," ")," "),"")</f>
        <v xml:space="preserve"> </v>
      </c>
      <c r="F7" s="212" t="str">
        <f t="shared" si="4"/>
        <v xml:space="preserve"> </v>
      </c>
      <c r="G7" s="212" t="str">
        <f t="shared" si="4"/>
        <v>X</v>
      </c>
      <c r="H7" s="212" t="str">
        <f t="shared" si="4"/>
        <v>X</v>
      </c>
      <c r="I7" s="212" t="str">
        <f t="shared" si="4"/>
        <v>X</v>
      </c>
      <c r="J7" s="212" t="str">
        <f t="shared" si="4"/>
        <v>X</v>
      </c>
      <c r="K7" s="212" t="str">
        <f t="shared" si="4"/>
        <v>X</v>
      </c>
      <c r="L7" s="212" t="str">
        <f t="shared" si="4"/>
        <v>X</v>
      </c>
      <c r="M7" s="212" t="str">
        <f t="shared" si="4"/>
        <v xml:space="preserve"> </v>
      </c>
      <c r="N7" s="212" t="str">
        <f t="shared" si="4"/>
        <v xml:space="preserve"> </v>
      </c>
      <c r="O7" s="212" t="str">
        <f t="shared" si="4"/>
        <v xml:space="preserve"> </v>
      </c>
      <c r="P7" s="212" t="str">
        <f t="shared" si="4"/>
        <v xml:space="preserve"> </v>
      </c>
      <c r="Q7" s="212" t="str">
        <f t="shared" si="4"/>
        <v xml:space="preserve"> </v>
      </c>
      <c r="R7" s="212" t="str">
        <f t="shared" si="4"/>
        <v xml:space="preserve"> </v>
      </c>
      <c r="S7" s="212" t="str">
        <f t="shared" si="4"/>
        <v xml:space="preserve"> </v>
      </c>
      <c r="T7" s="212" t="str">
        <f t="shared" si="4"/>
        <v xml:space="preserve"> </v>
      </c>
      <c r="U7" s="212" t="str">
        <f t="shared" ref="U7:X12" si="5">IF(AND($C7&lt;&gt;0,$A7&lt;&gt;"NÃO SELECIONADO"),IF(U$5&gt;=$B7,IF(U$5&lt;=$D7,"X"," ")," "),"")</f>
        <v xml:space="preserve"> </v>
      </c>
      <c r="V7" s="212" t="str">
        <f t="shared" si="5"/>
        <v xml:space="preserve"> </v>
      </c>
      <c r="W7" s="212" t="str">
        <f t="shared" si="5"/>
        <v xml:space="preserve"> </v>
      </c>
      <c r="X7" s="212" t="str">
        <f t="shared" si="5"/>
        <v xml:space="preserve"> </v>
      </c>
      <c r="Y7" s="213">
        <f>'4_Componente 1'!$A$10</f>
        <v>3695652.17</v>
      </c>
      <c r="Z7" s="214" t="e">
        <f>IF(#REF!="X",$Y7/$C7*3,0)</f>
        <v>#REF!</v>
      </c>
      <c r="AA7" s="214" t="e">
        <f>IF(#REF!="X",$Y7/$C7*3,0)</f>
        <v>#REF!</v>
      </c>
      <c r="AB7" s="214" t="e">
        <f>IF(#REF!="X",$Y7/$C7*3,0)</f>
        <v>#REF!</v>
      </c>
      <c r="AC7" s="215" t="e">
        <f>IF(#REF!="X",$Y7/$C7*3,0)</f>
        <v>#REF!</v>
      </c>
      <c r="AD7" s="216" t="e">
        <f t="shared" ref="AD7:AD12" si="6">SUM(Z7:AC7)</f>
        <v>#REF!</v>
      </c>
      <c r="AE7" s="215">
        <f t="shared" ref="AE7:AF12" si="7">IF(E7="X",$Y7/$C7*3,0)</f>
        <v>0</v>
      </c>
      <c r="AF7" s="215">
        <f t="shared" si="7"/>
        <v>0</v>
      </c>
      <c r="AG7" s="215">
        <f>AI7/2</f>
        <v>543478.26</v>
      </c>
      <c r="AH7" s="215">
        <f>AI7/2</f>
        <v>543478.26</v>
      </c>
      <c r="AI7" s="290">
        <f>'4_Componente 1'!K5</f>
        <v>1086956.52</v>
      </c>
      <c r="AJ7" s="214">
        <f>AN7/4</f>
        <v>652173.91</v>
      </c>
      <c r="AK7" s="214">
        <f>AN7/4</f>
        <v>652173.91</v>
      </c>
      <c r="AL7" s="214">
        <f>AN7/4</f>
        <v>652173.91</v>
      </c>
      <c r="AM7" s="214">
        <f>AN7/4</f>
        <v>652173.91</v>
      </c>
      <c r="AN7" s="216">
        <f>'4_Componente 1'!K6</f>
        <v>2608695.65</v>
      </c>
      <c r="AO7" s="214">
        <f t="shared" ref="AO7:AR11" si="8">IF(M7="X",$Y7/$C7*3,0)</f>
        <v>0</v>
      </c>
      <c r="AP7" s="214">
        <f t="shared" si="8"/>
        <v>0</v>
      </c>
      <c r="AQ7" s="214">
        <f t="shared" si="8"/>
        <v>0</v>
      </c>
      <c r="AR7" s="214">
        <f t="shared" si="8"/>
        <v>0</v>
      </c>
      <c r="AS7" s="290">
        <f t="shared" ref="AS7:AS12" si="9">SUM(AO7:AR7)</f>
        <v>0</v>
      </c>
      <c r="AT7" s="214">
        <f t="shared" ref="AT7:AW11" si="10">IF(Q7="X",$Y7/$C7*3,0)</f>
        <v>0</v>
      </c>
      <c r="AU7" s="214">
        <f t="shared" si="10"/>
        <v>0</v>
      </c>
      <c r="AV7" s="214">
        <f t="shared" si="10"/>
        <v>0</v>
      </c>
      <c r="AW7" s="214">
        <f t="shared" si="10"/>
        <v>0</v>
      </c>
      <c r="AX7" s="290">
        <f t="shared" ref="AX7:AX12" si="11">SUM(AT7:AW7)</f>
        <v>0</v>
      </c>
      <c r="AY7" s="870">
        <f t="shared" ref="AY7:BB11" si="12">IF(U7="X",$Y7/$C7*3,0)</f>
        <v>0</v>
      </c>
      <c r="AZ7" s="214">
        <f t="shared" si="12"/>
        <v>0</v>
      </c>
      <c r="BA7" s="214">
        <f t="shared" si="12"/>
        <v>0</v>
      </c>
      <c r="BB7" s="214">
        <f t="shared" si="12"/>
        <v>0</v>
      </c>
      <c r="BC7" s="290">
        <f t="shared" ref="BC7:BC12" si="13">SUM(AY7:BB7)</f>
        <v>0</v>
      </c>
    </row>
    <row r="8" spans="1:55" s="19" customFormat="1" x14ac:dyDescent="0.2">
      <c r="A8" s="379" t="str">
        <f>'3_Comp e Produtos'!A8</f>
        <v>1.2. Centro que integre a Perícia Técnico-Científica do Espírito Santo construído</v>
      </c>
      <c r="B8" s="868">
        <v>42005</v>
      </c>
      <c r="C8" s="867">
        <v>24</v>
      </c>
      <c r="D8" s="211">
        <v>42734</v>
      </c>
      <c r="E8" s="212" t="str">
        <f t="shared" si="4"/>
        <v xml:space="preserve"> </v>
      </c>
      <c r="F8" s="212" t="str">
        <f t="shared" si="4"/>
        <v xml:space="preserve"> </v>
      </c>
      <c r="G8" s="212" t="str">
        <f t="shared" si="4"/>
        <v xml:space="preserve"> </v>
      </c>
      <c r="H8" s="212" t="str">
        <f t="shared" si="4"/>
        <v xml:space="preserve"> </v>
      </c>
      <c r="I8" s="212" t="str">
        <f t="shared" si="4"/>
        <v>X</v>
      </c>
      <c r="J8" s="212" t="str">
        <f t="shared" si="4"/>
        <v>X</v>
      </c>
      <c r="K8" s="212" t="str">
        <f t="shared" si="4"/>
        <v>X</v>
      </c>
      <c r="L8" s="212" t="str">
        <f t="shared" si="4"/>
        <v>X</v>
      </c>
      <c r="M8" s="212" t="str">
        <f t="shared" si="4"/>
        <v>X</v>
      </c>
      <c r="N8" s="212" t="str">
        <f t="shared" si="4"/>
        <v>X</v>
      </c>
      <c r="O8" s="212" t="str">
        <f t="shared" si="4"/>
        <v>X</v>
      </c>
      <c r="P8" s="212" t="str">
        <f t="shared" si="4"/>
        <v>X</v>
      </c>
      <c r="Q8" s="212" t="str">
        <f t="shared" si="4"/>
        <v xml:space="preserve"> </v>
      </c>
      <c r="R8" s="212" t="str">
        <f t="shared" si="4"/>
        <v xml:space="preserve"> </v>
      </c>
      <c r="S8" s="212" t="str">
        <f t="shared" si="4"/>
        <v xml:space="preserve"> </v>
      </c>
      <c r="T8" s="212" t="str">
        <f t="shared" si="4"/>
        <v xml:space="preserve"> </v>
      </c>
      <c r="U8" s="212" t="str">
        <f t="shared" si="5"/>
        <v xml:space="preserve"> </v>
      </c>
      <c r="V8" s="212" t="str">
        <f t="shared" si="5"/>
        <v xml:space="preserve"> </v>
      </c>
      <c r="W8" s="212" t="str">
        <f t="shared" si="5"/>
        <v xml:space="preserve"> </v>
      </c>
      <c r="X8" s="212" t="str">
        <f t="shared" si="5"/>
        <v xml:space="preserve"> </v>
      </c>
      <c r="Y8" s="378">
        <f>'4_Componente 1'!$A$14</f>
        <v>11450000</v>
      </c>
      <c r="Z8" s="214" t="e">
        <f>IF(#REF!="X",$Y8/$C8*3,0)</f>
        <v>#REF!</v>
      </c>
      <c r="AA8" s="214" t="e">
        <f>IF(#REF!="X",$Y8/$C8*3,0)</f>
        <v>#REF!</v>
      </c>
      <c r="AB8" s="214" t="e">
        <f>IF(#REF!="X",$Y8/$C8*3,0)</f>
        <v>#REF!</v>
      </c>
      <c r="AC8" s="215" t="e">
        <f>IF(#REF!="X",$Y8/$C8*3,0)</f>
        <v>#REF!</v>
      </c>
      <c r="AD8" s="216" t="e">
        <f t="shared" si="6"/>
        <v>#REF!</v>
      </c>
      <c r="AE8" s="214">
        <f t="shared" si="7"/>
        <v>0</v>
      </c>
      <c r="AF8" s="214">
        <f t="shared" si="7"/>
        <v>0</v>
      </c>
      <c r="AG8" s="214">
        <f>IF(G8="X",$Y8/$C8*3,0)</f>
        <v>0</v>
      </c>
      <c r="AH8" s="214">
        <f>IF(H8="X",$Y8/$C8*3,0)</f>
        <v>0</v>
      </c>
      <c r="AI8" s="290">
        <f t="shared" ref="AI8:AI11" si="14">SUM(AE8:AH8)</f>
        <v>0</v>
      </c>
      <c r="AJ8" s="214">
        <f t="shared" ref="AJ8:AM9" si="15">IF(I8="X",$Y8/$C8*3,0)</f>
        <v>1431250</v>
      </c>
      <c r="AK8" s="214">
        <f t="shared" si="15"/>
        <v>1431250</v>
      </c>
      <c r="AL8" s="214">
        <f t="shared" si="15"/>
        <v>1431250</v>
      </c>
      <c r="AM8" s="214">
        <f t="shared" si="15"/>
        <v>1431250</v>
      </c>
      <c r="AN8" s="290">
        <f t="shared" ref="AN8:AN12" si="16">SUM(AJ8:AM8)</f>
        <v>5725000</v>
      </c>
      <c r="AO8" s="214">
        <f t="shared" si="8"/>
        <v>1431250</v>
      </c>
      <c r="AP8" s="214">
        <f t="shared" si="8"/>
        <v>1431250</v>
      </c>
      <c r="AQ8" s="214">
        <f t="shared" si="8"/>
        <v>1431250</v>
      </c>
      <c r="AR8" s="214">
        <f t="shared" si="8"/>
        <v>1431250</v>
      </c>
      <c r="AS8" s="290">
        <f t="shared" si="9"/>
        <v>5725000</v>
      </c>
      <c r="AT8" s="214">
        <f t="shared" si="10"/>
        <v>0</v>
      </c>
      <c r="AU8" s="214">
        <f t="shared" si="10"/>
        <v>0</v>
      </c>
      <c r="AV8" s="214">
        <f t="shared" si="10"/>
        <v>0</v>
      </c>
      <c r="AW8" s="214">
        <f t="shared" si="10"/>
        <v>0</v>
      </c>
      <c r="AX8" s="290">
        <f t="shared" si="11"/>
        <v>0</v>
      </c>
      <c r="AY8" s="870">
        <f t="shared" si="12"/>
        <v>0</v>
      </c>
      <c r="AZ8" s="214">
        <f t="shared" si="12"/>
        <v>0</v>
      </c>
      <c r="BA8" s="214">
        <f t="shared" si="12"/>
        <v>0</v>
      </c>
      <c r="BB8" s="214">
        <f t="shared" si="12"/>
        <v>0</v>
      </c>
      <c r="BC8" s="290">
        <f t="shared" si="13"/>
        <v>0</v>
      </c>
    </row>
    <row r="9" spans="1:55" s="19" customFormat="1" x14ac:dyDescent="0.2">
      <c r="A9" s="217" t="str">
        <f>'3_Comp e Produtos'!A9</f>
        <v>1.3. Efetivo de policiamento comunitário capacitado</v>
      </c>
      <c r="B9" s="868">
        <v>41821</v>
      </c>
      <c r="C9" s="867">
        <v>54</v>
      </c>
      <c r="D9" s="211">
        <v>43464</v>
      </c>
      <c r="E9" s="212" t="str">
        <f t="shared" si="4"/>
        <v xml:space="preserve"> </v>
      </c>
      <c r="F9" s="212" t="str">
        <f t="shared" si="4"/>
        <v xml:space="preserve"> </v>
      </c>
      <c r="G9" s="212" t="str">
        <f t="shared" si="4"/>
        <v>X</v>
      </c>
      <c r="H9" s="212" t="str">
        <f t="shared" si="4"/>
        <v>X</v>
      </c>
      <c r="I9" s="212" t="str">
        <f t="shared" si="4"/>
        <v>X</v>
      </c>
      <c r="J9" s="212" t="str">
        <f t="shared" si="4"/>
        <v>X</v>
      </c>
      <c r="K9" s="212" t="str">
        <f t="shared" si="4"/>
        <v>X</v>
      </c>
      <c r="L9" s="212" t="str">
        <f t="shared" si="4"/>
        <v>X</v>
      </c>
      <c r="M9" s="212" t="str">
        <f t="shared" si="4"/>
        <v>X</v>
      </c>
      <c r="N9" s="212" t="str">
        <f t="shared" si="4"/>
        <v>X</v>
      </c>
      <c r="O9" s="212" t="str">
        <f t="shared" si="4"/>
        <v>X</v>
      </c>
      <c r="P9" s="212" t="str">
        <f t="shared" si="4"/>
        <v>X</v>
      </c>
      <c r="Q9" s="212" t="str">
        <f t="shared" si="4"/>
        <v>X</v>
      </c>
      <c r="R9" s="212" t="str">
        <f t="shared" si="4"/>
        <v>X</v>
      </c>
      <c r="S9" s="212" t="str">
        <f t="shared" si="4"/>
        <v>X</v>
      </c>
      <c r="T9" s="212" t="str">
        <f t="shared" si="4"/>
        <v>X</v>
      </c>
      <c r="U9" s="212" t="str">
        <f t="shared" si="5"/>
        <v>X</v>
      </c>
      <c r="V9" s="212" t="str">
        <f t="shared" si="5"/>
        <v>X</v>
      </c>
      <c r="W9" s="212" t="str">
        <f t="shared" si="5"/>
        <v>X</v>
      </c>
      <c r="X9" s="212" t="str">
        <f t="shared" si="5"/>
        <v>X</v>
      </c>
      <c r="Y9" s="291">
        <f>'4_Componente 1'!$A$18</f>
        <v>2725726.96</v>
      </c>
      <c r="Z9" s="214" t="e">
        <f>IF(#REF!="X",$Y9/$C9*3,0)</f>
        <v>#REF!</v>
      </c>
      <c r="AA9" s="214" t="e">
        <f>IF(#REF!="X",$Y9/$C9*3,0)</f>
        <v>#REF!</v>
      </c>
      <c r="AB9" s="214" t="e">
        <f>IF(#REF!="X",$Y9/$C9*3,0)</f>
        <v>#REF!</v>
      </c>
      <c r="AC9" s="215" t="e">
        <f>IF(#REF!="X",$Y9/$C9*3,0)</f>
        <v>#REF!</v>
      </c>
      <c r="AD9" s="216" t="e">
        <f t="shared" si="6"/>
        <v>#REF!</v>
      </c>
      <c r="AE9" s="214">
        <f t="shared" si="7"/>
        <v>0</v>
      </c>
      <c r="AF9" s="214">
        <f t="shared" si="7"/>
        <v>0</v>
      </c>
      <c r="AG9" s="214">
        <f>IF(G9="X",$Y9/$C9*3,0)</f>
        <v>151429.28</v>
      </c>
      <c r="AH9" s="214">
        <f>IF(H9="X",$Y9/$C9*3,0)</f>
        <v>151429.28</v>
      </c>
      <c r="AI9" s="290">
        <f t="shared" si="14"/>
        <v>302858.56</v>
      </c>
      <c r="AJ9" s="214">
        <f t="shared" si="15"/>
        <v>151429.28</v>
      </c>
      <c r="AK9" s="214">
        <f t="shared" si="15"/>
        <v>151429.28</v>
      </c>
      <c r="AL9" s="214">
        <f t="shared" si="15"/>
        <v>151429.28</v>
      </c>
      <c r="AM9" s="214">
        <f t="shared" si="15"/>
        <v>151429.28</v>
      </c>
      <c r="AN9" s="290">
        <f t="shared" si="16"/>
        <v>605717.12</v>
      </c>
      <c r="AO9" s="214">
        <f t="shared" si="8"/>
        <v>151429.28</v>
      </c>
      <c r="AP9" s="214">
        <f t="shared" si="8"/>
        <v>151429.28</v>
      </c>
      <c r="AQ9" s="214">
        <f t="shared" si="8"/>
        <v>151429.28</v>
      </c>
      <c r="AR9" s="214">
        <f t="shared" si="8"/>
        <v>151429.28</v>
      </c>
      <c r="AS9" s="290">
        <f t="shared" si="9"/>
        <v>605717.12</v>
      </c>
      <c r="AT9" s="214">
        <f t="shared" si="10"/>
        <v>151429.28</v>
      </c>
      <c r="AU9" s="214">
        <f t="shared" si="10"/>
        <v>151429.28</v>
      </c>
      <c r="AV9" s="214">
        <f t="shared" si="10"/>
        <v>151429.28</v>
      </c>
      <c r="AW9" s="214">
        <f t="shared" si="10"/>
        <v>151429.28</v>
      </c>
      <c r="AX9" s="290">
        <f t="shared" si="11"/>
        <v>605717.12</v>
      </c>
      <c r="AY9" s="870">
        <f t="shared" si="12"/>
        <v>151429.28</v>
      </c>
      <c r="AZ9" s="214">
        <f t="shared" si="12"/>
        <v>151429.28</v>
      </c>
      <c r="BA9" s="214">
        <f t="shared" si="12"/>
        <v>151429.28</v>
      </c>
      <c r="BB9" s="214">
        <f t="shared" si="12"/>
        <v>151429.28</v>
      </c>
      <c r="BC9" s="290">
        <f t="shared" si="13"/>
        <v>605717.12</v>
      </c>
    </row>
    <row r="10" spans="1:55" s="19" customFormat="1" ht="25.5" x14ac:dyDescent="0.2">
      <c r="A10" s="217" t="str">
        <f>'3_Comp e Produtos'!A10</f>
        <v>1.4. Equipes de policiais militares capacitados e equipados para a execuçao do policiamento comunitário</v>
      </c>
      <c r="B10" s="868">
        <v>41821</v>
      </c>
      <c r="C10" s="867">
        <v>18</v>
      </c>
      <c r="D10" s="211">
        <v>42368</v>
      </c>
      <c r="E10" s="212" t="str">
        <f t="shared" si="4"/>
        <v xml:space="preserve"> </v>
      </c>
      <c r="F10" s="212" t="str">
        <f t="shared" si="4"/>
        <v xml:space="preserve"> </v>
      </c>
      <c r="G10" s="212" t="str">
        <f t="shared" si="4"/>
        <v>X</v>
      </c>
      <c r="H10" s="212" t="str">
        <f t="shared" si="4"/>
        <v>X</v>
      </c>
      <c r="I10" s="212" t="str">
        <f t="shared" si="4"/>
        <v>X</v>
      </c>
      <c r="J10" s="212" t="str">
        <f t="shared" si="4"/>
        <v>X</v>
      </c>
      <c r="K10" s="212" t="str">
        <f t="shared" si="4"/>
        <v>X</v>
      </c>
      <c r="L10" s="212" t="str">
        <f t="shared" si="4"/>
        <v>X</v>
      </c>
      <c r="M10" s="212" t="str">
        <f t="shared" si="4"/>
        <v xml:space="preserve"> </v>
      </c>
      <c r="N10" s="212" t="str">
        <f t="shared" si="4"/>
        <v xml:space="preserve"> </v>
      </c>
      <c r="O10" s="212" t="str">
        <f t="shared" si="4"/>
        <v xml:space="preserve"> </v>
      </c>
      <c r="P10" s="212" t="str">
        <f t="shared" si="4"/>
        <v xml:space="preserve"> </v>
      </c>
      <c r="Q10" s="212" t="str">
        <f t="shared" si="4"/>
        <v xml:space="preserve"> </v>
      </c>
      <c r="R10" s="212" t="str">
        <f t="shared" si="4"/>
        <v xml:space="preserve"> </v>
      </c>
      <c r="S10" s="212" t="str">
        <f t="shared" si="4"/>
        <v xml:space="preserve"> </v>
      </c>
      <c r="T10" s="212" t="str">
        <f t="shared" si="4"/>
        <v xml:space="preserve"> </v>
      </c>
      <c r="U10" s="212" t="str">
        <f t="shared" si="5"/>
        <v xml:space="preserve"> </v>
      </c>
      <c r="V10" s="212" t="str">
        <f t="shared" si="5"/>
        <v xml:space="preserve"> </v>
      </c>
      <c r="W10" s="212" t="str">
        <f t="shared" si="5"/>
        <v xml:space="preserve"> </v>
      </c>
      <c r="X10" s="212" t="str">
        <f t="shared" si="5"/>
        <v xml:space="preserve"> </v>
      </c>
      <c r="Y10" s="213">
        <f>'4_Componente 1'!$A$25</f>
        <v>9737440.8800000008</v>
      </c>
      <c r="Z10" s="214" t="e">
        <f>IF(#REF!="X",$Y10/$C10*3,0)</f>
        <v>#REF!</v>
      </c>
      <c r="AA10" s="214" t="e">
        <f>IF(#REF!="X",$Y10/$C10*3,0)</f>
        <v>#REF!</v>
      </c>
      <c r="AB10" s="214" t="e">
        <f>IF(#REF!="X",$Y10/$C10*3,0)</f>
        <v>#REF!</v>
      </c>
      <c r="AC10" s="215" t="e">
        <f>IF(#REF!="X",$Y10/$C10*3,0)</f>
        <v>#REF!</v>
      </c>
      <c r="AD10" s="216" t="e">
        <f t="shared" si="6"/>
        <v>#REF!</v>
      </c>
      <c r="AE10" s="214">
        <f t="shared" si="7"/>
        <v>0</v>
      </c>
      <c r="AF10" s="214">
        <f t="shared" si="7"/>
        <v>0</v>
      </c>
      <c r="AG10" s="214">
        <f>AI10/2</f>
        <v>1884782.61</v>
      </c>
      <c r="AH10" s="214">
        <f>AI10/2</f>
        <v>1884782.61</v>
      </c>
      <c r="AI10" s="290">
        <f>'4_Componente 1'!O20</f>
        <v>3769565.22</v>
      </c>
      <c r="AJ10" s="214">
        <f>AN10/4</f>
        <v>1491968.92</v>
      </c>
      <c r="AK10" s="214">
        <f>AN10/4</f>
        <v>1491968.92</v>
      </c>
      <c r="AL10" s="214">
        <f>AN10/4</f>
        <v>1491968.92</v>
      </c>
      <c r="AM10" s="214">
        <f>AN10/4</f>
        <v>1491968.92</v>
      </c>
      <c r="AN10" s="290">
        <f>'4_Componente 1'!A25-'4_Componente 1'!O20</f>
        <v>5967875.6600000001</v>
      </c>
      <c r="AO10" s="214">
        <f t="shared" si="8"/>
        <v>0</v>
      </c>
      <c r="AP10" s="214">
        <f t="shared" si="8"/>
        <v>0</v>
      </c>
      <c r="AQ10" s="214">
        <f t="shared" si="8"/>
        <v>0</v>
      </c>
      <c r="AR10" s="214">
        <f t="shared" si="8"/>
        <v>0</v>
      </c>
      <c r="AS10" s="872">
        <f t="shared" si="9"/>
        <v>0</v>
      </c>
      <c r="AT10" s="214">
        <f t="shared" si="10"/>
        <v>0</v>
      </c>
      <c r="AU10" s="214">
        <f t="shared" si="10"/>
        <v>0</v>
      </c>
      <c r="AV10" s="214">
        <f t="shared" si="10"/>
        <v>0</v>
      </c>
      <c r="AW10" s="214">
        <f t="shared" si="10"/>
        <v>0</v>
      </c>
      <c r="AX10" s="290">
        <f t="shared" si="11"/>
        <v>0</v>
      </c>
      <c r="AY10" s="870">
        <f t="shared" si="12"/>
        <v>0</v>
      </c>
      <c r="AZ10" s="214">
        <f t="shared" si="12"/>
        <v>0</v>
      </c>
      <c r="BA10" s="214">
        <f t="shared" si="12"/>
        <v>0</v>
      </c>
      <c r="BB10" s="214">
        <f t="shared" si="12"/>
        <v>0</v>
      </c>
      <c r="BC10" s="290">
        <f t="shared" si="13"/>
        <v>0</v>
      </c>
    </row>
    <row r="11" spans="1:55" s="19" customFormat="1" ht="31.5" customHeight="1" x14ac:dyDescent="0.2">
      <c r="A11" s="217" t="str">
        <f>'3_Comp e Produtos'!A11</f>
        <v>1.5. Foros Comunitários de Segurança Pública implantados e operando nos territórios do Programa</v>
      </c>
      <c r="B11" s="866">
        <v>41821</v>
      </c>
      <c r="C11" s="867">
        <v>12</v>
      </c>
      <c r="D11" s="211">
        <v>42185</v>
      </c>
      <c r="E11" s="212" t="str">
        <f t="shared" si="4"/>
        <v xml:space="preserve"> </v>
      </c>
      <c r="F11" s="212" t="str">
        <f t="shared" si="4"/>
        <v xml:space="preserve"> </v>
      </c>
      <c r="G11" s="212" t="str">
        <f t="shared" si="4"/>
        <v>X</v>
      </c>
      <c r="H11" s="212" t="str">
        <f t="shared" si="4"/>
        <v>X</v>
      </c>
      <c r="I11" s="212" t="str">
        <f t="shared" si="4"/>
        <v>X</v>
      </c>
      <c r="J11" s="212" t="str">
        <f t="shared" si="4"/>
        <v>X</v>
      </c>
      <c r="K11" s="212" t="str">
        <f t="shared" si="4"/>
        <v xml:space="preserve"> </v>
      </c>
      <c r="L11" s="212" t="str">
        <f t="shared" si="4"/>
        <v xml:space="preserve"> </v>
      </c>
      <c r="M11" s="212" t="str">
        <f t="shared" si="4"/>
        <v xml:space="preserve"> </v>
      </c>
      <c r="N11" s="212" t="str">
        <f t="shared" si="4"/>
        <v xml:space="preserve"> </v>
      </c>
      <c r="O11" s="212" t="str">
        <f t="shared" si="4"/>
        <v xml:space="preserve"> </v>
      </c>
      <c r="P11" s="212" t="str">
        <f t="shared" si="4"/>
        <v xml:space="preserve"> </v>
      </c>
      <c r="Q11" s="212" t="str">
        <f t="shared" si="4"/>
        <v xml:space="preserve"> </v>
      </c>
      <c r="R11" s="212" t="str">
        <f t="shared" si="4"/>
        <v xml:space="preserve"> </v>
      </c>
      <c r="S11" s="212" t="str">
        <f t="shared" si="4"/>
        <v xml:space="preserve"> </v>
      </c>
      <c r="T11" s="212" t="str">
        <f t="shared" si="4"/>
        <v xml:space="preserve"> </v>
      </c>
      <c r="U11" s="212" t="str">
        <f t="shared" si="5"/>
        <v xml:space="preserve"> </v>
      </c>
      <c r="V11" s="212" t="str">
        <f t="shared" si="5"/>
        <v xml:space="preserve"> </v>
      </c>
      <c r="W11" s="212" t="str">
        <f t="shared" si="5"/>
        <v xml:space="preserve"> </v>
      </c>
      <c r="X11" s="212" t="str">
        <f t="shared" si="5"/>
        <v xml:space="preserve"> </v>
      </c>
      <c r="Y11" s="213">
        <f>'4_Componente 1'!A31</f>
        <v>141180</v>
      </c>
      <c r="Z11" s="214" t="e">
        <f>IF(#REF!="X",$Y11/$C11*3,0)</f>
        <v>#REF!</v>
      </c>
      <c r="AA11" s="214" t="e">
        <f>IF(#REF!="X",$Y11/$C11*3,0)</f>
        <v>#REF!</v>
      </c>
      <c r="AB11" s="214" t="e">
        <f>IF(#REF!="X",$Y11/$C11*3,0)</f>
        <v>#REF!</v>
      </c>
      <c r="AC11" s="215" t="e">
        <f>IF(#REF!="X",$Y11/$C11*3,0)</f>
        <v>#REF!</v>
      </c>
      <c r="AD11" s="216" t="e">
        <f t="shared" si="6"/>
        <v>#REF!</v>
      </c>
      <c r="AE11" s="214">
        <f t="shared" si="7"/>
        <v>0</v>
      </c>
      <c r="AF11" s="214">
        <f t="shared" si="7"/>
        <v>0</v>
      </c>
      <c r="AG11" s="214">
        <f>IF(G11="X",$Y11/$C11*3,0)</f>
        <v>35295</v>
      </c>
      <c r="AH11" s="214">
        <f>IF(H11="X",$Y11/$C11*3,0)</f>
        <v>35295</v>
      </c>
      <c r="AI11" s="290">
        <f t="shared" si="14"/>
        <v>70590</v>
      </c>
      <c r="AJ11" s="214">
        <f>IF(I11="X",$Y11/$C11*3,0)</f>
        <v>35295</v>
      </c>
      <c r="AK11" s="214">
        <f>IF(J11="X",$Y11/$C11*3,0)</f>
        <v>35295</v>
      </c>
      <c r="AL11" s="214">
        <f>IF(K11="X",$Y11/$C11*3,0)</f>
        <v>0</v>
      </c>
      <c r="AM11" s="214">
        <f>IF(L11="X",$Y11/$C11*3,0)</f>
        <v>0</v>
      </c>
      <c r="AN11" s="290">
        <f t="shared" si="16"/>
        <v>70590</v>
      </c>
      <c r="AO11" s="214">
        <f t="shared" si="8"/>
        <v>0</v>
      </c>
      <c r="AP11" s="214">
        <f t="shared" si="8"/>
        <v>0</v>
      </c>
      <c r="AQ11" s="214">
        <f t="shared" si="8"/>
        <v>0</v>
      </c>
      <c r="AR11" s="214">
        <f t="shared" si="8"/>
        <v>0</v>
      </c>
      <c r="AS11" s="872">
        <f t="shared" si="9"/>
        <v>0</v>
      </c>
      <c r="AT11" s="214">
        <f t="shared" si="10"/>
        <v>0</v>
      </c>
      <c r="AU11" s="214">
        <f t="shared" si="10"/>
        <v>0</v>
      </c>
      <c r="AV11" s="214">
        <f t="shared" si="10"/>
        <v>0</v>
      </c>
      <c r="AW11" s="214">
        <f t="shared" si="10"/>
        <v>0</v>
      </c>
      <c r="AX11" s="290">
        <f t="shared" si="11"/>
        <v>0</v>
      </c>
      <c r="AY11" s="870">
        <f t="shared" si="12"/>
        <v>0</v>
      </c>
      <c r="AZ11" s="214">
        <f t="shared" si="12"/>
        <v>0</v>
      </c>
      <c r="BA11" s="214">
        <f t="shared" si="12"/>
        <v>0</v>
      </c>
      <c r="BB11" s="214">
        <f t="shared" si="12"/>
        <v>0</v>
      </c>
      <c r="BC11" s="290">
        <f>SUM(AY11:BB11)</f>
        <v>0</v>
      </c>
    </row>
    <row r="12" spans="1:55" s="19" customFormat="1" ht="29.25" customHeight="1" x14ac:dyDescent="0.2">
      <c r="A12" s="217" t="str">
        <f>'3_Comp e Produtos'!A12</f>
        <v xml:space="preserve">1.6. Certificação do adequado funcionamento do controle externo e interno das polícias nos territórios do Programa </v>
      </c>
      <c r="B12" s="868">
        <v>41821</v>
      </c>
      <c r="C12" s="867">
        <v>54</v>
      </c>
      <c r="D12" s="211">
        <v>43464</v>
      </c>
      <c r="E12" s="212" t="str">
        <f t="shared" si="4"/>
        <v xml:space="preserve"> </v>
      </c>
      <c r="F12" s="212" t="str">
        <f t="shared" si="4"/>
        <v xml:space="preserve"> </v>
      </c>
      <c r="G12" s="212" t="str">
        <f t="shared" si="4"/>
        <v>X</v>
      </c>
      <c r="H12" s="212" t="str">
        <f t="shared" si="4"/>
        <v>X</v>
      </c>
      <c r="I12" s="212"/>
      <c r="J12" s="212" t="str">
        <f t="shared" si="4"/>
        <v>X</v>
      </c>
      <c r="K12" s="212"/>
      <c r="L12" s="212" t="str">
        <f t="shared" si="4"/>
        <v>X</v>
      </c>
      <c r="M12" s="212"/>
      <c r="N12" s="212" t="str">
        <f t="shared" si="4"/>
        <v>X</v>
      </c>
      <c r="O12" s="212"/>
      <c r="P12" s="212" t="str">
        <f t="shared" si="4"/>
        <v>X</v>
      </c>
      <c r="Q12" s="212"/>
      <c r="R12" s="212" t="str">
        <f t="shared" si="4"/>
        <v>X</v>
      </c>
      <c r="S12" s="212"/>
      <c r="T12" s="212" t="str">
        <f t="shared" si="4"/>
        <v>X</v>
      </c>
      <c r="U12" s="212"/>
      <c r="V12" s="212" t="str">
        <f t="shared" si="5"/>
        <v>X</v>
      </c>
      <c r="W12" s="212"/>
      <c r="X12" s="212" t="str">
        <f t="shared" si="5"/>
        <v>X</v>
      </c>
      <c r="Y12" s="213">
        <f>'4_Componente 1'!$A$33</f>
        <v>250000</v>
      </c>
      <c r="Z12" s="214" t="e">
        <f>IF(#REF!="X",$Y12/$C12*3,0)</f>
        <v>#REF!</v>
      </c>
      <c r="AA12" s="214" t="e">
        <f>IF(#REF!="X",$Y12/$C12*3,0)</f>
        <v>#REF!</v>
      </c>
      <c r="AB12" s="214" t="e">
        <f>IF(#REF!="X",$Y12/$C12*3,0)</f>
        <v>#REF!</v>
      </c>
      <c r="AC12" s="289" t="e">
        <f>IF(#REF!="X",$Y12/$C12*3,0)</f>
        <v>#REF!</v>
      </c>
      <c r="AD12" s="290" t="e">
        <f t="shared" si="6"/>
        <v>#REF!</v>
      </c>
      <c r="AE12" s="214">
        <f t="shared" si="7"/>
        <v>0</v>
      </c>
      <c r="AF12" s="214">
        <f t="shared" si="7"/>
        <v>0</v>
      </c>
      <c r="AG12" s="214">
        <v>25000</v>
      </c>
      <c r="AH12" s="214">
        <v>25000</v>
      </c>
      <c r="AI12" s="290">
        <v>50000</v>
      </c>
      <c r="AJ12" s="214"/>
      <c r="AK12" s="214">
        <v>25000</v>
      </c>
      <c r="AL12" s="214"/>
      <c r="AM12" s="214">
        <v>25000</v>
      </c>
      <c r="AN12" s="290">
        <f t="shared" si="16"/>
        <v>50000</v>
      </c>
      <c r="AO12" s="214"/>
      <c r="AP12" s="214">
        <v>25000</v>
      </c>
      <c r="AQ12" s="214"/>
      <c r="AR12" s="214">
        <v>25000</v>
      </c>
      <c r="AS12" s="872">
        <f t="shared" si="9"/>
        <v>50000</v>
      </c>
      <c r="AT12" s="214"/>
      <c r="AU12" s="214">
        <v>25000</v>
      </c>
      <c r="AV12" s="214"/>
      <c r="AW12" s="214">
        <v>25000</v>
      </c>
      <c r="AX12" s="290">
        <f t="shared" si="11"/>
        <v>50000</v>
      </c>
      <c r="AY12" s="870"/>
      <c r="AZ12" s="214">
        <v>25000</v>
      </c>
      <c r="BA12" s="214"/>
      <c r="BB12" s="214">
        <v>25000</v>
      </c>
      <c r="BC12" s="290">
        <f t="shared" si="13"/>
        <v>50000</v>
      </c>
    </row>
    <row r="13" spans="1:55" s="19" customFormat="1" ht="25.5" x14ac:dyDescent="0.2">
      <c r="A13" s="875" t="str">
        <f>'3_Comp e Produtos'!A13</f>
        <v>COMPONENTE 2: PREVENÇÃO SOCIAL DA VIOLÊNCIA PARA A POPULAÇÃO JOVEM</v>
      </c>
      <c r="B13" s="878">
        <f>MIN(B14:B17)</f>
        <v>41821</v>
      </c>
      <c r="C13" s="877">
        <f>IF(INT((D13-B13)/30)+1&gt;21,INT((D13-B13)/30),INT((D13-B13)/30)+1)</f>
        <v>54</v>
      </c>
      <c r="D13" s="878">
        <f>MAX(D14:D17)</f>
        <v>43464</v>
      </c>
      <c r="E13" s="209" t="str">
        <f t="shared" ref="E13:X13" si="17">IF(COUNTIF(E14:E17,"X")&lt;&gt;0,"X","")</f>
        <v/>
      </c>
      <c r="F13" s="209" t="str">
        <f t="shared" si="17"/>
        <v/>
      </c>
      <c r="G13" s="209" t="str">
        <f t="shared" si="17"/>
        <v>X</v>
      </c>
      <c r="H13" s="209" t="str">
        <f t="shared" si="17"/>
        <v>X</v>
      </c>
      <c r="I13" s="209" t="str">
        <f t="shared" si="17"/>
        <v>X</v>
      </c>
      <c r="J13" s="209" t="str">
        <f t="shared" si="17"/>
        <v>X</v>
      </c>
      <c r="K13" s="209" t="str">
        <f t="shared" si="17"/>
        <v>X</v>
      </c>
      <c r="L13" s="209" t="str">
        <f t="shared" si="17"/>
        <v>X</v>
      </c>
      <c r="M13" s="209" t="str">
        <f t="shared" si="17"/>
        <v>X</v>
      </c>
      <c r="N13" s="209" t="str">
        <f t="shared" si="17"/>
        <v>X</v>
      </c>
      <c r="O13" s="209" t="str">
        <f t="shared" si="17"/>
        <v>X</v>
      </c>
      <c r="P13" s="209" t="str">
        <f t="shared" si="17"/>
        <v>X</v>
      </c>
      <c r="Q13" s="209" t="str">
        <f t="shared" si="17"/>
        <v>X</v>
      </c>
      <c r="R13" s="209" t="str">
        <f t="shared" si="17"/>
        <v>X</v>
      </c>
      <c r="S13" s="209" t="str">
        <f t="shared" si="17"/>
        <v>X</v>
      </c>
      <c r="T13" s="209" t="str">
        <f t="shared" si="17"/>
        <v>X</v>
      </c>
      <c r="U13" s="209" t="str">
        <f t="shared" si="17"/>
        <v>X</v>
      </c>
      <c r="V13" s="209" t="str">
        <f t="shared" si="17"/>
        <v>X</v>
      </c>
      <c r="W13" s="209" t="str">
        <f t="shared" si="17"/>
        <v>X</v>
      </c>
      <c r="X13" s="209" t="str">
        <f t="shared" si="17"/>
        <v>X</v>
      </c>
      <c r="Y13" s="881">
        <f>SUM(AI13+AN13+AS13+AX13+BC13)</f>
        <v>28000000</v>
      </c>
      <c r="Z13" s="218" t="e">
        <f t="shared" ref="Z13:BC13" si="18">SUM(Z14:Z17)</f>
        <v>#REF!</v>
      </c>
      <c r="AA13" s="218" t="e">
        <f t="shared" si="18"/>
        <v>#REF!</v>
      </c>
      <c r="AB13" s="218" t="e">
        <f t="shared" si="18"/>
        <v>#REF!</v>
      </c>
      <c r="AC13" s="218" t="e">
        <f t="shared" si="18"/>
        <v>#REF!</v>
      </c>
      <c r="AD13" s="218" t="e">
        <f t="shared" si="18"/>
        <v>#REF!</v>
      </c>
      <c r="AE13" s="218">
        <f t="shared" si="18"/>
        <v>0</v>
      </c>
      <c r="AF13" s="218">
        <f t="shared" si="18"/>
        <v>0</v>
      </c>
      <c r="AG13" s="218">
        <f t="shared" si="18"/>
        <v>972338.16</v>
      </c>
      <c r="AH13" s="218">
        <f t="shared" si="18"/>
        <v>972338.16</v>
      </c>
      <c r="AI13" s="869">
        <f t="shared" si="18"/>
        <v>1944676.32</v>
      </c>
      <c r="AJ13" s="218">
        <f t="shared" si="18"/>
        <v>3596816.43</v>
      </c>
      <c r="AK13" s="218">
        <f t="shared" si="18"/>
        <v>3596816.43</v>
      </c>
      <c r="AL13" s="218">
        <f t="shared" si="18"/>
        <v>3596816.43</v>
      </c>
      <c r="AM13" s="218">
        <f t="shared" si="18"/>
        <v>3596816.43</v>
      </c>
      <c r="AN13" s="869">
        <f t="shared" si="18"/>
        <v>14387265.720000001</v>
      </c>
      <c r="AO13" s="218">
        <f t="shared" si="18"/>
        <v>972338.16</v>
      </c>
      <c r="AP13" s="218">
        <f t="shared" si="18"/>
        <v>972338.16</v>
      </c>
      <c r="AQ13" s="218">
        <f t="shared" si="18"/>
        <v>972338.16</v>
      </c>
      <c r="AR13" s="218">
        <f t="shared" si="18"/>
        <v>972338.16</v>
      </c>
      <c r="AS13" s="869">
        <f t="shared" si="18"/>
        <v>3889352.64</v>
      </c>
      <c r="AT13" s="218">
        <f t="shared" si="18"/>
        <v>972338.16</v>
      </c>
      <c r="AU13" s="218">
        <f t="shared" si="18"/>
        <v>972338.16</v>
      </c>
      <c r="AV13" s="218">
        <f t="shared" si="18"/>
        <v>972338.16</v>
      </c>
      <c r="AW13" s="218">
        <f t="shared" si="18"/>
        <v>972338.16</v>
      </c>
      <c r="AX13" s="869">
        <f t="shared" si="18"/>
        <v>3889352.64</v>
      </c>
      <c r="AY13" s="869">
        <f t="shared" si="18"/>
        <v>972338.16</v>
      </c>
      <c r="AZ13" s="218">
        <f t="shared" si="18"/>
        <v>972338.16</v>
      </c>
      <c r="BA13" s="218">
        <f t="shared" si="18"/>
        <v>972338.16</v>
      </c>
      <c r="BB13" s="218">
        <f t="shared" si="18"/>
        <v>972338.16</v>
      </c>
      <c r="BC13" s="869">
        <f t="shared" si="18"/>
        <v>3889352.64</v>
      </c>
    </row>
    <row r="14" spans="1:55" s="19" customFormat="1" ht="27" customHeight="1" x14ac:dyDescent="0.2">
      <c r="A14" s="217" t="str">
        <f>'3_Comp e Produtos'!A14</f>
        <v>2.1. Centros de Cidadania (CC) para práticas esportivas, culturais, recreativas, de educação supletiva e formação para o trabalho implantadas</v>
      </c>
      <c r="B14" s="868">
        <v>41821</v>
      </c>
      <c r="C14" s="867">
        <v>54</v>
      </c>
      <c r="D14" s="211">
        <v>43464</v>
      </c>
      <c r="E14" s="212" t="str">
        <f>IF(AND($C14&lt;&gt;0,$A14&lt;&gt;"NÃO SELECIONADO"),IF(E$5&gt;=$B14,IF(E$5&lt;=$D14,"X"," ")," "),"")</f>
        <v xml:space="preserve"> </v>
      </c>
      <c r="F14" s="212" t="str">
        <f t="shared" ref="F14:I17" si="19">IF(AND($C14&lt;&gt;0,$A14&lt;&gt;"NÃO SELECIONADO"),IF(F$5&gt;=$B14,IF(F$5&lt;=$D14,"X"," ")," "),"")</f>
        <v xml:space="preserve"> </v>
      </c>
      <c r="G14" s="212" t="str">
        <f t="shared" si="19"/>
        <v>X</v>
      </c>
      <c r="H14" s="212" t="str">
        <f t="shared" si="19"/>
        <v>X</v>
      </c>
      <c r="I14" s="212" t="str">
        <f>IF(AND($C14&lt;&gt;0,$A14&lt;&gt;"NÃO SELECIONADO"),IF(I$5&gt;=$B14,IF(I$5&lt;=$D14,"X"," ")," "),"")</f>
        <v>X</v>
      </c>
      <c r="J14" s="212" t="str">
        <f t="shared" ref="J14:X17" si="20">IF(AND($C14&lt;&gt;0,$A14&lt;&gt;"NÃO SELECIONADO"),IF(J$5&gt;=$B14,IF(J$5&lt;=$D14,"X"," ")," "),"")</f>
        <v>X</v>
      </c>
      <c r="K14" s="212" t="str">
        <f t="shared" si="20"/>
        <v>X</v>
      </c>
      <c r="L14" s="212" t="str">
        <f t="shared" si="20"/>
        <v>X</v>
      </c>
      <c r="M14" s="212" t="str">
        <f t="shared" si="20"/>
        <v>X</v>
      </c>
      <c r="N14" s="212" t="str">
        <f t="shared" si="20"/>
        <v>X</v>
      </c>
      <c r="O14" s="212" t="str">
        <f t="shared" si="20"/>
        <v>X</v>
      </c>
      <c r="P14" s="212" t="str">
        <f t="shared" si="20"/>
        <v>X</v>
      </c>
      <c r="Q14" s="212" t="str">
        <f t="shared" si="20"/>
        <v>X</v>
      </c>
      <c r="R14" s="212" t="str">
        <f t="shared" si="20"/>
        <v>X</v>
      </c>
      <c r="S14" s="212" t="str">
        <f t="shared" si="20"/>
        <v>X</v>
      </c>
      <c r="T14" s="212" t="str">
        <f t="shared" si="20"/>
        <v>X</v>
      </c>
      <c r="U14" s="212" t="str">
        <f t="shared" si="20"/>
        <v>X</v>
      </c>
      <c r="V14" s="212" t="str">
        <f t="shared" si="20"/>
        <v>X</v>
      </c>
      <c r="W14" s="212" t="str">
        <f t="shared" si="20"/>
        <v>X</v>
      </c>
      <c r="X14" s="212" t="str">
        <f t="shared" si="20"/>
        <v>X</v>
      </c>
      <c r="Y14" s="213">
        <f>'5_Componente 2'!$A$9</f>
        <v>11373586.460000001</v>
      </c>
      <c r="Z14" s="214" t="e">
        <f>IF(#REF!="X",$Y14/$C14*3,0)</f>
        <v>#REF!</v>
      </c>
      <c r="AA14" s="214" t="e">
        <f>IF(#REF!="X",$Y14/$C14*3,0)</f>
        <v>#REF!</v>
      </c>
      <c r="AB14" s="214" t="e">
        <f>IF(#REF!="X",$Y14/$C14*3,0)</f>
        <v>#REF!</v>
      </c>
      <c r="AC14" s="215" t="e">
        <f>IF(#REF!="X",$Y14/$C14*3,0)</f>
        <v>#REF!</v>
      </c>
      <c r="AD14" s="216" t="e">
        <f>SUM(Z14:AC14)</f>
        <v>#REF!</v>
      </c>
      <c r="AE14" s="214">
        <f t="shared" ref="AE14:AH17" si="21">IF(E14="X",$Y14/$C14*3,0)</f>
        <v>0</v>
      </c>
      <c r="AF14" s="214">
        <f t="shared" si="21"/>
        <v>0</v>
      </c>
      <c r="AG14" s="214">
        <f t="shared" si="21"/>
        <v>631865.91</v>
      </c>
      <c r="AH14" s="214">
        <f t="shared" si="21"/>
        <v>631865.91</v>
      </c>
      <c r="AI14" s="216">
        <f>SUM(AE14:AH14)</f>
        <v>1263731.82</v>
      </c>
      <c r="AJ14" s="215">
        <f t="shared" ref="AJ14:AM17" si="22">IF(I14="X",$Y14/$C14*3,0)</f>
        <v>631865.91</v>
      </c>
      <c r="AK14" s="215">
        <f t="shared" si="22"/>
        <v>631865.91</v>
      </c>
      <c r="AL14" s="215">
        <f t="shared" si="22"/>
        <v>631865.91</v>
      </c>
      <c r="AM14" s="214">
        <f t="shared" si="22"/>
        <v>631865.91</v>
      </c>
      <c r="AN14" s="290">
        <f>SUM(AJ14:AM14)</f>
        <v>2527463.64</v>
      </c>
      <c r="AO14" s="214">
        <f t="shared" ref="AO14:AR17" si="23">IF(M14="X",$Y14/$C14*3,0)</f>
        <v>631865.91</v>
      </c>
      <c r="AP14" s="214">
        <f t="shared" si="23"/>
        <v>631865.91</v>
      </c>
      <c r="AQ14" s="214">
        <f t="shared" si="23"/>
        <v>631865.91</v>
      </c>
      <c r="AR14" s="214">
        <f t="shared" si="23"/>
        <v>631865.91</v>
      </c>
      <c r="AS14" s="290">
        <f>SUM(AO14:AR14)</f>
        <v>2527463.64</v>
      </c>
      <c r="AT14" s="214">
        <f t="shared" ref="AT14:AW17" si="24">IF(Q14="X",$Y14/$C14*3,0)</f>
        <v>631865.91</v>
      </c>
      <c r="AU14" s="214">
        <f t="shared" si="24"/>
        <v>631865.91</v>
      </c>
      <c r="AV14" s="214">
        <f t="shared" si="24"/>
        <v>631865.91</v>
      </c>
      <c r="AW14" s="214">
        <f t="shared" si="24"/>
        <v>631865.91</v>
      </c>
      <c r="AX14" s="290">
        <f>SUM(AT14:AW14)</f>
        <v>2527463.64</v>
      </c>
      <c r="AY14" s="870">
        <f t="shared" ref="AY14:BB17" si="25">IF(U14="X",$Y14/$C14*3,0)</f>
        <v>631865.91</v>
      </c>
      <c r="AZ14" s="214">
        <f t="shared" si="25"/>
        <v>631865.91</v>
      </c>
      <c r="BA14" s="214">
        <f t="shared" si="25"/>
        <v>631865.91</v>
      </c>
      <c r="BB14" s="214">
        <f t="shared" si="25"/>
        <v>631865.91</v>
      </c>
      <c r="BC14" s="290">
        <f>SUM(AY14:BB14)</f>
        <v>2527463.64</v>
      </c>
    </row>
    <row r="15" spans="1:55" s="19" customFormat="1" x14ac:dyDescent="0.2">
      <c r="A15" s="379" t="str">
        <f>'3_Comp e Produtos'!A15</f>
        <v>2.2. Estação de Conhecimento implantado</v>
      </c>
      <c r="B15" s="866">
        <v>42005</v>
      </c>
      <c r="C15" s="867">
        <v>12</v>
      </c>
      <c r="D15" s="211">
        <v>42368</v>
      </c>
      <c r="E15" s="212" t="str">
        <f t="shared" ref="E15:E17" si="26">IF(AND($C15&lt;&gt;0,$A15&lt;&gt;"NÃO SELECIONADO"),IF(E$5&gt;=$B15,IF(E$5&lt;=$D15,"X"," ")," "),"")</f>
        <v xml:space="preserve"> </v>
      </c>
      <c r="F15" s="212" t="str">
        <f t="shared" si="19"/>
        <v xml:space="preserve"> </v>
      </c>
      <c r="G15" s="212" t="str">
        <f t="shared" si="19"/>
        <v xml:space="preserve"> </v>
      </c>
      <c r="H15" s="212" t="str">
        <f t="shared" si="19"/>
        <v xml:space="preserve"> </v>
      </c>
      <c r="I15" s="212" t="str">
        <f t="shared" si="19"/>
        <v>X</v>
      </c>
      <c r="J15" s="212" t="str">
        <f t="shared" si="20"/>
        <v>X</v>
      </c>
      <c r="K15" s="212" t="str">
        <f t="shared" si="20"/>
        <v>X</v>
      </c>
      <c r="L15" s="212" t="str">
        <f t="shared" si="20"/>
        <v>X</v>
      </c>
      <c r="M15" s="212" t="str">
        <f t="shared" si="20"/>
        <v xml:space="preserve"> </v>
      </c>
      <c r="N15" s="212" t="str">
        <f t="shared" si="20"/>
        <v xml:space="preserve"> </v>
      </c>
      <c r="O15" s="212" t="str">
        <f t="shared" si="20"/>
        <v xml:space="preserve"> </v>
      </c>
      <c r="P15" s="212" t="str">
        <f t="shared" si="20"/>
        <v xml:space="preserve"> </v>
      </c>
      <c r="Q15" s="212" t="str">
        <f t="shared" si="20"/>
        <v xml:space="preserve"> </v>
      </c>
      <c r="R15" s="212" t="str">
        <f t="shared" si="20"/>
        <v xml:space="preserve"> </v>
      </c>
      <c r="S15" s="212" t="str">
        <f t="shared" si="20"/>
        <v xml:space="preserve"> </v>
      </c>
      <c r="T15" s="212" t="str">
        <f t="shared" si="20"/>
        <v xml:space="preserve"> </v>
      </c>
      <c r="U15" s="212" t="str">
        <f t="shared" si="20"/>
        <v xml:space="preserve"> </v>
      </c>
      <c r="V15" s="212" t="str">
        <f t="shared" si="20"/>
        <v xml:space="preserve"> </v>
      </c>
      <c r="W15" s="212" t="str">
        <f t="shared" si="20"/>
        <v xml:space="preserve"> </v>
      </c>
      <c r="X15" s="212" t="str">
        <f t="shared" si="20"/>
        <v xml:space="preserve"> </v>
      </c>
      <c r="Y15" s="213">
        <f>'5_Componente 2'!$A$13</f>
        <v>8695652.1799999997</v>
      </c>
      <c r="Z15" s="214" t="e">
        <f>IF(#REF!="X",$Y15/$C15*3,0)</f>
        <v>#REF!</v>
      </c>
      <c r="AA15" s="214" t="e">
        <f>IF(#REF!="X",$Y15/$C15*3,0)</f>
        <v>#REF!</v>
      </c>
      <c r="AB15" s="214" t="e">
        <f>IF(#REF!="X",$Y15/$C15*3,0)</f>
        <v>#REF!</v>
      </c>
      <c r="AC15" s="215" t="e">
        <f>IF(#REF!="X",$Y15/$C15*3,0)</f>
        <v>#REF!</v>
      </c>
      <c r="AD15" s="216" t="e">
        <f>SUM(Z15:AC15)</f>
        <v>#REF!</v>
      </c>
      <c r="AE15" s="214">
        <f t="shared" si="21"/>
        <v>0</v>
      </c>
      <c r="AF15" s="214">
        <f t="shared" si="21"/>
        <v>0</v>
      </c>
      <c r="AG15" s="214">
        <f t="shared" si="21"/>
        <v>0</v>
      </c>
      <c r="AH15" s="214">
        <f t="shared" si="21"/>
        <v>0</v>
      </c>
      <c r="AI15" s="216">
        <f>SUM(AE15:AH15)</f>
        <v>0</v>
      </c>
      <c r="AJ15" s="215">
        <f t="shared" si="22"/>
        <v>2173913.0499999998</v>
      </c>
      <c r="AK15" s="215">
        <f t="shared" si="22"/>
        <v>2173913.0499999998</v>
      </c>
      <c r="AL15" s="215">
        <f t="shared" si="22"/>
        <v>2173913.0499999998</v>
      </c>
      <c r="AM15" s="214">
        <f t="shared" si="22"/>
        <v>2173913.0499999998</v>
      </c>
      <c r="AN15" s="290">
        <f>SUM(AJ15:AM15)</f>
        <v>8695652.1999999993</v>
      </c>
      <c r="AO15" s="214">
        <f t="shared" si="23"/>
        <v>0</v>
      </c>
      <c r="AP15" s="214">
        <f t="shared" si="23"/>
        <v>0</v>
      </c>
      <c r="AQ15" s="214">
        <f t="shared" si="23"/>
        <v>0</v>
      </c>
      <c r="AR15" s="214">
        <f t="shared" si="23"/>
        <v>0</v>
      </c>
      <c r="AS15" s="290">
        <f>SUM(AO15:AR15)</f>
        <v>0</v>
      </c>
      <c r="AT15" s="214">
        <f t="shared" si="24"/>
        <v>0</v>
      </c>
      <c r="AU15" s="214">
        <f t="shared" si="24"/>
        <v>0</v>
      </c>
      <c r="AV15" s="214">
        <f t="shared" si="24"/>
        <v>0</v>
      </c>
      <c r="AW15" s="214">
        <f t="shared" si="24"/>
        <v>0</v>
      </c>
      <c r="AX15" s="290">
        <f>SUM(AT15:AW15)</f>
        <v>0</v>
      </c>
      <c r="AY15" s="870">
        <f t="shared" si="25"/>
        <v>0</v>
      </c>
      <c r="AZ15" s="214">
        <f t="shared" si="25"/>
        <v>0</v>
      </c>
      <c r="BA15" s="214">
        <f t="shared" si="25"/>
        <v>0</v>
      </c>
      <c r="BB15" s="214">
        <f t="shared" si="25"/>
        <v>0</v>
      </c>
      <c r="BC15" s="290">
        <f>SUM(AY15:BB15)</f>
        <v>0</v>
      </c>
    </row>
    <row r="16" spans="1:55" s="19" customFormat="1" x14ac:dyDescent="0.2">
      <c r="A16" s="217" t="str">
        <f>'3_Comp e Produtos'!A16</f>
        <v>2.3. Cobertura de serviços de assistência a dependentes de álcool e drogas, ampliada</v>
      </c>
      <c r="B16" s="866">
        <v>42005</v>
      </c>
      <c r="C16" s="867">
        <v>12</v>
      </c>
      <c r="D16" s="211">
        <v>42368</v>
      </c>
      <c r="E16" s="212" t="str">
        <f t="shared" si="26"/>
        <v xml:space="preserve"> </v>
      </c>
      <c r="F16" s="212" t="str">
        <f t="shared" si="19"/>
        <v xml:space="preserve"> </v>
      </c>
      <c r="G16" s="212" t="str">
        <f t="shared" si="19"/>
        <v xml:space="preserve"> </v>
      </c>
      <c r="H16" s="212" t="str">
        <f t="shared" si="19"/>
        <v xml:space="preserve"> </v>
      </c>
      <c r="I16" s="212" t="str">
        <f t="shared" si="19"/>
        <v>X</v>
      </c>
      <c r="J16" s="212" t="str">
        <f t="shared" si="20"/>
        <v>X</v>
      </c>
      <c r="K16" s="212" t="str">
        <f t="shared" si="20"/>
        <v>X</v>
      </c>
      <c r="L16" s="212" t="str">
        <f t="shared" si="20"/>
        <v>X</v>
      </c>
      <c r="M16" s="212" t="str">
        <f t="shared" si="20"/>
        <v xml:space="preserve"> </v>
      </c>
      <c r="N16" s="212" t="str">
        <f t="shared" si="20"/>
        <v xml:space="preserve"> </v>
      </c>
      <c r="O16" s="212" t="str">
        <f t="shared" si="20"/>
        <v xml:space="preserve"> </v>
      </c>
      <c r="P16" s="212" t="str">
        <f t="shared" si="20"/>
        <v xml:space="preserve"> </v>
      </c>
      <c r="Q16" s="212" t="str">
        <f t="shared" si="20"/>
        <v xml:space="preserve"> </v>
      </c>
      <c r="R16" s="212" t="str">
        <f t="shared" si="20"/>
        <v xml:space="preserve"> </v>
      </c>
      <c r="S16" s="212" t="str">
        <f t="shared" si="20"/>
        <v xml:space="preserve"> </v>
      </c>
      <c r="T16" s="212" t="str">
        <f t="shared" si="20"/>
        <v xml:space="preserve"> </v>
      </c>
      <c r="U16" s="212" t="str">
        <f t="shared" si="20"/>
        <v xml:space="preserve"> </v>
      </c>
      <c r="V16" s="212" t="str">
        <f t="shared" si="20"/>
        <v xml:space="preserve"> </v>
      </c>
      <c r="W16" s="212" t="str">
        <f t="shared" si="20"/>
        <v xml:space="preserve"> </v>
      </c>
      <c r="X16" s="212" t="str">
        <f t="shared" si="20"/>
        <v xml:space="preserve"> </v>
      </c>
      <c r="Y16" s="213">
        <f>'5_Componente 2'!$A$18</f>
        <v>1802260.87</v>
      </c>
      <c r="Z16" s="214" t="e">
        <f>IF(#REF!="X",$Y16/$C16*3,0)</f>
        <v>#REF!</v>
      </c>
      <c r="AA16" s="214" t="e">
        <f>IF(#REF!="X",$Y16/$C16*3,0)</f>
        <v>#REF!</v>
      </c>
      <c r="AB16" s="214" t="e">
        <f>IF(#REF!="X",$Y16/$C16*3,0)</f>
        <v>#REF!</v>
      </c>
      <c r="AC16" s="215" t="e">
        <f>IF(#REF!="X",$Y16/$C16*3,0)</f>
        <v>#REF!</v>
      </c>
      <c r="AD16" s="216" t="e">
        <f>SUM(Z16:AC16)</f>
        <v>#REF!</v>
      </c>
      <c r="AE16" s="214">
        <f t="shared" si="21"/>
        <v>0</v>
      </c>
      <c r="AF16" s="214">
        <f t="shared" si="21"/>
        <v>0</v>
      </c>
      <c r="AG16" s="214">
        <f t="shared" si="21"/>
        <v>0</v>
      </c>
      <c r="AH16" s="214">
        <f t="shared" si="21"/>
        <v>0</v>
      </c>
      <c r="AI16" s="216">
        <f>SUM(AE16:AH16)</f>
        <v>0</v>
      </c>
      <c r="AJ16" s="215">
        <f t="shared" si="22"/>
        <v>450565.22</v>
      </c>
      <c r="AK16" s="215">
        <f t="shared" si="22"/>
        <v>450565.22</v>
      </c>
      <c r="AL16" s="215">
        <f t="shared" si="22"/>
        <v>450565.22</v>
      </c>
      <c r="AM16" s="214">
        <f t="shared" si="22"/>
        <v>450565.22</v>
      </c>
      <c r="AN16" s="290">
        <f>SUM(AJ16:AM16)</f>
        <v>1802260.88</v>
      </c>
      <c r="AO16" s="214">
        <f t="shared" si="23"/>
        <v>0</v>
      </c>
      <c r="AP16" s="214">
        <f t="shared" si="23"/>
        <v>0</v>
      </c>
      <c r="AQ16" s="214">
        <f t="shared" si="23"/>
        <v>0</v>
      </c>
      <c r="AR16" s="214">
        <f t="shared" si="23"/>
        <v>0</v>
      </c>
      <c r="AS16" s="290">
        <f>SUM(AO16:AR16)</f>
        <v>0</v>
      </c>
      <c r="AT16" s="214">
        <f t="shared" si="24"/>
        <v>0</v>
      </c>
      <c r="AU16" s="214">
        <f t="shared" si="24"/>
        <v>0</v>
      </c>
      <c r="AV16" s="214">
        <f t="shared" si="24"/>
        <v>0</v>
      </c>
      <c r="AW16" s="214">
        <f t="shared" si="24"/>
        <v>0</v>
      </c>
      <c r="AX16" s="290">
        <f>SUM(AT16:AW16)</f>
        <v>0</v>
      </c>
      <c r="AY16" s="870">
        <f t="shared" si="25"/>
        <v>0</v>
      </c>
      <c r="AZ16" s="214">
        <f t="shared" si="25"/>
        <v>0</v>
      </c>
      <c r="BA16" s="214">
        <f t="shared" si="25"/>
        <v>0</v>
      </c>
      <c r="BB16" s="214">
        <f t="shared" si="25"/>
        <v>0</v>
      </c>
      <c r="BC16" s="290">
        <f>SUM(AY16:BB16)</f>
        <v>0</v>
      </c>
    </row>
    <row r="17" spans="1:55" s="19" customFormat="1" ht="25.5" x14ac:dyDescent="0.2">
      <c r="A17" s="217" t="str">
        <f>'3_Comp e Produtos'!A17</f>
        <v>2.4. Ações voltadas ao sistema educativo que promovam a permanência dos jovens na escola e a conclusão do Ensino Fundamental e Ensino Médio implantadas</v>
      </c>
      <c r="B17" s="866">
        <v>41821</v>
      </c>
      <c r="C17" s="867">
        <v>54</v>
      </c>
      <c r="D17" s="211">
        <v>43464</v>
      </c>
      <c r="E17" s="212" t="str">
        <f t="shared" si="26"/>
        <v xml:space="preserve"> </v>
      </c>
      <c r="F17" s="212" t="str">
        <f t="shared" si="19"/>
        <v xml:space="preserve"> </v>
      </c>
      <c r="G17" s="212" t="str">
        <f t="shared" si="19"/>
        <v>X</v>
      </c>
      <c r="H17" s="212" t="str">
        <f t="shared" si="19"/>
        <v>X</v>
      </c>
      <c r="I17" s="212" t="str">
        <f t="shared" si="19"/>
        <v>X</v>
      </c>
      <c r="J17" s="212" t="str">
        <f t="shared" si="20"/>
        <v>X</v>
      </c>
      <c r="K17" s="212" t="str">
        <f t="shared" si="20"/>
        <v>X</v>
      </c>
      <c r="L17" s="212" t="str">
        <f t="shared" si="20"/>
        <v>X</v>
      </c>
      <c r="M17" s="212" t="str">
        <f t="shared" si="20"/>
        <v>X</v>
      </c>
      <c r="N17" s="212" t="str">
        <f t="shared" si="20"/>
        <v>X</v>
      </c>
      <c r="O17" s="212" t="str">
        <f t="shared" si="20"/>
        <v>X</v>
      </c>
      <c r="P17" s="212" t="str">
        <f t="shared" si="20"/>
        <v>X</v>
      </c>
      <c r="Q17" s="212" t="str">
        <f t="shared" si="20"/>
        <v>X</v>
      </c>
      <c r="R17" s="212" t="str">
        <f t="shared" si="20"/>
        <v>X</v>
      </c>
      <c r="S17" s="212" t="str">
        <f t="shared" si="20"/>
        <v>X</v>
      </c>
      <c r="T17" s="212" t="str">
        <f t="shared" si="20"/>
        <v>X</v>
      </c>
      <c r="U17" s="212" t="str">
        <f t="shared" si="20"/>
        <v>X</v>
      </c>
      <c r="V17" s="212" t="str">
        <f t="shared" si="20"/>
        <v>X</v>
      </c>
      <c r="W17" s="212" t="str">
        <f t="shared" si="20"/>
        <v>X</v>
      </c>
      <c r="X17" s="212" t="str">
        <f t="shared" si="20"/>
        <v>X</v>
      </c>
      <c r="Y17" s="213">
        <f>'5_Componente 2'!$A$24</f>
        <v>6128500.5</v>
      </c>
      <c r="Z17" s="214" t="e">
        <f>IF(#REF!="X",$Y17/$C17*3,0)</f>
        <v>#REF!</v>
      </c>
      <c r="AA17" s="214" t="e">
        <f>IF(#REF!="X",$Y17/$C17*3,0)</f>
        <v>#REF!</v>
      </c>
      <c r="AB17" s="214" t="e">
        <f>IF(#REF!="X",$Y17/$C17*3,0)</f>
        <v>#REF!</v>
      </c>
      <c r="AC17" s="215" t="e">
        <f>IF(#REF!="X",$Y17/$C17*3,0)</f>
        <v>#REF!</v>
      </c>
      <c r="AD17" s="216" t="e">
        <f>SUM(Z17:AC17)</f>
        <v>#REF!</v>
      </c>
      <c r="AE17" s="214">
        <f t="shared" si="21"/>
        <v>0</v>
      </c>
      <c r="AF17" s="214">
        <f t="shared" si="21"/>
        <v>0</v>
      </c>
      <c r="AG17" s="214">
        <f t="shared" si="21"/>
        <v>340472.25</v>
      </c>
      <c r="AH17" s="214">
        <f t="shared" si="21"/>
        <v>340472.25</v>
      </c>
      <c r="AI17" s="290">
        <f>SUM(AE17:AH17)</f>
        <v>680944.5</v>
      </c>
      <c r="AJ17" s="215">
        <f t="shared" si="22"/>
        <v>340472.25</v>
      </c>
      <c r="AK17" s="215">
        <f t="shared" si="22"/>
        <v>340472.25</v>
      </c>
      <c r="AL17" s="215">
        <f t="shared" si="22"/>
        <v>340472.25</v>
      </c>
      <c r="AM17" s="214">
        <f t="shared" si="22"/>
        <v>340472.25</v>
      </c>
      <c r="AN17" s="290">
        <f>SUM(AJ17:AM17)</f>
        <v>1361889</v>
      </c>
      <c r="AO17" s="214">
        <f t="shared" si="23"/>
        <v>340472.25</v>
      </c>
      <c r="AP17" s="214">
        <f t="shared" si="23"/>
        <v>340472.25</v>
      </c>
      <c r="AQ17" s="214">
        <f t="shared" si="23"/>
        <v>340472.25</v>
      </c>
      <c r="AR17" s="214">
        <f t="shared" si="23"/>
        <v>340472.25</v>
      </c>
      <c r="AS17" s="290">
        <f>SUM(AO17:AR17)</f>
        <v>1361889</v>
      </c>
      <c r="AT17" s="214">
        <f t="shared" si="24"/>
        <v>340472.25</v>
      </c>
      <c r="AU17" s="214">
        <f t="shared" si="24"/>
        <v>340472.25</v>
      </c>
      <c r="AV17" s="214">
        <f t="shared" si="24"/>
        <v>340472.25</v>
      </c>
      <c r="AW17" s="214">
        <f t="shared" si="24"/>
        <v>340472.25</v>
      </c>
      <c r="AX17" s="290">
        <f>SUM(AT17:AW17)</f>
        <v>1361889</v>
      </c>
      <c r="AY17" s="870">
        <f t="shared" si="25"/>
        <v>340472.25</v>
      </c>
      <c r="AZ17" s="214">
        <f t="shared" si="25"/>
        <v>340472.25</v>
      </c>
      <c r="BA17" s="214">
        <f t="shared" si="25"/>
        <v>340472.25</v>
      </c>
      <c r="BB17" s="214">
        <f t="shared" si="25"/>
        <v>340472.25</v>
      </c>
      <c r="BC17" s="290">
        <f>SUM(AY17:BB17)</f>
        <v>1361889</v>
      </c>
    </row>
    <row r="18" spans="1:55" s="19" customFormat="1" ht="26.25" customHeight="1" x14ac:dyDescent="0.2">
      <c r="A18" s="875" t="str">
        <f>'3_Comp e Produtos'!A18</f>
        <v>COMPONENTE 3: MODERNIZAÇÃO DO PROCESSO DE RESSOCIALIZAÇÃO</v>
      </c>
      <c r="B18" s="878">
        <f>MIN(B19:B23)</f>
        <v>41821</v>
      </c>
      <c r="C18" s="877">
        <f>IF(INT((D18-B18)/30)+1&gt;21,INT((D18-B18)/30),INT((D18-B18)/30)+1)</f>
        <v>54</v>
      </c>
      <c r="D18" s="878">
        <f>MAX(D19:D23)</f>
        <v>43464</v>
      </c>
      <c r="E18" s="209" t="str">
        <f>IF(COUNTIF(E19:E23,"X")&lt;&gt;0,"X","")</f>
        <v/>
      </c>
      <c r="F18" s="209" t="str">
        <f t="shared" ref="F18:X18" si="27">IF(COUNTIF(F19:F23,"X")&lt;&gt;0,"X","")</f>
        <v/>
      </c>
      <c r="G18" s="209" t="str">
        <f t="shared" si="27"/>
        <v>X</v>
      </c>
      <c r="H18" s="209" t="str">
        <f t="shared" si="27"/>
        <v>X</v>
      </c>
      <c r="I18" s="209" t="str">
        <f t="shared" si="27"/>
        <v>X</v>
      </c>
      <c r="J18" s="209" t="str">
        <f t="shared" si="27"/>
        <v>X</v>
      </c>
      <c r="K18" s="209" t="str">
        <f t="shared" si="27"/>
        <v>X</v>
      </c>
      <c r="L18" s="209" t="str">
        <f t="shared" si="27"/>
        <v>X</v>
      </c>
      <c r="M18" s="209" t="str">
        <f t="shared" si="27"/>
        <v>X</v>
      </c>
      <c r="N18" s="209" t="str">
        <f t="shared" si="27"/>
        <v>X</v>
      </c>
      <c r="O18" s="209" t="str">
        <f t="shared" si="27"/>
        <v>X</v>
      </c>
      <c r="P18" s="209" t="str">
        <f t="shared" si="27"/>
        <v>X</v>
      </c>
      <c r="Q18" s="209" t="str">
        <f t="shared" si="27"/>
        <v>X</v>
      </c>
      <c r="R18" s="209" t="str">
        <f t="shared" si="27"/>
        <v>X</v>
      </c>
      <c r="S18" s="209" t="str">
        <f t="shared" si="27"/>
        <v>X</v>
      </c>
      <c r="T18" s="209" t="str">
        <f t="shared" si="27"/>
        <v>X</v>
      </c>
      <c r="U18" s="209" t="str">
        <f t="shared" si="27"/>
        <v>X</v>
      </c>
      <c r="V18" s="209" t="str">
        <f t="shared" si="27"/>
        <v>X</v>
      </c>
      <c r="W18" s="209" t="str">
        <f t="shared" si="27"/>
        <v>X</v>
      </c>
      <c r="X18" s="209" t="str">
        <f t="shared" si="27"/>
        <v>X</v>
      </c>
      <c r="Y18" s="881">
        <f>SUM(AI18+AN18+AS18+AX18+BC18)</f>
        <v>10600000</v>
      </c>
      <c r="Z18" s="218">
        <f t="shared" ref="Z18:AD18" si="28">SUM(Z19:Z22)</f>
        <v>0</v>
      </c>
      <c r="AA18" s="218">
        <f t="shared" si="28"/>
        <v>0</v>
      </c>
      <c r="AB18" s="218">
        <f t="shared" si="28"/>
        <v>0</v>
      </c>
      <c r="AC18" s="218">
        <f t="shared" si="28"/>
        <v>0</v>
      </c>
      <c r="AD18" s="218">
        <f t="shared" si="28"/>
        <v>0</v>
      </c>
      <c r="AE18" s="218">
        <f>SUM(AE19:AE23)</f>
        <v>0</v>
      </c>
      <c r="AF18" s="218">
        <f t="shared" ref="AF18:AH18" si="29">SUM(AF19:AF23)</f>
        <v>0</v>
      </c>
      <c r="AG18" s="218">
        <f t="shared" si="29"/>
        <v>1152536.19</v>
      </c>
      <c r="AH18" s="218">
        <f t="shared" si="29"/>
        <v>1152536.19</v>
      </c>
      <c r="AI18" s="869">
        <f>SUM(AI19:AI23)</f>
        <v>2305072.38</v>
      </c>
      <c r="AJ18" s="218">
        <f>SUM(AJ19:AJ23)</f>
        <v>1601256.39</v>
      </c>
      <c r="AK18" s="218">
        <f t="shared" ref="AK18:AM18" si="30">SUM(AK19:AK23)</f>
        <v>1601256.39</v>
      </c>
      <c r="AL18" s="218">
        <f t="shared" si="30"/>
        <v>748361.23</v>
      </c>
      <c r="AM18" s="218">
        <f t="shared" si="30"/>
        <v>748361.23</v>
      </c>
      <c r="AN18" s="869">
        <f>SUM(AN19:AN23)</f>
        <v>4699235.24</v>
      </c>
      <c r="AO18" s="218">
        <f>SUM(AO19:AO23)</f>
        <v>299641.03000000003</v>
      </c>
      <c r="AP18" s="218">
        <f t="shared" ref="AP18:AR18" si="31">SUM(AP19:AP23)</f>
        <v>299641.03000000003</v>
      </c>
      <c r="AQ18" s="218">
        <f t="shared" si="31"/>
        <v>299641.03000000003</v>
      </c>
      <c r="AR18" s="218">
        <f t="shared" si="31"/>
        <v>299641.03000000003</v>
      </c>
      <c r="AS18" s="869">
        <f>SUM(AS19:AS23)</f>
        <v>1198564.1200000001</v>
      </c>
      <c r="AT18" s="218">
        <f>SUM(AT19:AT23)</f>
        <v>299641.03000000003</v>
      </c>
      <c r="AU18" s="218">
        <f t="shared" ref="AU18:AW18" si="32">SUM(AU19:AU23)</f>
        <v>299641.03000000003</v>
      </c>
      <c r="AV18" s="218">
        <f t="shared" si="32"/>
        <v>299641.03000000003</v>
      </c>
      <c r="AW18" s="218">
        <f t="shared" si="32"/>
        <v>299641.03000000003</v>
      </c>
      <c r="AX18" s="869">
        <f>SUM(AX19:AX23)</f>
        <v>1198564.1200000001</v>
      </c>
      <c r="AY18" s="869">
        <f>SUM(AY19:AY23)</f>
        <v>299641.03000000003</v>
      </c>
      <c r="AZ18" s="869">
        <f t="shared" ref="AZ18:BB18" si="33">SUM(AZ19:AZ23)</f>
        <v>299641.03000000003</v>
      </c>
      <c r="BA18" s="869">
        <f t="shared" si="33"/>
        <v>299641.03000000003</v>
      </c>
      <c r="BB18" s="869">
        <f t="shared" si="33"/>
        <v>299641.03000000003</v>
      </c>
      <c r="BC18" s="869">
        <f>SUM(BC19:BC23)</f>
        <v>1198564.1200000001</v>
      </c>
    </row>
    <row r="19" spans="1:55" s="19" customFormat="1" x14ac:dyDescent="0.2">
      <c r="A19" s="379" t="str">
        <f>'6_Componente 3'!$A$5</f>
        <v>3.1. Plano de formação contínua para servidores do IASES, implantado</v>
      </c>
      <c r="B19" s="866">
        <v>41821</v>
      </c>
      <c r="C19" s="867">
        <v>54</v>
      </c>
      <c r="D19" s="211">
        <v>43464</v>
      </c>
      <c r="E19" s="212" t="str">
        <f t="shared" ref="E19:T22" si="34">IF(AND($C19&lt;&gt;0,$A19&lt;&gt;"NÃO SELECIONADO"),IF(E$5&gt;=$B19,IF(E$5&lt;=$D19,"X"," ")," "),"")</f>
        <v xml:space="preserve"> </v>
      </c>
      <c r="F19" s="212" t="str">
        <f t="shared" si="34"/>
        <v xml:space="preserve"> </v>
      </c>
      <c r="G19" s="212" t="str">
        <f t="shared" si="34"/>
        <v>X</v>
      </c>
      <c r="H19" s="212" t="str">
        <f t="shared" si="34"/>
        <v>X</v>
      </c>
      <c r="I19" s="212" t="str">
        <f t="shared" si="34"/>
        <v>X</v>
      </c>
      <c r="J19" s="212" t="str">
        <f t="shared" si="34"/>
        <v>X</v>
      </c>
      <c r="K19" s="212" t="str">
        <f t="shared" si="34"/>
        <v>X</v>
      </c>
      <c r="L19" s="212" t="str">
        <f t="shared" si="34"/>
        <v>X</v>
      </c>
      <c r="M19" s="212" t="str">
        <f t="shared" si="34"/>
        <v>X</v>
      </c>
      <c r="N19" s="212" t="str">
        <f t="shared" si="34"/>
        <v>X</v>
      </c>
      <c r="O19" s="212" t="str">
        <f t="shared" si="34"/>
        <v>X</v>
      </c>
      <c r="P19" s="212" t="str">
        <f t="shared" si="34"/>
        <v>X</v>
      </c>
      <c r="Q19" s="212" t="str">
        <f t="shared" si="34"/>
        <v>X</v>
      </c>
      <c r="R19" s="212" t="str">
        <f t="shared" si="34"/>
        <v>X</v>
      </c>
      <c r="S19" s="212" t="str">
        <f t="shared" si="34"/>
        <v>X</v>
      </c>
      <c r="T19" s="212" t="str">
        <f t="shared" si="34"/>
        <v>X</v>
      </c>
      <c r="U19" s="212" t="str">
        <f t="shared" ref="F19:X23" si="35">IF(AND($C19&lt;&gt;0,$A19&lt;&gt;"NÃO SELECIONADO"),IF(U$5&gt;=$B19,IF(U$5&lt;=$D19,"X"," ")," "),"")</f>
        <v>X</v>
      </c>
      <c r="V19" s="212" t="str">
        <f t="shared" si="35"/>
        <v>X</v>
      </c>
      <c r="W19" s="212" t="str">
        <f t="shared" si="35"/>
        <v>X</v>
      </c>
      <c r="X19" s="212" t="str">
        <f t="shared" si="35"/>
        <v>X</v>
      </c>
      <c r="Y19" s="213">
        <f>'6_Componente 3'!A7</f>
        <v>1480495.1</v>
      </c>
      <c r="Z19" s="214"/>
      <c r="AA19" s="214"/>
      <c r="AB19" s="214"/>
      <c r="AC19" s="289"/>
      <c r="AD19" s="290"/>
      <c r="AE19" s="214">
        <f t="shared" ref="AE19:AH23" si="36">IF(E19="X",$Y19/$C19*3,0)</f>
        <v>0</v>
      </c>
      <c r="AF19" s="214">
        <f t="shared" si="36"/>
        <v>0</v>
      </c>
      <c r="AG19" s="214">
        <f t="shared" si="36"/>
        <v>82249.73</v>
      </c>
      <c r="AH19" s="214">
        <f t="shared" si="36"/>
        <v>82249.73</v>
      </c>
      <c r="AI19" s="290">
        <f>SUM(AE19:AH19)</f>
        <v>164499.46</v>
      </c>
      <c r="AJ19" s="214">
        <f t="shared" ref="AJ19:AM23" si="37">IF(I19="X",$Y19/$C19*3,0)</f>
        <v>82249.73</v>
      </c>
      <c r="AK19" s="214">
        <f t="shared" si="37"/>
        <v>82249.73</v>
      </c>
      <c r="AL19" s="214">
        <f t="shared" si="37"/>
        <v>82249.73</v>
      </c>
      <c r="AM19" s="214">
        <f t="shared" si="37"/>
        <v>82249.73</v>
      </c>
      <c r="AN19" s="290">
        <f t="shared" ref="AN19:AN20" si="38">SUM(AJ19:AM19)</f>
        <v>328998.92</v>
      </c>
      <c r="AO19" s="214">
        <f t="shared" ref="AO19:AR23" si="39">IF(M19="X",$Y19/$C19*3,0)</f>
        <v>82249.73</v>
      </c>
      <c r="AP19" s="214">
        <f t="shared" si="39"/>
        <v>82249.73</v>
      </c>
      <c r="AQ19" s="214">
        <f t="shared" si="39"/>
        <v>82249.73</v>
      </c>
      <c r="AR19" s="214">
        <f t="shared" si="39"/>
        <v>82249.73</v>
      </c>
      <c r="AS19" s="290">
        <f>SUM(AO19:AR19)</f>
        <v>328998.92</v>
      </c>
      <c r="AT19" s="214">
        <f t="shared" ref="AT19:AW23" si="40">IF(Q19="X",$Y19/$C19*3,0)</f>
        <v>82249.73</v>
      </c>
      <c r="AU19" s="214">
        <f t="shared" si="40"/>
        <v>82249.73</v>
      </c>
      <c r="AV19" s="214">
        <f t="shared" si="40"/>
        <v>82249.73</v>
      </c>
      <c r="AW19" s="214">
        <f t="shared" si="40"/>
        <v>82249.73</v>
      </c>
      <c r="AX19" s="290">
        <f>SUM(AT19:AW19)</f>
        <v>328998.92</v>
      </c>
      <c r="AY19" s="870">
        <f t="shared" ref="AY19:BB23" si="41">IF(U19="X",$Y19/$C19*3,0)</f>
        <v>82249.73</v>
      </c>
      <c r="AZ19" s="870">
        <f t="shared" si="41"/>
        <v>82249.73</v>
      </c>
      <c r="BA19" s="870">
        <f t="shared" si="41"/>
        <v>82249.73</v>
      </c>
      <c r="BB19" s="870">
        <f t="shared" si="41"/>
        <v>82249.73</v>
      </c>
      <c r="BC19" s="290">
        <f>SUM(AY19:BB19)</f>
        <v>328998.92</v>
      </c>
    </row>
    <row r="20" spans="1:55" s="19" customFormat="1" x14ac:dyDescent="0.2">
      <c r="A20" s="379" t="str">
        <f>'6_Componente 3'!$A$8</f>
        <v>3.2. Modernização do sistema de gestão de dados do IASES, implementada</v>
      </c>
      <c r="B20" s="866">
        <v>41821</v>
      </c>
      <c r="C20" s="867">
        <v>12</v>
      </c>
      <c r="D20" s="211">
        <v>42185</v>
      </c>
      <c r="E20" s="212" t="str">
        <f t="shared" si="34"/>
        <v xml:space="preserve"> </v>
      </c>
      <c r="F20" s="212" t="str">
        <f t="shared" si="35"/>
        <v xml:space="preserve"> </v>
      </c>
      <c r="G20" s="212" t="str">
        <f t="shared" si="35"/>
        <v>X</v>
      </c>
      <c r="H20" s="212" t="str">
        <f t="shared" si="35"/>
        <v>X</v>
      </c>
      <c r="I20" s="212" t="str">
        <f t="shared" si="35"/>
        <v>X</v>
      </c>
      <c r="J20" s="212" t="str">
        <f t="shared" si="35"/>
        <v>X</v>
      </c>
      <c r="K20" s="212" t="str">
        <f t="shared" si="35"/>
        <v xml:space="preserve"> </v>
      </c>
      <c r="L20" s="212" t="str">
        <f t="shared" si="35"/>
        <v xml:space="preserve"> </v>
      </c>
      <c r="M20" s="212" t="str">
        <f t="shared" si="35"/>
        <v xml:space="preserve"> </v>
      </c>
      <c r="N20" s="212" t="str">
        <f t="shared" si="35"/>
        <v xml:space="preserve"> </v>
      </c>
      <c r="O20" s="212" t="str">
        <f t="shared" si="35"/>
        <v xml:space="preserve"> </v>
      </c>
      <c r="P20" s="212" t="str">
        <f t="shared" si="35"/>
        <v xml:space="preserve"> </v>
      </c>
      <c r="Q20" s="212" t="str">
        <f t="shared" si="35"/>
        <v xml:space="preserve"> </v>
      </c>
      <c r="R20" s="212" t="str">
        <f t="shared" si="35"/>
        <v xml:space="preserve"> </v>
      </c>
      <c r="S20" s="212" t="str">
        <f t="shared" si="35"/>
        <v xml:space="preserve"> </v>
      </c>
      <c r="T20" s="212" t="str">
        <f t="shared" si="35"/>
        <v xml:space="preserve"> </v>
      </c>
      <c r="U20" s="212" t="str">
        <f t="shared" si="35"/>
        <v xml:space="preserve"> </v>
      </c>
      <c r="V20" s="212" t="str">
        <f t="shared" si="35"/>
        <v xml:space="preserve"> </v>
      </c>
      <c r="W20" s="212" t="str">
        <f t="shared" si="35"/>
        <v xml:space="preserve"> </v>
      </c>
      <c r="X20" s="212" t="str">
        <f t="shared" si="35"/>
        <v xml:space="preserve"> </v>
      </c>
      <c r="Y20" s="213">
        <f>'6_Componente 3'!A10</f>
        <v>1931085.5</v>
      </c>
      <c r="Z20" s="214"/>
      <c r="AA20" s="214"/>
      <c r="AB20" s="214"/>
      <c r="AC20" s="289"/>
      <c r="AD20" s="290"/>
      <c r="AE20" s="214">
        <f t="shared" si="36"/>
        <v>0</v>
      </c>
      <c r="AF20" s="214">
        <f t="shared" si="36"/>
        <v>0</v>
      </c>
      <c r="AG20" s="214">
        <f t="shared" si="36"/>
        <v>482771.38</v>
      </c>
      <c r="AH20" s="214">
        <f t="shared" si="36"/>
        <v>482771.38</v>
      </c>
      <c r="AI20" s="290">
        <f>SUM(AE20:AH20)</f>
        <v>965542.76</v>
      </c>
      <c r="AJ20" s="214">
        <f t="shared" si="37"/>
        <v>482771.38</v>
      </c>
      <c r="AK20" s="214">
        <f t="shared" si="37"/>
        <v>482771.38</v>
      </c>
      <c r="AL20" s="214">
        <f t="shared" si="37"/>
        <v>0</v>
      </c>
      <c r="AM20" s="214">
        <f t="shared" si="37"/>
        <v>0</v>
      </c>
      <c r="AN20" s="290">
        <f t="shared" si="38"/>
        <v>965542.76</v>
      </c>
      <c r="AO20" s="214">
        <f t="shared" si="39"/>
        <v>0</v>
      </c>
      <c r="AP20" s="214">
        <f t="shared" si="39"/>
        <v>0</v>
      </c>
      <c r="AQ20" s="214">
        <f t="shared" si="39"/>
        <v>0</v>
      </c>
      <c r="AR20" s="214">
        <f t="shared" si="39"/>
        <v>0</v>
      </c>
      <c r="AS20" s="290">
        <f t="shared" ref="AS20:AS23" si="42">SUM(AO20:AR20)</f>
        <v>0</v>
      </c>
      <c r="AT20" s="214">
        <f t="shared" si="40"/>
        <v>0</v>
      </c>
      <c r="AU20" s="214">
        <f t="shared" si="40"/>
        <v>0</v>
      </c>
      <c r="AV20" s="214">
        <f t="shared" si="40"/>
        <v>0</v>
      </c>
      <c r="AW20" s="214">
        <f t="shared" si="40"/>
        <v>0</v>
      </c>
      <c r="AX20" s="290">
        <f t="shared" ref="AX20:AX23" si="43">SUM(AT20:AW20)</f>
        <v>0</v>
      </c>
      <c r="AY20" s="870">
        <f t="shared" si="41"/>
        <v>0</v>
      </c>
      <c r="AZ20" s="870">
        <f t="shared" si="41"/>
        <v>0</v>
      </c>
      <c r="BA20" s="870">
        <f t="shared" si="41"/>
        <v>0</v>
      </c>
      <c r="BB20" s="870">
        <f t="shared" si="41"/>
        <v>0</v>
      </c>
      <c r="BC20" s="290">
        <f t="shared" ref="BC20:BC23" si="44">SUM(AY20:BB20)</f>
        <v>0</v>
      </c>
    </row>
    <row r="21" spans="1:55" s="19" customFormat="1" ht="25.5" x14ac:dyDescent="0.2">
      <c r="A21" s="379" t="str">
        <f>'6_Componente 3'!$A$11</f>
        <v>3.3. Centro de Atenção e Inclusão Social (CAIS) de apoio à reintegração de jovens egressos das unidades socioeducativas do IASES, implantado</v>
      </c>
      <c r="B21" s="866">
        <v>42005</v>
      </c>
      <c r="C21" s="867">
        <v>12</v>
      </c>
      <c r="D21" s="211">
        <v>42368</v>
      </c>
      <c r="E21" s="212" t="str">
        <f t="shared" si="34"/>
        <v xml:space="preserve"> </v>
      </c>
      <c r="F21" s="212" t="str">
        <f t="shared" si="35"/>
        <v xml:space="preserve"> </v>
      </c>
      <c r="G21" s="212" t="str">
        <f t="shared" si="35"/>
        <v xml:space="preserve"> </v>
      </c>
      <c r="H21" s="212" t="str">
        <f t="shared" si="35"/>
        <v xml:space="preserve"> </v>
      </c>
      <c r="I21" s="212" t="str">
        <f t="shared" si="35"/>
        <v>X</v>
      </c>
      <c r="J21" s="212" t="str">
        <f t="shared" si="35"/>
        <v>X</v>
      </c>
      <c r="K21" s="212" t="str">
        <f t="shared" si="35"/>
        <v>X</v>
      </c>
      <c r="L21" s="212" t="str">
        <f t="shared" si="35"/>
        <v>X</v>
      </c>
      <c r="M21" s="212" t="str">
        <f t="shared" si="35"/>
        <v xml:space="preserve"> </v>
      </c>
      <c r="N21" s="212" t="str">
        <f t="shared" si="35"/>
        <v xml:space="preserve"> </v>
      </c>
      <c r="O21" s="212" t="str">
        <f t="shared" si="35"/>
        <v xml:space="preserve"> </v>
      </c>
      <c r="P21" s="212" t="str">
        <f t="shared" si="35"/>
        <v xml:space="preserve"> </v>
      </c>
      <c r="Q21" s="212" t="str">
        <f t="shared" si="35"/>
        <v xml:space="preserve"> </v>
      </c>
      <c r="R21" s="212" t="str">
        <f t="shared" si="35"/>
        <v xml:space="preserve"> </v>
      </c>
      <c r="S21" s="212" t="str">
        <f t="shared" si="35"/>
        <v xml:space="preserve"> </v>
      </c>
      <c r="T21" s="212" t="str">
        <f t="shared" si="35"/>
        <v xml:space="preserve"> </v>
      </c>
      <c r="U21" s="212" t="str">
        <f t="shared" si="35"/>
        <v xml:space="preserve"> </v>
      </c>
      <c r="V21" s="212" t="str">
        <f t="shared" si="35"/>
        <v xml:space="preserve"> </v>
      </c>
      <c r="W21" s="212" t="str">
        <f t="shared" si="35"/>
        <v xml:space="preserve"> </v>
      </c>
      <c r="X21" s="212" t="str">
        <f t="shared" si="35"/>
        <v xml:space="preserve"> </v>
      </c>
      <c r="Y21" s="213">
        <f>'6_Componente 3'!A17</f>
        <v>1794880.81</v>
      </c>
      <c r="Z21" s="214"/>
      <c r="AA21" s="214"/>
      <c r="AB21" s="214"/>
      <c r="AC21" s="289"/>
      <c r="AD21" s="290"/>
      <c r="AE21" s="214">
        <f t="shared" si="36"/>
        <v>0</v>
      </c>
      <c r="AF21" s="214">
        <f t="shared" si="36"/>
        <v>0</v>
      </c>
      <c r="AG21" s="214">
        <f t="shared" si="36"/>
        <v>0</v>
      </c>
      <c r="AH21" s="214">
        <f t="shared" si="36"/>
        <v>0</v>
      </c>
      <c r="AI21" s="290">
        <f t="shared" ref="AI21:AI23" si="45">SUM(AE21:AH21)</f>
        <v>0</v>
      </c>
      <c r="AJ21" s="214">
        <f t="shared" si="37"/>
        <v>448720.2</v>
      </c>
      <c r="AK21" s="214">
        <f t="shared" si="37"/>
        <v>448720.2</v>
      </c>
      <c r="AL21" s="214">
        <f t="shared" si="37"/>
        <v>448720.2</v>
      </c>
      <c r="AM21" s="214">
        <f t="shared" si="37"/>
        <v>448720.2</v>
      </c>
      <c r="AN21" s="290">
        <f>SUM(AJ21:AM21)</f>
        <v>1794880.8</v>
      </c>
      <c r="AO21" s="214">
        <f t="shared" si="39"/>
        <v>0</v>
      </c>
      <c r="AP21" s="214">
        <f t="shared" si="39"/>
        <v>0</v>
      </c>
      <c r="AQ21" s="214">
        <f t="shared" si="39"/>
        <v>0</v>
      </c>
      <c r="AR21" s="214">
        <f t="shared" si="39"/>
        <v>0</v>
      </c>
      <c r="AS21" s="290">
        <f t="shared" si="42"/>
        <v>0</v>
      </c>
      <c r="AT21" s="214">
        <f t="shared" si="40"/>
        <v>0</v>
      </c>
      <c r="AU21" s="214">
        <f t="shared" si="40"/>
        <v>0</v>
      </c>
      <c r="AV21" s="214">
        <f t="shared" si="40"/>
        <v>0</v>
      </c>
      <c r="AW21" s="214">
        <f t="shared" si="40"/>
        <v>0</v>
      </c>
      <c r="AX21" s="290">
        <f t="shared" si="43"/>
        <v>0</v>
      </c>
      <c r="AY21" s="870">
        <f t="shared" si="41"/>
        <v>0</v>
      </c>
      <c r="AZ21" s="870">
        <f t="shared" si="41"/>
        <v>0</v>
      </c>
      <c r="BA21" s="870">
        <f t="shared" si="41"/>
        <v>0</v>
      </c>
      <c r="BB21" s="870">
        <f t="shared" si="41"/>
        <v>0</v>
      </c>
      <c r="BC21" s="290">
        <f t="shared" si="44"/>
        <v>0</v>
      </c>
    </row>
    <row r="22" spans="1:55" s="19" customFormat="1" ht="25.5" x14ac:dyDescent="0.2">
      <c r="A22" s="379" t="str">
        <f>'6_Componente 3'!$A$18</f>
        <v>3.4. Jovens internados atendidos com serviços de esporte, lazer, cultura, formação profissional, capacitação laboral, etc.</v>
      </c>
      <c r="B22" s="866">
        <v>41821</v>
      </c>
      <c r="C22" s="867">
        <v>54</v>
      </c>
      <c r="D22" s="211">
        <v>43464</v>
      </c>
      <c r="E22" s="212" t="str">
        <f t="shared" si="34"/>
        <v xml:space="preserve"> </v>
      </c>
      <c r="F22" s="212" t="str">
        <f t="shared" si="35"/>
        <v xml:space="preserve"> </v>
      </c>
      <c r="G22" s="212" t="str">
        <f t="shared" si="35"/>
        <v>X</v>
      </c>
      <c r="H22" s="212" t="str">
        <f t="shared" si="35"/>
        <v>X</v>
      </c>
      <c r="I22" s="212" t="str">
        <f t="shared" si="35"/>
        <v>X</v>
      </c>
      <c r="J22" s="212" t="str">
        <f t="shared" si="35"/>
        <v>X</v>
      </c>
      <c r="K22" s="212" t="str">
        <f t="shared" si="35"/>
        <v>X</v>
      </c>
      <c r="L22" s="212" t="str">
        <f t="shared" si="35"/>
        <v>X</v>
      </c>
      <c r="M22" s="212" t="str">
        <f t="shared" si="35"/>
        <v>X</v>
      </c>
      <c r="N22" s="212" t="str">
        <f t="shared" si="35"/>
        <v>X</v>
      </c>
      <c r="O22" s="212" t="str">
        <f t="shared" si="35"/>
        <v>X</v>
      </c>
      <c r="P22" s="212" t="str">
        <f t="shared" si="35"/>
        <v>X</v>
      </c>
      <c r="Q22" s="212" t="str">
        <f t="shared" si="35"/>
        <v>X</v>
      </c>
      <c r="R22" s="212" t="str">
        <f t="shared" si="35"/>
        <v>X</v>
      </c>
      <c r="S22" s="212" t="str">
        <f t="shared" si="35"/>
        <v>X</v>
      </c>
      <c r="T22" s="212" t="str">
        <f t="shared" si="35"/>
        <v>X</v>
      </c>
      <c r="U22" s="212" t="str">
        <f t="shared" si="35"/>
        <v>X</v>
      </c>
      <c r="V22" s="212" t="str">
        <f t="shared" si="35"/>
        <v>X</v>
      </c>
      <c r="W22" s="212" t="str">
        <f t="shared" si="35"/>
        <v>X</v>
      </c>
      <c r="X22" s="212" t="str">
        <f t="shared" si="35"/>
        <v>X</v>
      </c>
      <c r="Y22" s="213">
        <f>'6_Componente 3'!A21</f>
        <v>3913043.48</v>
      </c>
      <c r="Z22" s="214"/>
      <c r="AA22" s="214"/>
      <c r="AB22" s="214"/>
      <c r="AC22" s="289"/>
      <c r="AD22" s="290"/>
      <c r="AE22" s="214">
        <f t="shared" si="36"/>
        <v>0</v>
      </c>
      <c r="AF22" s="214">
        <f t="shared" si="36"/>
        <v>0</v>
      </c>
      <c r="AG22" s="214">
        <f t="shared" si="36"/>
        <v>217391.3</v>
      </c>
      <c r="AH22" s="214">
        <f t="shared" si="36"/>
        <v>217391.3</v>
      </c>
      <c r="AI22" s="290">
        <f t="shared" si="45"/>
        <v>434782.6</v>
      </c>
      <c r="AJ22" s="214">
        <f t="shared" si="37"/>
        <v>217391.3</v>
      </c>
      <c r="AK22" s="214">
        <f t="shared" si="37"/>
        <v>217391.3</v>
      </c>
      <c r="AL22" s="214">
        <f t="shared" si="37"/>
        <v>217391.3</v>
      </c>
      <c r="AM22" s="214">
        <f t="shared" si="37"/>
        <v>217391.3</v>
      </c>
      <c r="AN22" s="290">
        <f t="shared" ref="AN22:AN23" si="46">SUM(AJ22:AM22)</f>
        <v>869565.2</v>
      </c>
      <c r="AO22" s="214">
        <f t="shared" si="39"/>
        <v>217391.3</v>
      </c>
      <c r="AP22" s="214">
        <f t="shared" si="39"/>
        <v>217391.3</v>
      </c>
      <c r="AQ22" s="214">
        <f t="shared" si="39"/>
        <v>217391.3</v>
      </c>
      <c r="AR22" s="214">
        <f t="shared" si="39"/>
        <v>217391.3</v>
      </c>
      <c r="AS22" s="290">
        <f t="shared" si="42"/>
        <v>869565.2</v>
      </c>
      <c r="AT22" s="214">
        <f t="shared" si="40"/>
        <v>217391.3</v>
      </c>
      <c r="AU22" s="214">
        <f t="shared" si="40"/>
        <v>217391.3</v>
      </c>
      <c r="AV22" s="214">
        <f t="shared" si="40"/>
        <v>217391.3</v>
      </c>
      <c r="AW22" s="214">
        <f t="shared" si="40"/>
        <v>217391.3</v>
      </c>
      <c r="AX22" s="290">
        <f t="shared" si="43"/>
        <v>869565.2</v>
      </c>
      <c r="AY22" s="870">
        <f t="shared" si="41"/>
        <v>217391.3</v>
      </c>
      <c r="AZ22" s="870">
        <f t="shared" si="41"/>
        <v>217391.3</v>
      </c>
      <c r="BA22" s="870">
        <f t="shared" si="41"/>
        <v>217391.3</v>
      </c>
      <c r="BB22" s="870">
        <f t="shared" si="41"/>
        <v>217391.3</v>
      </c>
      <c r="BC22" s="290">
        <f t="shared" si="44"/>
        <v>869565.2</v>
      </c>
    </row>
    <row r="23" spans="1:55" s="19" customFormat="1" x14ac:dyDescent="0.2">
      <c r="A23" s="217" t="str">
        <f>'6_Componente 3'!$A$22</f>
        <v>3.5. Sistema de videomonitoramento implantado nas unidades do IASES</v>
      </c>
      <c r="B23" s="866">
        <v>41821</v>
      </c>
      <c r="C23" s="867">
        <v>12</v>
      </c>
      <c r="D23" s="211">
        <v>42185</v>
      </c>
      <c r="E23" s="212" t="str">
        <f>IF(AND($C23&lt;&gt;0,$A23&lt;&gt;"NÃO SELECIONADO"),IF(E$5&gt;=$B23,IF(E$5&lt;=$D23,"X"," ")," "),"")</f>
        <v xml:space="preserve"> </v>
      </c>
      <c r="F23" s="212" t="str">
        <f t="shared" si="35"/>
        <v xml:space="preserve"> </v>
      </c>
      <c r="G23" s="212" t="str">
        <f t="shared" si="35"/>
        <v>X</v>
      </c>
      <c r="H23" s="212" t="str">
        <f t="shared" si="35"/>
        <v>X</v>
      </c>
      <c r="I23" s="212" t="str">
        <f t="shared" si="35"/>
        <v>X</v>
      </c>
      <c r="J23" s="212" t="str">
        <f t="shared" si="35"/>
        <v>X</v>
      </c>
      <c r="K23" s="212" t="str">
        <f t="shared" si="35"/>
        <v xml:space="preserve"> </v>
      </c>
      <c r="L23" s="212" t="str">
        <f t="shared" si="35"/>
        <v xml:space="preserve"> </v>
      </c>
      <c r="M23" s="212" t="str">
        <f t="shared" si="35"/>
        <v xml:space="preserve"> </v>
      </c>
      <c r="N23" s="212" t="str">
        <f t="shared" si="35"/>
        <v xml:space="preserve"> </v>
      </c>
      <c r="O23" s="212" t="str">
        <f t="shared" si="35"/>
        <v xml:space="preserve"> </v>
      </c>
      <c r="P23" s="212" t="str">
        <f t="shared" si="35"/>
        <v xml:space="preserve"> </v>
      </c>
      <c r="Q23" s="212" t="str">
        <f t="shared" si="35"/>
        <v xml:space="preserve"> </v>
      </c>
      <c r="R23" s="212" t="str">
        <f t="shared" si="35"/>
        <v xml:space="preserve"> </v>
      </c>
      <c r="S23" s="212" t="str">
        <f t="shared" si="35"/>
        <v xml:space="preserve"> </v>
      </c>
      <c r="T23" s="212" t="str">
        <f t="shared" si="35"/>
        <v xml:space="preserve"> </v>
      </c>
      <c r="U23" s="212" t="str">
        <f t="shared" si="35"/>
        <v xml:space="preserve"> </v>
      </c>
      <c r="V23" s="212" t="str">
        <f t="shared" si="35"/>
        <v xml:space="preserve"> </v>
      </c>
      <c r="W23" s="212" t="str">
        <f t="shared" si="35"/>
        <v xml:space="preserve"> </v>
      </c>
      <c r="X23" s="212" t="str">
        <f t="shared" si="35"/>
        <v xml:space="preserve"> </v>
      </c>
      <c r="Y23" s="213">
        <f>'6_Componente 3'!A24</f>
        <v>1480495.1</v>
      </c>
      <c r="Z23" s="214"/>
      <c r="AA23" s="214"/>
      <c r="AB23" s="214"/>
      <c r="AC23" s="289"/>
      <c r="AD23" s="290"/>
      <c r="AE23" s="214">
        <f t="shared" si="36"/>
        <v>0</v>
      </c>
      <c r="AF23" s="214">
        <f t="shared" si="36"/>
        <v>0</v>
      </c>
      <c r="AG23" s="214">
        <f t="shared" si="36"/>
        <v>370123.78</v>
      </c>
      <c r="AH23" s="214">
        <f t="shared" si="36"/>
        <v>370123.78</v>
      </c>
      <c r="AI23" s="290">
        <f t="shared" si="45"/>
        <v>740247.56</v>
      </c>
      <c r="AJ23" s="214">
        <f t="shared" si="37"/>
        <v>370123.78</v>
      </c>
      <c r="AK23" s="214">
        <f t="shared" si="37"/>
        <v>370123.78</v>
      </c>
      <c r="AL23" s="214">
        <f t="shared" si="37"/>
        <v>0</v>
      </c>
      <c r="AM23" s="214">
        <f t="shared" si="37"/>
        <v>0</v>
      </c>
      <c r="AN23" s="290">
        <f t="shared" si="46"/>
        <v>740247.56</v>
      </c>
      <c r="AO23" s="214">
        <f t="shared" si="39"/>
        <v>0</v>
      </c>
      <c r="AP23" s="214">
        <f t="shared" si="39"/>
        <v>0</v>
      </c>
      <c r="AQ23" s="214">
        <f t="shared" si="39"/>
        <v>0</v>
      </c>
      <c r="AR23" s="214">
        <f t="shared" si="39"/>
        <v>0</v>
      </c>
      <c r="AS23" s="290">
        <f t="shared" si="42"/>
        <v>0</v>
      </c>
      <c r="AT23" s="214">
        <f t="shared" si="40"/>
        <v>0</v>
      </c>
      <c r="AU23" s="214">
        <f t="shared" si="40"/>
        <v>0</v>
      </c>
      <c r="AV23" s="214">
        <f t="shared" si="40"/>
        <v>0</v>
      </c>
      <c r="AW23" s="214">
        <f t="shared" si="40"/>
        <v>0</v>
      </c>
      <c r="AX23" s="290">
        <f t="shared" si="43"/>
        <v>0</v>
      </c>
      <c r="AY23" s="870">
        <f t="shared" si="41"/>
        <v>0</v>
      </c>
      <c r="AZ23" s="870">
        <f t="shared" si="41"/>
        <v>0</v>
      </c>
      <c r="BA23" s="870">
        <f t="shared" si="41"/>
        <v>0</v>
      </c>
      <c r="BB23" s="870">
        <f t="shared" si="41"/>
        <v>0</v>
      </c>
      <c r="BC23" s="290">
        <f t="shared" si="44"/>
        <v>0</v>
      </c>
    </row>
    <row r="24" spans="1:55" s="19" customFormat="1" ht="26.25" customHeight="1" x14ac:dyDescent="0.2">
      <c r="A24" s="875" t="str">
        <f>'3_Comp e Produtos'!A24</f>
        <v>Administração</v>
      </c>
      <c r="B24" s="879">
        <f>MIN(B25:B26)</f>
        <v>41821</v>
      </c>
      <c r="C24" s="880">
        <f>IF(INT((D24-B24)/30)+1&gt;21,INT((D24-B24)/30),INT((D24-B24)/30)+1)</f>
        <v>54</v>
      </c>
      <c r="D24" s="878">
        <f>MAX(D25:D26)</f>
        <v>43464</v>
      </c>
      <c r="E24" s="209" t="str">
        <f>IF(COUNTIF(E25:E26,"X")&lt;&gt;0,"X","")</f>
        <v/>
      </c>
      <c r="F24" s="209" t="str">
        <f t="shared" ref="F24:X24" si="47">IF(COUNTIF(F25:F26,"X")&lt;&gt;0,"X","")</f>
        <v/>
      </c>
      <c r="G24" s="209" t="str">
        <f t="shared" si="47"/>
        <v>X</v>
      </c>
      <c r="H24" s="209" t="str">
        <f t="shared" si="47"/>
        <v>X</v>
      </c>
      <c r="I24" s="209" t="str">
        <f t="shared" si="47"/>
        <v>X</v>
      </c>
      <c r="J24" s="209" t="str">
        <f t="shared" si="47"/>
        <v>X</v>
      </c>
      <c r="K24" s="209" t="str">
        <f t="shared" si="47"/>
        <v>X</v>
      </c>
      <c r="L24" s="209" t="str">
        <f t="shared" si="47"/>
        <v>X</v>
      </c>
      <c r="M24" s="209" t="str">
        <f t="shared" si="47"/>
        <v>X</v>
      </c>
      <c r="N24" s="209" t="str">
        <f t="shared" si="47"/>
        <v>X</v>
      </c>
      <c r="O24" s="209" t="str">
        <f t="shared" si="47"/>
        <v>X</v>
      </c>
      <c r="P24" s="209" t="str">
        <f t="shared" si="47"/>
        <v>X</v>
      </c>
      <c r="Q24" s="209" t="str">
        <f t="shared" si="47"/>
        <v>X</v>
      </c>
      <c r="R24" s="209" t="str">
        <f t="shared" si="47"/>
        <v>X</v>
      </c>
      <c r="S24" s="209" t="str">
        <f t="shared" si="47"/>
        <v>X</v>
      </c>
      <c r="T24" s="209" t="str">
        <f t="shared" si="47"/>
        <v>X</v>
      </c>
      <c r="U24" s="209" t="str">
        <f t="shared" si="47"/>
        <v>X</v>
      </c>
      <c r="V24" s="209" t="str">
        <f t="shared" si="47"/>
        <v>X</v>
      </c>
      <c r="W24" s="209" t="str">
        <f t="shared" si="47"/>
        <v>X</v>
      </c>
      <c r="X24" s="209" t="str">
        <f t="shared" si="47"/>
        <v>X</v>
      </c>
      <c r="Y24" s="885">
        <f>SUM(AI24+AN24+AS24+AX24+BC24)</f>
        <v>3400000</v>
      </c>
      <c r="Z24" s="219" t="e">
        <f t="shared" ref="Z24:AD24" si="48">SUM(Z26:Z26)</f>
        <v>#REF!</v>
      </c>
      <c r="AA24" s="219" t="e">
        <f t="shared" si="48"/>
        <v>#REF!</v>
      </c>
      <c r="AB24" s="219" t="e">
        <f t="shared" si="48"/>
        <v>#REF!</v>
      </c>
      <c r="AC24" s="219" t="e">
        <f t="shared" si="48"/>
        <v>#REF!</v>
      </c>
      <c r="AD24" s="219" t="e">
        <f t="shared" si="48"/>
        <v>#REF!</v>
      </c>
      <c r="AE24" s="219">
        <f>SUM(AE25:AE26)</f>
        <v>0</v>
      </c>
      <c r="AF24" s="219">
        <f t="shared" ref="AF24:AH24" si="49">SUM(AF25:AF26)</f>
        <v>0</v>
      </c>
      <c r="AG24" s="219">
        <f t="shared" si="49"/>
        <v>188888.88</v>
      </c>
      <c r="AH24" s="219">
        <f t="shared" si="49"/>
        <v>188888.88</v>
      </c>
      <c r="AI24" s="219">
        <f>SUM(AI25:AI26)</f>
        <v>377777.76</v>
      </c>
      <c r="AJ24" s="219">
        <f>SUM(AJ25:AJ26)</f>
        <v>188888.88</v>
      </c>
      <c r="AK24" s="219">
        <f t="shared" ref="AK24" si="50">SUM(AK25:AK26)</f>
        <v>188888.88</v>
      </c>
      <c r="AL24" s="219">
        <f t="shared" ref="AL24" si="51">SUM(AL25:AL26)</f>
        <v>188888.88</v>
      </c>
      <c r="AM24" s="219">
        <f t="shared" ref="AM24" si="52">SUM(AM25:AM26)</f>
        <v>188888.88</v>
      </c>
      <c r="AN24" s="219">
        <f>SUM(AN25:AN26)</f>
        <v>755555.52</v>
      </c>
      <c r="AO24" s="219">
        <f>SUM(AO25:AO26)</f>
        <v>188888.88</v>
      </c>
      <c r="AP24" s="219">
        <f t="shared" ref="AP24" si="53">SUM(AP25:AP26)</f>
        <v>188888.88</v>
      </c>
      <c r="AQ24" s="219">
        <f t="shared" ref="AQ24" si="54">SUM(AQ25:AQ26)</f>
        <v>188888.88</v>
      </c>
      <c r="AR24" s="219">
        <f t="shared" ref="AR24" si="55">SUM(AR25:AR26)</f>
        <v>188888.88</v>
      </c>
      <c r="AS24" s="219">
        <f>SUM(AS25:AS26)</f>
        <v>755555.52</v>
      </c>
      <c r="AT24" s="219">
        <f>SUM(AT25:AT26)</f>
        <v>188888.88</v>
      </c>
      <c r="AU24" s="219">
        <f t="shared" ref="AU24" si="56">SUM(AU25:AU26)</f>
        <v>188888.88</v>
      </c>
      <c r="AV24" s="219">
        <f t="shared" ref="AV24" si="57">SUM(AV25:AV26)</f>
        <v>188888.88</v>
      </c>
      <c r="AW24" s="219">
        <f t="shared" ref="AW24" si="58">SUM(AW25:AW26)</f>
        <v>188888.88</v>
      </c>
      <c r="AX24" s="219">
        <f>SUM(AX25:AX26)</f>
        <v>755555.52</v>
      </c>
      <c r="AY24" s="219">
        <f>SUM(AY25:AY26)</f>
        <v>188888.88</v>
      </c>
      <c r="AZ24" s="219">
        <f t="shared" ref="AZ24" si="59">SUM(AZ25:AZ26)</f>
        <v>188888.88</v>
      </c>
      <c r="BA24" s="219">
        <f t="shared" ref="BA24" si="60">SUM(BA25:BA26)</f>
        <v>188888.88</v>
      </c>
      <c r="BB24" s="219">
        <f t="shared" ref="BB24" si="61">SUM(BB25:BB26)</f>
        <v>188888.88</v>
      </c>
      <c r="BC24" s="219">
        <f>SUM(BC25:BC26)</f>
        <v>755555.52</v>
      </c>
    </row>
    <row r="25" spans="1:55" s="19" customFormat="1" ht="13.5" thickBot="1" x14ac:dyDescent="0.25">
      <c r="A25" s="865" t="str">
        <f>'3_Comp e Produtos'!A25</f>
        <v>A.1. Estruturação da Unidade de Gestão do Programa</v>
      </c>
      <c r="B25" s="864">
        <v>41821</v>
      </c>
      <c r="C25" s="867">
        <v>54</v>
      </c>
      <c r="D25" s="863">
        <v>43464</v>
      </c>
      <c r="E25" s="212" t="str">
        <f>IF(AND($C25&lt;&gt;0,$A25&lt;&gt;"NÃO SELECIONADO"),IF(E$5&gt;=$B25,IF(E$5&lt;=$D25,"X"," ")," "),"")</f>
        <v xml:space="preserve"> </v>
      </c>
      <c r="F25" s="212" t="str">
        <f t="shared" ref="F25:X26" si="62">IF(AND($C25&lt;&gt;0,$A25&lt;&gt;"NÃO SELECIONADO"),IF(F$5&gt;=$B25,IF(F$5&lt;=$D25,"X"," ")," "),"")</f>
        <v xml:space="preserve"> </v>
      </c>
      <c r="G25" s="212" t="str">
        <f t="shared" si="62"/>
        <v>X</v>
      </c>
      <c r="H25" s="212" t="str">
        <f t="shared" si="62"/>
        <v>X</v>
      </c>
      <c r="I25" s="212" t="str">
        <f t="shared" si="62"/>
        <v>X</v>
      </c>
      <c r="J25" s="212" t="str">
        <f t="shared" si="62"/>
        <v>X</v>
      </c>
      <c r="K25" s="212" t="str">
        <f t="shared" si="62"/>
        <v>X</v>
      </c>
      <c r="L25" s="212" t="str">
        <f t="shared" si="62"/>
        <v>X</v>
      </c>
      <c r="M25" s="212" t="str">
        <f t="shared" si="62"/>
        <v>X</v>
      </c>
      <c r="N25" s="212" t="str">
        <f t="shared" si="62"/>
        <v>X</v>
      </c>
      <c r="O25" s="212" t="str">
        <f t="shared" si="62"/>
        <v>X</v>
      </c>
      <c r="P25" s="212" t="str">
        <f t="shared" si="62"/>
        <v>X</v>
      </c>
      <c r="Q25" s="212" t="str">
        <f t="shared" si="62"/>
        <v>X</v>
      </c>
      <c r="R25" s="212" t="str">
        <f t="shared" si="62"/>
        <v>X</v>
      </c>
      <c r="S25" s="212" t="str">
        <f t="shared" si="62"/>
        <v>X</v>
      </c>
      <c r="T25" s="212" t="str">
        <f t="shared" si="62"/>
        <v>X</v>
      </c>
      <c r="U25" s="212" t="str">
        <f t="shared" si="62"/>
        <v>X</v>
      </c>
      <c r="V25" s="212" t="str">
        <f t="shared" si="62"/>
        <v>X</v>
      </c>
      <c r="W25" s="212" t="str">
        <f t="shared" si="62"/>
        <v>X</v>
      </c>
      <c r="X25" s="212" t="str">
        <f t="shared" si="62"/>
        <v>X</v>
      </c>
      <c r="Y25" s="860">
        <f>'7_ADM'!A14</f>
        <v>2076086.95</v>
      </c>
      <c r="Z25" s="214"/>
      <c r="AA25" s="214"/>
      <c r="AB25" s="214"/>
      <c r="AC25" s="289"/>
      <c r="AD25" s="290"/>
      <c r="AE25" s="221">
        <f t="shared" ref="AE25:AH26" si="63">IF(E25="X",$Y25/$C25*3,0)</f>
        <v>0</v>
      </c>
      <c r="AF25" s="221">
        <f t="shared" si="63"/>
        <v>0</v>
      </c>
      <c r="AG25" s="221">
        <f t="shared" si="63"/>
        <v>115338.16</v>
      </c>
      <c r="AH25" s="221">
        <f t="shared" si="63"/>
        <v>115338.16</v>
      </c>
      <c r="AI25" s="290">
        <f>SUM(AE25:AH25)</f>
        <v>230676.32</v>
      </c>
      <c r="AJ25" s="861">
        <f t="shared" ref="AJ25:AM26" si="64">IF(I25="X",$Y25/$C25*3,0)</f>
        <v>115338.16</v>
      </c>
      <c r="AK25" s="861">
        <f t="shared" si="64"/>
        <v>115338.16</v>
      </c>
      <c r="AL25" s="861">
        <f t="shared" si="64"/>
        <v>115338.16</v>
      </c>
      <c r="AM25" s="861">
        <f t="shared" si="64"/>
        <v>115338.16</v>
      </c>
      <c r="AN25" s="290">
        <f>SUM(AJ25:AM25)</f>
        <v>461352.64</v>
      </c>
      <c r="AO25" s="861">
        <f t="shared" ref="AO25:AR26" si="65">IF(M25="X",$Y25/$C25*3,0)</f>
        <v>115338.16</v>
      </c>
      <c r="AP25" s="861">
        <f t="shared" si="65"/>
        <v>115338.16</v>
      </c>
      <c r="AQ25" s="861">
        <f t="shared" si="65"/>
        <v>115338.16</v>
      </c>
      <c r="AR25" s="861">
        <f t="shared" si="65"/>
        <v>115338.16</v>
      </c>
      <c r="AS25" s="290">
        <f>SUM(AO25:AR25)</f>
        <v>461352.64</v>
      </c>
      <c r="AT25" s="861">
        <f t="shared" ref="AT25:AW26" si="66">IF(Q25="X",$Y25/$C25*3,0)</f>
        <v>115338.16</v>
      </c>
      <c r="AU25" s="861">
        <f t="shared" si="66"/>
        <v>115338.16</v>
      </c>
      <c r="AV25" s="861">
        <f t="shared" si="66"/>
        <v>115338.16</v>
      </c>
      <c r="AW25" s="861">
        <f t="shared" si="66"/>
        <v>115338.16</v>
      </c>
      <c r="AX25" s="862">
        <f>SUM(AT25:AW25)</f>
        <v>461352.64</v>
      </c>
      <c r="AY25" s="871">
        <f t="shared" ref="AY25:BB26" si="67">IF(U25="X",$Y25/$C25*3,0)</f>
        <v>115338.16</v>
      </c>
      <c r="AZ25" s="871">
        <f t="shared" si="67"/>
        <v>115338.16</v>
      </c>
      <c r="BA25" s="871">
        <f t="shared" si="67"/>
        <v>115338.16</v>
      </c>
      <c r="BB25" s="871">
        <f t="shared" si="67"/>
        <v>115338.16</v>
      </c>
      <c r="BC25" s="290">
        <f>SUM(AY25:BB25)</f>
        <v>461352.64</v>
      </c>
    </row>
    <row r="26" spans="1:55" s="19" customFormat="1" ht="13.5" thickBot="1" x14ac:dyDescent="0.25">
      <c r="A26" s="865" t="str">
        <f>'3_Comp e Produtos'!A26</f>
        <v>A.2. Sistemática de Monitoramento e Avaliação do Programa</v>
      </c>
      <c r="B26" s="864">
        <v>41821</v>
      </c>
      <c r="C26" s="867">
        <v>54</v>
      </c>
      <c r="D26" s="863">
        <v>43464</v>
      </c>
      <c r="E26" s="212" t="str">
        <f>IF(AND($C26&lt;&gt;0,$A26&lt;&gt;"NÃO SELECIONADO"),IF(E$5&gt;=$B26,IF(E$5&lt;=$D26,"X"," ")," "),"")</f>
        <v xml:space="preserve"> </v>
      </c>
      <c r="F26" s="212" t="str">
        <f t="shared" si="62"/>
        <v xml:space="preserve"> </v>
      </c>
      <c r="G26" s="212" t="str">
        <f t="shared" si="62"/>
        <v>X</v>
      </c>
      <c r="H26" s="212" t="str">
        <f t="shared" si="62"/>
        <v>X</v>
      </c>
      <c r="I26" s="212" t="str">
        <f t="shared" si="62"/>
        <v>X</v>
      </c>
      <c r="J26" s="212" t="str">
        <f t="shared" si="62"/>
        <v>X</v>
      </c>
      <c r="K26" s="212" t="str">
        <f t="shared" si="62"/>
        <v>X</v>
      </c>
      <c r="L26" s="212" t="str">
        <f t="shared" si="62"/>
        <v>X</v>
      </c>
      <c r="M26" s="212" t="str">
        <f t="shared" si="62"/>
        <v>X</v>
      </c>
      <c r="N26" s="212" t="str">
        <f t="shared" si="62"/>
        <v>X</v>
      </c>
      <c r="O26" s="212" t="str">
        <f t="shared" si="62"/>
        <v>X</v>
      </c>
      <c r="P26" s="212" t="str">
        <f t="shared" si="62"/>
        <v>X</v>
      </c>
      <c r="Q26" s="212" t="str">
        <f t="shared" si="62"/>
        <v>X</v>
      </c>
      <c r="R26" s="212" t="str">
        <f t="shared" si="62"/>
        <v>X</v>
      </c>
      <c r="S26" s="212" t="str">
        <f t="shared" si="62"/>
        <v>X</v>
      </c>
      <c r="T26" s="212" t="str">
        <f t="shared" si="62"/>
        <v>X</v>
      </c>
      <c r="U26" s="212" t="str">
        <f t="shared" si="62"/>
        <v>X</v>
      </c>
      <c r="V26" s="212" t="str">
        <f t="shared" si="62"/>
        <v>X</v>
      </c>
      <c r="W26" s="212" t="str">
        <f t="shared" si="62"/>
        <v>X</v>
      </c>
      <c r="X26" s="212" t="str">
        <f t="shared" si="62"/>
        <v>X</v>
      </c>
      <c r="Y26" s="220">
        <f>'7_ADM'!A24</f>
        <v>1323913.04</v>
      </c>
      <c r="Z26" s="214" t="e">
        <f>IF(#REF!="X",$Y26/$C26*3,0)</f>
        <v>#REF!</v>
      </c>
      <c r="AA26" s="214" t="e">
        <f>IF(#REF!="X",$Y26/$C26*3,0)</f>
        <v>#REF!</v>
      </c>
      <c r="AB26" s="214" t="e">
        <f>IF(#REF!="X",$Y26/$C26*3,0)</f>
        <v>#REF!</v>
      </c>
      <c r="AC26" s="215" t="e">
        <f>IF(#REF!="X",$Y26/$C26*3,0)</f>
        <v>#REF!</v>
      </c>
      <c r="AD26" s="216" t="e">
        <f>SUM(Z26:AC26)</f>
        <v>#REF!</v>
      </c>
      <c r="AE26" s="221">
        <f t="shared" si="63"/>
        <v>0</v>
      </c>
      <c r="AF26" s="221">
        <f t="shared" si="63"/>
        <v>0</v>
      </c>
      <c r="AG26" s="221">
        <f t="shared" si="63"/>
        <v>73550.720000000001</v>
      </c>
      <c r="AH26" s="221">
        <f t="shared" si="63"/>
        <v>73550.720000000001</v>
      </c>
      <c r="AI26" s="873">
        <f>SUM(AE26:AH26)</f>
        <v>147101.44</v>
      </c>
      <c r="AJ26" s="882">
        <f t="shared" si="64"/>
        <v>73550.720000000001</v>
      </c>
      <c r="AK26" s="882">
        <f t="shared" si="64"/>
        <v>73550.720000000001</v>
      </c>
      <c r="AL26" s="882">
        <f t="shared" si="64"/>
        <v>73550.720000000001</v>
      </c>
      <c r="AM26" s="882">
        <f t="shared" si="64"/>
        <v>73550.720000000001</v>
      </c>
      <c r="AN26" s="873">
        <f>SUM(AJ26:AM26)</f>
        <v>294202.88</v>
      </c>
      <c r="AO26" s="882">
        <f t="shared" si="65"/>
        <v>73550.720000000001</v>
      </c>
      <c r="AP26" s="882">
        <f t="shared" si="65"/>
        <v>73550.720000000001</v>
      </c>
      <c r="AQ26" s="882">
        <f t="shared" si="65"/>
        <v>73550.720000000001</v>
      </c>
      <c r="AR26" s="882">
        <f t="shared" si="65"/>
        <v>73550.720000000001</v>
      </c>
      <c r="AS26" s="873">
        <f>SUM(AO26:AR26)</f>
        <v>294202.88</v>
      </c>
      <c r="AT26" s="882">
        <f t="shared" si="66"/>
        <v>73550.720000000001</v>
      </c>
      <c r="AU26" s="882">
        <f t="shared" si="66"/>
        <v>73550.720000000001</v>
      </c>
      <c r="AV26" s="882">
        <f t="shared" si="66"/>
        <v>73550.720000000001</v>
      </c>
      <c r="AW26" s="882">
        <f t="shared" si="66"/>
        <v>73550.720000000001</v>
      </c>
      <c r="AX26" s="883">
        <f>SUM(AT26:AW26)</f>
        <v>294202.88</v>
      </c>
      <c r="AY26" s="884">
        <f t="shared" si="67"/>
        <v>73550.720000000001</v>
      </c>
      <c r="AZ26" s="884">
        <f t="shared" si="67"/>
        <v>73550.720000000001</v>
      </c>
      <c r="BA26" s="884">
        <f t="shared" si="67"/>
        <v>73550.720000000001</v>
      </c>
      <c r="BB26" s="884">
        <f t="shared" si="67"/>
        <v>73550.720000000001</v>
      </c>
      <c r="BC26" s="873">
        <f>SUM(AY26:BB26)</f>
        <v>294202.88</v>
      </c>
    </row>
    <row r="27" spans="1:55" x14ac:dyDescent="0.2">
      <c r="D27" s="222"/>
      <c r="Y27" s="223"/>
      <c r="AI27" s="223"/>
      <c r="AN27" s="223"/>
      <c r="AS27" s="223"/>
      <c r="AX27" s="223"/>
      <c r="BC27" s="223"/>
    </row>
    <row r="28" spans="1:55" x14ac:dyDescent="0.2">
      <c r="D28" s="222"/>
      <c r="Y28" s="223"/>
      <c r="AE28" s="224"/>
      <c r="AF28" s="224"/>
    </row>
    <row r="29" spans="1:55" x14ac:dyDescent="0.2">
      <c r="A29" s="225"/>
      <c r="D29" s="222"/>
      <c r="Y29" s="223"/>
      <c r="AE29" s="224"/>
      <c r="AF29" s="224"/>
    </row>
    <row r="30" spans="1:55" x14ac:dyDescent="0.2">
      <c r="D30" s="226"/>
      <c r="Y30" s="223"/>
      <c r="AE30" s="224"/>
      <c r="AF30" s="224"/>
    </row>
    <row r="31" spans="1:55" x14ac:dyDescent="0.2">
      <c r="D31" s="222"/>
      <c r="Y31" s="223"/>
      <c r="AE31" s="224"/>
      <c r="AF31" s="224"/>
    </row>
    <row r="32" spans="1:55" x14ac:dyDescent="0.2">
      <c r="Y32" s="223"/>
      <c r="AE32" s="224"/>
    </row>
    <row r="33" spans="31:32" customFormat="1" x14ac:dyDescent="0.2">
      <c r="AF33" s="224"/>
    </row>
    <row r="35" spans="31:32" x14ac:dyDescent="0.2">
      <c r="AE35" s="138"/>
    </row>
    <row r="39" spans="31:32" x14ac:dyDescent="0.2">
      <c r="AF39" s="138"/>
    </row>
  </sheetData>
  <mergeCells count="16">
    <mergeCell ref="AY3:BB3"/>
    <mergeCell ref="Z3:AC3"/>
    <mergeCell ref="Q3:T3"/>
    <mergeCell ref="U3:X3"/>
    <mergeCell ref="AE3:AH3"/>
    <mergeCell ref="AJ3:AM3"/>
    <mergeCell ref="I3:L3"/>
    <mergeCell ref="M3:P3"/>
    <mergeCell ref="B2:C2"/>
    <mergeCell ref="AO3:AR3"/>
    <mergeCell ref="AT3:AW3"/>
    <mergeCell ref="A3:A4"/>
    <mergeCell ref="B3:B4"/>
    <mergeCell ref="C3:C4"/>
    <mergeCell ref="D3:D4"/>
    <mergeCell ref="E3:H3"/>
  </mergeCells>
  <phoneticPr fontId="34" type="noConversion"/>
  <dataValidations count="2">
    <dataValidation type="list" operator="equal" allowBlank="1" showErrorMessage="1" errorTitle="ERRO" error="Utilize múltiplos de 3. Ex.: 3,6,9..." sqref="C14:C17 C19:C23 C7:C12 C25:C26">
      <formula1>"3,6,9,12,15,18,21,24,27,30,33,36,39,42,45,48,51,54,57,60"</formula1>
      <formula2>0</formula2>
    </dataValidation>
    <dataValidation type="list" operator="equal" allowBlank="1" showErrorMessage="1" sqref="B6:B7 B19:B23 B15:B17 B11">
      <formula1>$E$5:$V$5</formula1>
      <formula2>0</formula2>
    </dataValidation>
  </dataValidations>
  <pageMargins left="0.39374999999999999" right="0.39374999999999999" top="0.78749999999999998" bottom="0.59097222222222223" header="0.31527777777777777" footer="0.31527777777777777"/>
  <pageSetup orientation="portrait" verticalDpi="0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25" max="1048575" man="1"/>
    <brk id="35" max="1048575" man="1"/>
  </colBreaks>
  <ignoredErrors>
    <ignoredError sqref="E13:X26 AE13:BC26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38720918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Caprirolo, Dino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BR-L1387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Proposal&lt;/USER_STAGE&gt;&lt;PD_OBJ_TYPE&gt;0&lt;/PD_OBJ_TYPE&gt;&lt;MAKERECORD&gt;N&lt;/MAKERECORD&gt;&lt;PD_FILEPT_NO&gt;PO-BR-L1387-Anl&lt;/PD_FILEPT_NO&gt;&lt;/Data&gt;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DS-SEC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12076B397E58D4C8DD2C5EE9E61C6A4" ma:contentTypeVersion="0" ma:contentTypeDescription="A content type to manage public (operations) IDB documents" ma:contentTypeScope="" ma:versionID="942a62262b5b3589c454b1e0ed287ba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EF571A9D-6B38-4433-8F06-FF621FA818AE}"/>
</file>

<file path=customXml/itemProps2.xml><?xml version="1.0" encoding="utf-8"?>
<ds:datastoreItem xmlns:ds="http://schemas.openxmlformats.org/officeDocument/2006/customXml" ds:itemID="{9171CC88-FE0F-48F3-A2BF-640021F2C6A6}"/>
</file>

<file path=customXml/itemProps3.xml><?xml version="1.0" encoding="utf-8"?>
<ds:datastoreItem xmlns:ds="http://schemas.openxmlformats.org/officeDocument/2006/customXml" ds:itemID="{28998A3A-90C0-4D98-A10F-78A5C8FEB59E}"/>
</file>

<file path=customXml/itemProps4.xml><?xml version="1.0" encoding="utf-8"?>
<ds:datastoreItem xmlns:ds="http://schemas.openxmlformats.org/officeDocument/2006/customXml" ds:itemID="{EFBDD9CC-28A6-4A5B-8FF7-BD53A286DDE3}"/>
</file>

<file path=customXml/itemProps5.xml><?xml version="1.0" encoding="utf-8"?>
<ds:datastoreItem xmlns:ds="http://schemas.openxmlformats.org/officeDocument/2006/customXml" ds:itemID="{1AA4B25C-1631-454C-9891-3725EC4554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39</vt:i4>
      </vt:variant>
    </vt:vector>
  </HeadingPairs>
  <TitlesOfParts>
    <vt:vector size="51" baseType="lpstr">
      <vt:lpstr>1_Capa</vt:lpstr>
      <vt:lpstr>2_Índice</vt:lpstr>
      <vt:lpstr>3_Comp e Produtos</vt:lpstr>
      <vt:lpstr>4_Componente 1</vt:lpstr>
      <vt:lpstr>5_Componente 2</vt:lpstr>
      <vt:lpstr>6_Componente 3</vt:lpstr>
      <vt:lpstr>7_ADM</vt:lpstr>
      <vt:lpstr>8_Consolidação Tipo Recurso</vt:lpstr>
      <vt:lpstr>9_Cronograma Físico</vt:lpstr>
      <vt:lpstr>10_PEP &amp; POA</vt:lpstr>
      <vt:lpstr>11_Orçamento Global</vt:lpstr>
      <vt:lpstr>12_PA</vt:lpstr>
      <vt:lpstr>__xlnm.Print_Area_1</vt:lpstr>
      <vt:lpstr>__xlnm.Print_Area_3</vt:lpstr>
      <vt:lpstr>'6_Componente 3'!__xlnm.Print_Area_4</vt:lpstr>
      <vt:lpstr>__xlnm.Print_Area_4</vt:lpstr>
      <vt:lpstr>__xlnm.Print_Area_5</vt:lpstr>
      <vt:lpstr>__xlnm.Print_Area_6</vt:lpstr>
      <vt:lpstr>__xlnm.Print_Area_7</vt:lpstr>
      <vt:lpstr>__xlnm.Print_Area_8</vt:lpstr>
      <vt:lpstr>__xlnm.Print_Titles_3</vt:lpstr>
      <vt:lpstr>'6_Componente 3'!__xlnm.Print_Titles_4</vt:lpstr>
      <vt:lpstr>__xlnm.Print_Titles_4</vt:lpstr>
      <vt:lpstr>__xlnm.Print_Titles_5</vt:lpstr>
      <vt:lpstr>__xlnm.Print_Titles_6</vt:lpstr>
      <vt:lpstr>__xlnm.Print_Titles_8</vt:lpstr>
      <vt:lpstr>__xlnm.Print_Titles_9</vt:lpstr>
      <vt:lpstr>Excel_BuiltIn_Print_Titles_4_1</vt:lpstr>
      <vt:lpstr>'6_Componente 3'!Excel_BuiltIn_Print_Titles_5_1</vt:lpstr>
      <vt:lpstr>Excel_BuiltIn_Print_Titles_5_1</vt:lpstr>
      <vt:lpstr>'6_Componente 3'!Excel_BuiltIn_Print_Titles_5_1_1</vt:lpstr>
      <vt:lpstr>Excel_BuiltIn_Print_Titles_5_1_1</vt:lpstr>
      <vt:lpstr>Excel_BuiltIn_Print_Titles_8_1</vt:lpstr>
      <vt:lpstr>Excel_BuiltIn_Print_Titles_9_1</vt:lpstr>
      <vt:lpstr>'1_Capa'!Print_Area</vt:lpstr>
      <vt:lpstr>'12_PA'!Print_Area</vt:lpstr>
      <vt:lpstr>'3_Comp e Produtos'!Print_Area</vt:lpstr>
      <vt:lpstr>'4_Componente 1'!Print_Area</vt:lpstr>
      <vt:lpstr>'5_Componente 2'!Print_Area</vt:lpstr>
      <vt:lpstr>'6_Componente 3'!Print_Area</vt:lpstr>
      <vt:lpstr>'7_ADM'!Print_Area</vt:lpstr>
      <vt:lpstr>'8_Consolidação Tipo Recurso'!Print_Area</vt:lpstr>
      <vt:lpstr>'9_Cronograma Físico'!Print_Area</vt:lpstr>
      <vt:lpstr>'10_PEP &amp; POA'!Print_Titles</vt:lpstr>
      <vt:lpstr>'12_PA'!Print_Titles</vt:lpstr>
      <vt:lpstr>'3_Comp e Produtos'!Print_Titles</vt:lpstr>
      <vt:lpstr>'4_Componente 1'!Print_Titles</vt:lpstr>
      <vt:lpstr>'5_Componente 2'!Print_Titles</vt:lpstr>
      <vt:lpstr>'6_Componente 3'!Print_Titles</vt:lpstr>
      <vt:lpstr>'7_ADM'!Print_Titles</vt:lpstr>
      <vt:lpstr>'9_Cronograma Físico'!Print_Titles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- PEP-POA-PA</dc:title>
  <dc:creator>Caprirolo, Dino</dc:creator>
  <cp:lastModifiedBy>BlancaT</cp:lastModifiedBy>
  <cp:lastPrinted>2014-04-04T12:55:39Z</cp:lastPrinted>
  <dcterms:created xsi:type="dcterms:W3CDTF">2012-10-22T13:59:19Z</dcterms:created>
  <dcterms:modified xsi:type="dcterms:W3CDTF">2014-04-07T14:27:45Z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0x01010046CF21643EE8D14686A648AA6DAD089200012076B397E58D4C8DD2C5EE9E61C6A4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