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9.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827"/>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AR-L1295/"/>
    </mc:Choice>
  </mc:AlternateContent>
  <xr:revisionPtr revIDLastSave="20" documentId="CC2D98B6CB82564BAD088705B459DD4F8952D277" xr6:coauthVersionLast="26" xr6:coauthVersionMax="26" xr10:uidLastSave="{E9836DA6-1BC7-4889-95C0-EF42D41BF42B}"/>
  <bookViews>
    <workbookView xWindow="0" yWindow="0" windowWidth="28800" windowHeight="11940" tabRatio="674" activeTab="1"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(Evaluability)'!$A$1:$K$94</definedName>
  </definedNames>
  <calcPr calcId="179021"/>
</workbook>
</file>

<file path=xl/calcChain.xml><?xml version="1.0" encoding="utf-8"?>
<calcChain xmlns="http://schemas.openxmlformats.org/spreadsheetml/2006/main">
  <c r="C11" i="9" l="1"/>
  <c r="C11" i="6"/>
  <c r="C9" i="9"/>
  <c r="B3" i="6"/>
  <c r="B3" i="9"/>
  <c r="B9" i="6"/>
  <c r="D15" i="5"/>
  <c r="F15" i="5" s="1"/>
  <c r="G15" i="5" s="1"/>
  <c r="B10" i="6"/>
  <c r="C10" i="9"/>
  <c r="C10" i="6"/>
  <c r="F22" i="7"/>
  <c r="G22" i="7" s="1"/>
  <c r="D18" i="5"/>
  <c r="D16" i="14" s="1"/>
  <c r="F16" i="14" s="1"/>
  <c r="G16" i="14" s="1"/>
  <c r="F40" i="7"/>
  <c r="G21" i="7"/>
  <c r="F23" i="7" s="1"/>
  <c r="G20" i="7"/>
  <c r="E72" i="14"/>
  <c r="I72" i="14" s="1"/>
  <c r="D72" i="14"/>
  <c r="E71" i="14"/>
  <c r="D71" i="14"/>
  <c r="E70" i="14"/>
  <c r="I70" i="14" s="1"/>
  <c r="D70" i="14"/>
  <c r="E69" i="14"/>
  <c r="D69" i="14"/>
  <c r="E68" i="14"/>
  <c r="I68" i="14" s="1"/>
  <c r="D68" i="14"/>
  <c r="E63" i="14"/>
  <c r="D63" i="14"/>
  <c r="E60" i="14"/>
  <c r="F60" i="14" s="1"/>
  <c r="G60" i="14" s="1"/>
  <c r="D60" i="14"/>
  <c r="G23" i="7"/>
  <c r="F68" i="14"/>
  <c r="G68" i="14" s="1"/>
  <c r="F11" i="5"/>
  <c r="G11" i="5" s="1"/>
  <c r="H11" i="5" s="1"/>
  <c r="G89" i="7"/>
  <c r="G91" i="7"/>
  <c r="G82" i="7"/>
  <c r="G75" i="7"/>
  <c r="G70" i="7"/>
  <c r="G71" i="7"/>
  <c r="G72" i="7"/>
  <c r="G73" i="7"/>
  <c r="G74" i="7"/>
  <c r="G32" i="7"/>
  <c r="I77" i="5"/>
  <c r="F77" i="5"/>
  <c r="G77" i="5" s="1"/>
  <c r="I76" i="5"/>
  <c r="F76" i="5"/>
  <c r="G76" i="5" s="1"/>
  <c r="I75" i="5"/>
  <c r="F75" i="5"/>
  <c r="G75" i="5" s="1"/>
  <c r="I74" i="5"/>
  <c r="F74" i="5"/>
  <c r="G74" i="5" s="1"/>
  <c r="I73" i="5"/>
  <c r="F73" i="5"/>
  <c r="G73" i="5" s="1"/>
  <c r="I68" i="5"/>
  <c r="F68" i="5"/>
  <c r="G68" i="5" s="1"/>
  <c r="I65" i="5"/>
  <c r="F65" i="5"/>
  <c r="G65" i="5" s="1"/>
  <c r="G58" i="7"/>
  <c r="G57" i="7"/>
  <c r="G94" i="7"/>
  <c r="G93" i="7"/>
  <c r="G92" i="7"/>
  <c r="G88" i="7"/>
  <c r="G87" i="7"/>
  <c r="G86" i="7"/>
  <c r="G85" i="7"/>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J45" i="14" s="1"/>
  <c r="D46" i="14"/>
  <c r="E46" i="14"/>
  <c r="D47" i="14"/>
  <c r="E47" i="14"/>
  <c r="F47" i="14" s="1"/>
  <c r="G47" i="14" s="1"/>
  <c r="D48" i="14"/>
  <c r="E48" i="14"/>
  <c r="F48" i="14" s="1"/>
  <c r="G48" i="14" s="1"/>
  <c r="D49" i="14"/>
  <c r="E49" i="14"/>
  <c r="F49" i="14" s="1"/>
  <c r="G49" i="14" s="1"/>
  <c r="D50" i="14"/>
  <c r="E50" i="14"/>
  <c r="I50" i="14" s="1"/>
  <c r="D51" i="14"/>
  <c r="E51" i="14"/>
  <c r="I51" i="14" s="1"/>
  <c r="D52" i="14"/>
  <c r="E52" i="14"/>
  <c r="I52" i="14" s="1"/>
  <c r="D53" i="14"/>
  <c r="E53" i="14"/>
  <c r="F53" i="14" s="1"/>
  <c r="G53" i="14" s="1"/>
  <c r="H53" i="14" s="1"/>
  <c r="D54" i="14"/>
  <c r="E54" i="14"/>
  <c r="D55" i="14"/>
  <c r="E55" i="14"/>
  <c r="F55" i="14" s="1"/>
  <c r="G55" i="14" s="1"/>
  <c r="D56" i="14"/>
  <c r="E56" i="14"/>
  <c r="D57" i="14"/>
  <c r="E57" i="14"/>
  <c r="F57" i="14" s="1"/>
  <c r="G57" i="14" s="1"/>
  <c r="D58" i="14"/>
  <c r="E58" i="14"/>
  <c r="F58" i="14" s="1"/>
  <c r="G58" i="14" s="1"/>
  <c r="H58" i="14" s="1"/>
  <c r="D59" i="14"/>
  <c r="E59" i="14"/>
  <c r="F59" i="14" s="1"/>
  <c r="G59" i="14" s="1"/>
  <c r="H59" i="14" s="1"/>
  <c r="D61" i="14"/>
  <c r="E61" i="14"/>
  <c r="F61" i="14" s="1"/>
  <c r="G61" i="14" s="1"/>
  <c r="H61" i="14" s="1"/>
  <c r="D62" i="14"/>
  <c r="E62" i="14"/>
  <c r="F62" i="14" s="1"/>
  <c r="G62" i="14" s="1"/>
  <c r="D64" i="14"/>
  <c r="E64" i="14"/>
  <c r="D65" i="14"/>
  <c r="E65" i="14"/>
  <c r="I65" i="14" s="1"/>
  <c r="D66" i="14"/>
  <c r="E66" i="14"/>
  <c r="I66" i="14" s="1"/>
  <c r="D67" i="14"/>
  <c r="E67" i="14"/>
  <c r="D73" i="14"/>
  <c r="E73" i="14"/>
  <c r="I49" i="5"/>
  <c r="I50" i="5"/>
  <c r="I51" i="5"/>
  <c r="I52" i="5"/>
  <c r="I53" i="5"/>
  <c r="I54" i="5"/>
  <c r="I55" i="5"/>
  <c r="I56" i="5"/>
  <c r="I57" i="5"/>
  <c r="I58" i="5"/>
  <c r="I59" i="5"/>
  <c r="I60" i="5"/>
  <c r="I61" i="5"/>
  <c r="I62" i="5"/>
  <c r="I63" i="5"/>
  <c r="I64" i="5"/>
  <c r="I66" i="5"/>
  <c r="I67" i="5"/>
  <c r="I69" i="5"/>
  <c r="I70" i="5"/>
  <c r="I71" i="5"/>
  <c r="I72" i="5"/>
  <c r="I78" i="5"/>
  <c r="F78" i="5"/>
  <c r="G78" i="5" s="1"/>
  <c r="H78" i="5" s="1"/>
  <c r="F49" i="5"/>
  <c r="G49" i="5" s="1"/>
  <c r="J49" i="5" s="1"/>
  <c r="F50" i="5"/>
  <c r="G50" i="5" s="1"/>
  <c r="F51" i="5"/>
  <c r="G51" i="5" s="1"/>
  <c r="J51" i="5" s="1"/>
  <c r="F52" i="5"/>
  <c r="G52" i="5" s="1"/>
  <c r="H52" i="5" s="1"/>
  <c r="F53" i="5"/>
  <c r="G53" i="5" s="1"/>
  <c r="J53" i="5" s="1"/>
  <c r="F54" i="5"/>
  <c r="G54" i="5" s="1"/>
  <c r="H54" i="5" s="1"/>
  <c r="F55" i="5"/>
  <c r="G55" i="5" s="1"/>
  <c r="F56" i="5"/>
  <c r="G56" i="5"/>
  <c r="H56" i="5" s="1"/>
  <c r="F57" i="5"/>
  <c r="G57" i="5" s="1"/>
  <c r="F58" i="5"/>
  <c r="G58" i="5" s="1"/>
  <c r="F59" i="5"/>
  <c r="G59" i="5" s="1"/>
  <c r="H59" i="5" s="1"/>
  <c r="F60" i="5"/>
  <c r="G60" i="5" s="1"/>
  <c r="J60" i="5" s="1"/>
  <c r="F61" i="5"/>
  <c r="G61" i="5" s="1"/>
  <c r="J61" i="5" s="1"/>
  <c r="F62" i="5"/>
  <c r="G62" i="5" s="1"/>
  <c r="J62" i="5" s="1"/>
  <c r="F63" i="5"/>
  <c r="G63" i="5" s="1"/>
  <c r="F64" i="5"/>
  <c r="G64" i="5" s="1"/>
  <c r="H64" i="5" s="1"/>
  <c r="F66" i="5"/>
  <c r="G66" i="5" s="1"/>
  <c r="H66" i="5" s="1"/>
  <c r="F67" i="5"/>
  <c r="G67" i="5" s="1"/>
  <c r="J67" i="5" s="1"/>
  <c r="F69" i="5"/>
  <c r="G69" i="5" s="1"/>
  <c r="H69" i="5" s="1"/>
  <c r="F70" i="5"/>
  <c r="G70" i="5" s="1"/>
  <c r="H70" i="5" s="1"/>
  <c r="F71" i="5"/>
  <c r="G71" i="5" s="1"/>
  <c r="H71" i="5" s="1"/>
  <c r="F72" i="5"/>
  <c r="G72" i="5" s="1"/>
  <c r="D11" i="14"/>
  <c r="F11" i="14" s="1"/>
  <c r="G11" i="14" s="1"/>
  <c r="H11" i="14" s="1"/>
  <c r="D12" i="14"/>
  <c r="F12" i="14" s="1"/>
  <c r="G12" i="14" s="1"/>
  <c r="D13" i="14"/>
  <c r="F13" i="14" s="1"/>
  <c r="G13" i="14" s="1"/>
  <c r="D17" i="14"/>
  <c r="F17" i="14" s="1"/>
  <c r="G17" i="14" s="1"/>
  <c r="D19" i="14"/>
  <c r="F19" i="14" s="1"/>
  <c r="G19" i="14" s="1"/>
  <c r="E19" i="14"/>
  <c r="I19" i="14" s="1"/>
  <c r="D20" i="14"/>
  <c r="F20" i="14"/>
  <c r="G20" i="14" s="1"/>
  <c r="E20" i="14"/>
  <c r="I20" i="14" s="1"/>
  <c r="D21" i="14"/>
  <c r="E21" i="14"/>
  <c r="F21" i="14" s="1"/>
  <c r="G21" i="14" s="1"/>
  <c r="J21" i="14" s="1"/>
  <c r="D22" i="14"/>
  <c r="E22" i="14"/>
  <c r="D23" i="14"/>
  <c r="E23" i="14"/>
  <c r="I23" i="14" s="1"/>
  <c r="D24" i="14"/>
  <c r="F24" i="14" s="1"/>
  <c r="G24" i="14" s="1"/>
  <c r="H24" i="14" s="1"/>
  <c r="E24" i="14"/>
  <c r="I24" i="14" s="1"/>
  <c r="D25" i="14"/>
  <c r="F25" i="14" s="1"/>
  <c r="G25" i="14" s="1"/>
  <c r="H25" i="14" s="1"/>
  <c r="E25" i="14"/>
  <c r="I25" i="14" s="1"/>
  <c r="D26" i="14"/>
  <c r="E26" i="14"/>
  <c r="F26" i="14" s="1"/>
  <c r="G26" i="14" s="1"/>
  <c r="J26" i="14" s="1"/>
  <c r="D27" i="14"/>
  <c r="E27" i="14"/>
  <c r="I27" i="14" s="1"/>
  <c r="D28" i="14"/>
  <c r="E28" i="14"/>
  <c r="I28" i="14" s="1"/>
  <c r="D29" i="14"/>
  <c r="E29" i="14"/>
  <c r="F29" i="14" s="1"/>
  <c r="G29" i="14" s="1"/>
  <c r="J29" i="14" s="1"/>
  <c r="D30" i="14"/>
  <c r="E30" i="14"/>
  <c r="F30" i="14" s="1"/>
  <c r="D31" i="14"/>
  <c r="E31" i="14"/>
  <c r="I31" i="14" s="1"/>
  <c r="D32" i="14"/>
  <c r="E32" i="14"/>
  <c r="I32" i="14" s="1"/>
  <c r="D33" i="14"/>
  <c r="E33" i="14"/>
  <c r="I33" i="14" s="1"/>
  <c r="F33" i="14"/>
  <c r="G33" i="14" s="1"/>
  <c r="D34" i="14"/>
  <c r="E34" i="14"/>
  <c r="F34" i="14" s="1"/>
  <c r="G34" i="14" s="1"/>
  <c r="D35" i="14"/>
  <c r="E35" i="14"/>
  <c r="I35" i="14" s="1"/>
  <c r="D36" i="14"/>
  <c r="E36" i="14"/>
  <c r="F36" i="14" s="1"/>
  <c r="G36" i="14" s="1"/>
  <c r="D37" i="14"/>
  <c r="E37" i="14"/>
  <c r="F37" i="14" s="1"/>
  <c r="G37" i="14" s="1"/>
  <c r="D38" i="14"/>
  <c r="E38" i="14"/>
  <c r="D39" i="14"/>
  <c r="E39" i="14"/>
  <c r="I39" i="14" s="1"/>
  <c r="D40" i="14"/>
  <c r="E40" i="14"/>
  <c r="F40" i="14" s="1"/>
  <c r="G40" i="14" s="1"/>
  <c r="J40" i="14" s="1"/>
  <c r="D41" i="14"/>
  <c r="E41" i="14"/>
  <c r="D42" i="14"/>
  <c r="E42" i="14"/>
  <c r="I42" i="14" s="1"/>
  <c r="D43" i="14"/>
  <c r="E43" i="14"/>
  <c r="F43" i="14" s="1"/>
  <c r="G43" i="14" s="1"/>
  <c r="H43" i="14" s="1"/>
  <c r="F47" i="5"/>
  <c r="G47" i="5" s="1"/>
  <c r="J47" i="5" s="1"/>
  <c r="F46" i="5"/>
  <c r="G46" i="5" s="1"/>
  <c r="F45" i="5"/>
  <c r="G45" i="5" s="1"/>
  <c r="F44" i="5"/>
  <c r="G44" i="5" s="1"/>
  <c r="J44" i="5" s="1"/>
  <c r="F43" i="5"/>
  <c r="G43" i="5" s="1"/>
  <c r="F42" i="5"/>
  <c r="G42" i="5" s="1"/>
  <c r="J42" i="5" s="1"/>
  <c r="F41" i="5"/>
  <c r="G41" i="5" s="1"/>
  <c r="H41" i="5" s="1"/>
  <c r="F40" i="5"/>
  <c r="G40" i="5" s="1"/>
  <c r="F39" i="5"/>
  <c r="G39" i="5" s="1"/>
  <c r="F38" i="5"/>
  <c r="G38" i="5" s="1"/>
  <c r="H38" i="5" s="1"/>
  <c r="F37" i="5"/>
  <c r="G37" i="5" s="1"/>
  <c r="F36" i="5"/>
  <c r="G36" i="5" s="1"/>
  <c r="H36" i="5" s="1"/>
  <c r="F35" i="5"/>
  <c r="G35" i="5"/>
  <c r="J35" i="5" s="1"/>
  <c r="F34" i="5"/>
  <c r="G34" i="5" s="1"/>
  <c r="F33" i="5"/>
  <c r="G33" i="5" s="1"/>
  <c r="F32" i="5"/>
  <c r="G32" i="5" s="1"/>
  <c r="H32" i="5" s="1"/>
  <c r="F31" i="5"/>
  <c r="G31" i="5" s="1"/>
  <c r="J31" i="5" s="1"/>
  <c r="I31" i="5"/>
  <c r="F30" i="5"/>
  <c r="G30" i="5" s="1"/>
  <c r="J30" i="5" s="1"/>
  <c r="F27" i="5"/>
  <c r="G27" i="5" s="1"/>
  <c r="H27" i="5" s="1"/>
  <c r="F26" i="5"/>
  <c r="G26" i="5" s="1"/>
  <c r="F25" i="5"/>
  <c r="G25" i="5" s="1"/>
  <c r="H25" i="5" s="1"/>
  <c r="I25" i="5"/>
  <c r="B8" i="6"/>
  <c r="B8" i="9" s="1"/>
  <c r="F12" i="5"/>
  <c r="G12" i="5" s="1"/>
  <c r="F13" i="5"/>
  <c r="G13" i="5" s="1"/>
  <c r="F21" i="5"/>
  <c r="G21" i="5" s="1"/>
  <c r="F28" i="5"/>
  <c r="G28" i="5" s="1"/>
  <c r="H28" i="5" s="1"/>
  <c r="F29" i="5"/>
  <c r="G29" i="5" s="1"/>
  <c r="I38" i="5"/>
  <c r="I44" i="5"/>
  <c r="I47" i="5"/>
  <c r="F23" i="5"/>
  <c r="G23" i="5" s="1"/>
  <c r="F24" i="5"/>
  <c r="G24" i="5" s="1"/>
  <c r="J24" i="5" s="1"/>
  <c r="I27" i="5"/>
  <c r="I24" i="5"/>
  <c r="I26" i="5"/>
  <c r="I28" i="5"/>
  <c r="I29" i="5"/>
  <c r="I30" i="5"/>
  <c r="I32" i="5"/>
  <c r="I33" i="5"/>
  <c r="I34" i="5"/>
  <c r="I35" i="5"/>
  <c r="I36" i="5"/>
  <c r="I37" i="5"/>
  <c r="I39" i="5"/>
  <c r="I40" i="5"/>
  <c r="I41" i="5"/>
  <c r="I42" i="5"/>
  <c r="I43" i="5"/>
  <c r="I45" i="5"/>
  <c r="I46" i="5"/>
  <c r="I23" i="5"/>
  <c r="E14" i="11"/>
  <c r="B35" i="6" s="1"/>
  <c r="D15" i="15"/>
  <c r="D16" i="15"/>
  <c r="E16" i="15" s="1"/>
  <c r="D17" i="15"/>
  <c r="E17" i="15" s="1"/>
  <c r="F17" i="15" s="1"/>
  <c r="G17" i="15" s="1"/>
  <c r="D18" i="15"/>
  <c r="D19" i="15"/>
  <c r="E19" i="15" s="1"/>
  <c r="F19" i="15" s="1"/>
  <c r="D21" i="15"/>
  <c r="D22" i="15"/>
  <c r="D23" i="15"/>
  <c r="E23" i="15" s="1"/>
  <c r="F23" i="15" s="1"/>
  <c r="G23" i="15" s="1"/>
  <c r="D25" i="15"/>
  <c r="D26" i="15"/>
  <c r="D29" i="15"/>
  <c r="D31" i="15"/>
  <c r="D32" i="15"/>
  <c r="E32" i="15" s="1"/>
  <c r="F32" i="15" s="1"/>
  <c r="D33" i="15"/>
  <c r="E33" i="15" s="1"/>
  <c r="F33" i="15" s="1"/>
  <c r="D34" i="15"/>
  <c r="D35" i="15"/>
  <c r="D36" i="15"/>
  <c r="D37" i="15"/>
  <c r="D38" i="15"/>
  <c r="D39" i="15"/>
  <c r="E30" i="11"/>
  <c r="E28" i="11"/>
  <c r="E24" i="11"/>
  <c r="E20" i="11" s="1"/>
  <c r="D20" i="15" s="1"/>
  <c r="B28" i="6"/>
  <c r="K46" i="15"/>
  <c r="K45" i="15"/>
  <c r="K41" i="15"/>
  <c r="K39" i="15"/>
  <c r="K40" i="15"/>
  <c r="B10" i="9"/>
  <c r="B9" i="9"/>
  <c r="F32" i="11"/>
  <c r="G32" i="11" s="1"/>
  <c r="H32" i="11" s="1"/>
  <c r="I32" i="11"/>
  <c r="F33" i="11"/>
  <c r="G33" i="11" s="1"/>
  <c r="H33" i="11" s="1"/>
  <c r="F21" i="11"/>
  <c r="G21" i="11" s="1"/>
  <c r="F22" i="11"/>
  <c r="F23" i="11"/>
  <c r="G23" i="11" s="1"/>
  <c r="H23" i="11" s="1"/>
  <c r="I23" i="11" s="1"/>
  <c r="F15" i="11"/>
  <c r="G15" i="11" s="1"/>
  <c r="F16" i="11"/>
  <c r="F17" i="11"/>
  <c r="G17" i="11" s="1"/>
  <c r="F18" i="11"/>
  <c r="G18" i="11" s="1"/>
  <c r="F19" i="11"/>
  <c r="I19" i="11"/>
  <c r="L42" i="11"/>
  <c r="L41" i="11"/>
  <c r="L37" i="11"/>
  <c r="L36" i="11"/>
  <c r="B32" i="6"/>
  <c r="B32" i="9" s="1"/>
  <c r="B29" i="6"/>
  <c r="B38" i="9"/>
  <c r="B31" i="9"/>
  <c r="B30" i="9"/>
  <c r="B29" i="9"/>
  <c r="B31" i="6"/>
  <c r="B30" i="6"/>
  <c r="B38" i="6"/>
  <c r="D15" i="14"/>
  <c r="F15" i="14" s="1"/>
  <c r="G15" i="14" s="1"/>
  <c r="H15" i="14" s="1"/>
  <c r="H32" i="15"/>
  <c r="I33" i="11"/>
  <c r="J36" i="5"/>
  <c r="I36" i="14"/>
  <c r="H60" i="5"/>
  <c r="H55" i="5"/>
  <c r="J55" i="5"/>
  <c r="H51" i="5"/>
  <c r="H49" i="5"/>
  <c r="J71" i="5"/>
  <c r="J78" i="5"/>
  <c r="J69" i="5"/>
  <c r="I44" i="14"/>
  <c r="I58" i="14"/>
  <c r="J25" i="14"/>
  <c r="I34" i="14"/>
  <c r="I40" i="14"/>
  <c r="F50" i="14"/>
  <c r="G50" i="14" s="1"/>
  <c r="I56" i="14"/>
  <c r="F56" i="14"/>
  <c r="G56" i="14" s="1"/>
  <c r="I54" i="14"/>
  <c r="F54" i="14"/>
  <c r="G54" i="14" s="1"/>
  <c r="J54" i="14" s="1"/>
  <c r="G30" i="14"/>
  <c r="J30" i="14" s="1"/>
  <c r="I57" i="14"/>
  <c r="F31" i="14"/>
  <c r="G31" i="14" s="1"/>
  <c r="J43" i="14"/>
  <c r="H29" i="14" l="1"/>
  <c r="I49" i="14"/>
  <c r="I62" i="14"/>
  <c r="F39" i="14"/>
  <c r="G39" i="14" s="1"/>
  <c r="H39" i="14" s="1"/>
  <c r="I53" i="14"/>
  <c r="J70" i="5"/>
  <c r="H44" i="5"/>
  <c r="I29" i="14"/>
  <c r="J24" i="14"/>
  <c r="F42" i="14"/>
  <c r="G42" i="14" s="1"/>
  <c r="J54" i="5"/>
  <c r="J52" i="5"/>
  <c r="H33" i="15"/>
  <c r="H30" i="5"/>
  <c r="J72" i="5"/>
  <c r="H72" i="5"/>
  <c r="H57" i="5"/>
  <c r="J57" i="5"/>
  <c r="I24" i="11"/>
  <c r="J38" i="5"/>
  <c r="J59" i="14"/>
  <c r="F66" i="14"/>
  <c r="G66" i="14" s="1"/>
  <c r="J66" i="14" s="1"/>
  <c r="F52" i="14"/>
  <c r="G52" i="14" s="1"/>
  <c r="F65" i="14"/>
  <c r="G65" i="14" s="1"/>
  <c r="I37" i="14"/>
  <c r="J41" i="5"/>
  <c r="H67" i="5"/>
  <c r="I26" i="14"/>
  <c r="I30" i="14"/>
  <c r="I55" i="14"/>
  <c r="I59" i="14"/>
  <c r="J44" i="14"/>
  <c r="J32" i="5"/>
  <c r="H62" i="5"/>
  <c r="G84" i="7"/>
  <c r="F51" i="14"/>
  <c r="G51" i="14" s="1"/>
  <c r="H51" i="14" s="1"/>
  <c r="J68" i="5"/>
  <c r="H68" i="5"/>
  <c r="H21" i="5"/>
  <c r="I21" i="5"/>
  <c r="H19" i="14"/>
  <c r="J19" i="14"/>
  <c r="J55" i="14"/>
  <c r="H55" i="14"/>
  <c r="H48" i="14"/>
  <c r="J48" i="14"/>
  <c r="H76" i="5"/>
  <c r="J76" i="5"/>
  <c r="H26" i="5"/>
  <c r="J26" i="5"/>
  <c r="H50" i="5"/>
  <c r="J50" i="5"/>
  <c r="J46" i="5"/>
  <c r="H46" i="5"/>
  <c r="H33" i="5"/>
  <c r="J33" i="5"/>
  <c r="H20" i="14"/>
  <c r="J20" i="14"/>
  <c r="J66" i="5"/>
  <c r="H47" i="5"/>
  <c r="J27" i="5"/>
  <c r="H19" i="11"/>
  <c r="F35" i="14"/>
  <c r="G35" i="14" s="1"/>
  <c r="J35" i="14" s="1"/>
  <c r="F28" i="14"/>
  <c r="G28" i="14" s="1"/>
  <c r="F23" i="14"/>
  <c r="G23" i="14" s="1"/>
  <c r="H23" i="14" s="1"/>
  <c r="I61" i="14"/>
  <c r="F72" i="14"/>
  <c r="G72" i="14" s="1"/>
  <c r="H15" i="11"/>
  <c r="I15" i="11" s="1"/>
  <c r="H54" i="14"/>
  <c r="J58" i="14"/>
  <c r="I15" i="14"/>
  <c r="I11" i="14"/>
  <c r="H21" i="14"/>
  <c r="I47" i="14"/>
  <c r="H53" i="5"/>
  <c r="J59" i="5"/>
  <c r="J56" i="5"/>
  <c r="J61" i="14"/>
  <c r="H45" i="14"/>
  <c r="J53" i="14"/>
  <c r="H26" i="14"/>
  <c r="I45" i="14"/>
  <c r="H24" i="5"/>
  <c r="H31" i="5"/>
  <c r="G19" i="11"/>
  <c r="F18" i="5"/>
  <c r="G18" i="5" s="1"/>
  <c r="H18" i="5" s="1"/>
  <c r="I18" i="5" s="1"/>
  <c r="H23" i="15"/>
  <c r="G22" i="11"/>
  <c r="H22" i="11" s="1"/>
  <c r="I22" i="11" s="1"/>
  <c r="E21" i="15"/>
  <c r="F21" i="15" s="1"/>
  <c r="H18" i="11"/>
  <c r="I18" i="11" s="1"/>
  <c r="H17" i="11"/>
  <c r="I17" i="11" s="1"/>
  <c r="J37" i="5"/>
  <c r="H37" i="5"/>
  <c r="H47" i="14"/>
  <c r="J47" i="14"/>
  <c r="J51" i="14"/>
  <c r="E20" i="15"/>
  <c r="F20" i="15" s="1"/>
  <c r="G20" i="15" s="1"/>
  <c r="H20" i="15" s="1"/>
  <c r="I17" i="14"/>
  <c r="H17" i="14"/>
  <c r="E15" i="15"/>
  <c r="F15" i="15" s="1"/>
  <c r="G15" i="15" s="1"/>
  <c r="H15" i="15"/>
  <c r="I22" i="14"/>
  <c r="F22" i="14"/>
  <c r="G22" i="14" s="1"/>
  <c r="G69" i="7"/>
  <c r="I63" i="14"/>
  <c r="F63" i="14"/>
  <c r="G63" i="14" s="1"/>
  <c r="H63" i="14" s="1"/>
  <c r="F71" i="14"/>
  <c r="G71" i="14" s="1"/>
  <c r="I71" i="14"/>
  <c r="F28" i="11"/>
  <c r="G28" i="11" s="1"/>
  <c r="D28" i="15"/>
  <c r="G19" i="15"/>
  <c r="H19" i="15" s="1"/>
  <c r="F30" i="11"/>
  <c r="E22" i="15"/>
  <c r="J29" i="5"/>
  <c r="H29" i="5"/>
  <c r="I38" i="14"/>
  <c r="F38" i="14"/>
  <c r="G38" i="14" s="1"/>
  <c r="H38" i="14" s="1"/>
  <c r="E13" i="11"/>
  <c r="D13" i="15" s="1"/>
  <c r="F14" i="11"/>
  <c r="G14" i="11" s="1"/>
  <c r="L39" i="11"/>
  <c r="H39" i="5"/>
  <c r="J39" i="5"/>
  <c r="I43" i="14"/>
  <c r="H58" i="5"/>
  <c r="J58" i="5"/>
  <c r="I46" i="14"/>
  <c r="F46" i="14"/>
  <c r="G46" i="14" s="1"/>
  <c r="H74" i="5"/>
  <c r="J74" i="5"/>
  <c r="H66" i="14"/>
  <c r="I11" i="5"/>
  <c r="H35" i="5"/>
  <c r="F24" i="11"/>
  <c r="G24" i="11" s="1"/>
  <c r="D24" i="15"/>
  <c r="H40" i="5"/>
  <c r="J40" i="5"/>
  <c r="I41" i="14"/>
  <c r="F41" i="14"/>
  <c r="G41" i="14" s="1"/>
  <c r="H63" i="5"/>
  <c r="J63" i="5"/>
  <c r="I73" i="14"/>
  <c r="F73" i="14"/>
  <c r="G73" i="14" s="1"/>
  <c r="H73" i="14" s="1"/>
  <c r="I60" i="14"/>
  <c r="I48" i="14"/>
  <c r="I21" i="14"/>
  <c r="G76" i="7"/>
  <c r="G48" i="7"/>
  <c r="G55" i="7"/>
  <c r="B25" i="6" s="1"/>
  <c r="G34" i="7"/>
  <c r="G30" i="7"/>
  <c r="H19" i="7"/>
  <c r="H23" i="7" s="1"/>
  <c r="G19" i="7" s="1"/>
  <c r="G12" i="7"/>
  <c r="B28" i="9"/>
  <c r="H43" i="5"/>
  <c r="J43" i="5" s="1"/>
  <c r="H16" i="14"/>
  <c r="I16" i="14" s="1"/>
  <c r="H13" i="14"/>
  <c r="I13" i="14" s="1"/>
  <c r="H12" i="5"/>
  <c r="I12" i="5" s="1"/>
  <c r="H12" i="14"/>
  <c r="I12" i="14" s="1"/>
  <c r="H13" i="5"/>
  <c r="I13" i="5" s="1"/>
  <c r="J65" i="14"/>
  <c r="H65" i="14"/>
  <c r="J57" i="14"/>
  <c r="H57" i="14"/>
  <c r="J56" i="14"/>
  <c r="H56" i="14"/>
  <c r="J42" i="14"/>
  <c r="H42" i="14"/>
  <c r="H31" i="14"/>
  <c r="J31" i="14"/>
  <c r="H34" i="14"/>
  <c r="J34" i="14"/>
  <c r="J49" i="14"/>
  <c r="H49" i="14"/>
  <c r="H35" i="14"/>
  <c r="H62" i="14"/>
  <c r="J62" i="14"/>
  <c r="H52" i="14"/>
  <c r="J52" i="14"/>
  <c r="H36" i="14"/>
  <c r="J36" i="14"/>
  <c r="J37" i="14"/>
  <c r="H37" i="14"/>
  <c r="J33" i="14"/>
  <c r="H33" i="14"/>
  <c r="F16" i="15"/>
  <c r="G16" i="15" s="1"/>
  <c r="H16" i="15" s="1"/>
  <c r="H34" i="5"/>
  <c r="J34" i="5"/>
  <c r="H45" i="5"/>
  <c r="J45" i="5"/>
  <c r="H60" i="14"/>
  <c r="J60" i="14"/>
  <c r="F32" i="14"/>
  <c r="G32" i="14" s="1"/>
  <c r="J25" i="5"/>
  <c r="J28" i="5"/>
  <c r="G16" i="11"/>
  <c r="H16" i="11" s="1"/>
  <c r="I16" i="11" s="1"/>
  <c r="F20" i="11"/>
  <c r="H23" i="5"/>
  <c r="J23" i="5"/>
  <c r="H77" i="5"/>
  <c r="J77" i="5"/>
  <c r="J39" i="14"/>
  <c r="H50" i="14"/>
  <c r="J50" i="14"/>
  <c r="H42" i="5"/>
  <c r="F27" i="14"/>
  <c r="G27" i="14" s="1"/>
  <c r="J64" i="5"/>
  <c r="H21" i="11"/>
  <c r="I21" i="11" s="1"/>
  <c r="D30" i="15"/>
  <c r="E27" i="11"/>
  <c r="G33" i="15"/>
  <c r="E18" i="15"/>
  <c r="I64" i="14"/>
  <c r="F64" i="14"/>
  <c r="G64" i="14" s="1"/>
  <c r="H30" i="14"/>
  <c r="J23" i="14"/>
  <c r="H61" i="5"/>
  <c r="H40" i="14"/>
  <c r="F67" i="14"/>
  <c r="G67" i="14" s="1"/>
  <c r="I67" i="14"/>
  <c r="G41" i="7"/>
  <c r="H73" i="5"/>
  <c r="J73" i="5"/>
  <c r="H17" i="15"/>
  <c r="D14" i="15"/>
  <c r="K43" i="15"/>
  <c r="G32" i="15"/>
  <c r="H75" i="5"/>
  <c r="J75" i="5"/>
  <c r="J63" i="14"/>
  <c r="H68" i="14"/>
  <c r="J68" i="14"/>
  <c r="H15" i="5"/>
  <c r="I15" i="5"/>
  <c r="G90" i="7"/>
  <c r="H65" i="5"/>
  <c r="J65" i="5"/>
  <c r="F69" i="14"/>
  <c r="G69" i="14" s="1"/>
  <c r="I69" i="14"/>
  <c r="F70" i="14"/>
  <c r="G70" i="14" s="1"/>
  <c r="K48" i="5" l="1"/>
  <c r="J73" i="14"/>
  <c r="G83" i="7"/>
  <c r="H72" i="14"/>
  <c r="J72" i="14"/>
  <c r="H28" i="14"/>
  <c r="J28" i="14"/>
  <c r="G24" i="7"/>
  <c r="G11" i="7" s="1"/>
  <c r="B15" i="6"/>
  <c r="G21" i="15"/>
  <c r="H21" i="15" s="1"/>
  <c r="H14" i="11"/>
  <c r="I14" i="11" s="1"/>
  <c r="J14" i="11" s="1"/>
  <c r="K14" i="11" s="1"/>
  <c r="B35" i="9"/>
  <c r="H24" i="11"/>
  <c r="G30" i="11"/>
  <c r="H30" i="11"/>
  <c r="I30" i="11" s="1"/>
  <c r="H28" i="11"/>
  <c r="I28" i="11" s="1"/>
  <c r="J38" i="14"/>
  <c r="B15" i="9"/>
  <c r="H46" i="14"/>
  <c r="J46" i="14"/>
  <c r="J71" i="14"/>
  <c r="H71" i="14"/>
  <c r="J22" i="14"/>
  <c r="H22" i="14"/>
  <c r="G62" i="7"/>
  <c r="J41" i="14"/>
  <c r="H41" i="14"/>
  <c r="H24" i="15"/>
  <c r="E24" i="15"/>
  <c r="F22" i="15"/>
  <c r="G22" i="15" s="1"/>
  <c r="H22" i="15" s="1"/>
  <c r="E28" i="15"/>
  <c r="B25" i="9"/>
  <c r="J11" i="14"/>
  <c r="B6" i="9"/>
  <c r="J11" i="5"/>
  <c r="B6" i="6" s="1"/>
  <c r="H69" i="14"/>
  <c r="J69" i="14"/>
  <c r="E14" i="15"/>
  <c r="G38" i="7"/>
  <c r="H41" i="7"/>
  <c r="E30" i="15"/>
  <c r="J27" i="14"/>
  <c r="H27" i="14"/>
  <c r="F18" i="15"/>
  <c r="G18" i="15" s="1"/>
  <c r="H18" i="15" s="1"/>
  <c r="G20" i="11"/>
  <c r="H20" i="11" s="1"/>
  <c r="I20" i="11" s="1"/>
  <c r="J20" i="11" s="1"/>
  <c r="K20" i="11" s="1"/>
  <c r="H32" i="14"/>
  <c r="J32" i="14"/>
  <c r="H70" i="14"/>
  <c r="J70" i="14"/>
  <c r="H64" i="14"/>
  <c r="J64" i="14"/>
  <c r="B16" i="9"/>
  <c r="B16" i="6"/>
  <c r="J67" i="14"/>
  <c r="H67" i="14"/>
  <c r="B36" i="6"/>
  <c r="D27" i="15"/>
  <c r="E12" i="11"/>
  <c r="D12" i="15" s="1"/>
  <c r="B36" i="9"/>
  <c r="K22" i="5"/>
  <c r="B17" i="6" l="1"/>
  <c r="B17" i="9"/>
  <c r="G61" i="7"/>
  <c r="B26" i="9" s="1"/>
  <c r="I20" i="15"/>
  <c r="J20" i="15" s="1"/>
  <c r="B14" i="9"/>
  <c r="L14" i="11"/>
  <c r="M14" i="11" s="1"/>
  <c r="J28" i="11"/>
  <c r="K28" i="11" s="1"/>
  <c r="L28" i="11" s="1"/>
  <c r="B26" i="6"/>
  <c r="F28" i="15"/>
  <c r="G28" i="15" s="1"/>
  <c r="H28" i="15" s="1"/>
  <c r="F24" i="15"/>
  <c r="G24" i="15" s="1"/>
  <c r="K18" i="14"/>
  <c r="B7" i="9" s="1"/>
  <c r="B14" i="6"/>
  <c r="E14" i="6" s="1"/>
  <c r="B7" i="6"/>
  <c r="B5" i="6" s="1"/>
  <c r="F14" i="15"/>
  <c r="G14" i="15" s="1"/>
  <c r="H14" i="15" s="1"/>
  <c r="I14" i="15" s="1"/>
  <c r="F30" i="15"/>
  <c r="G30" i="15" s="1"/>
  <c r="H30" i="15" s="1"/>
  <c r="E14" i="9"/>
  <c r="B20" i="6"/>
  <c r="B20" i="9"/>
  <c r="B23" i="6"/>
  <c r="B19" i="6"/>
  <c r="B21" i="6"/>
  <c r="B21" i="9"/>
  <c r="B22" i="6"/>
  <c r="B19" i="9"/>
  <c r="B23" i="9"/>
  <c r="B22" i="9"/>
  <c r="L20" i="11"/>
  <c r="M20" i="11" s="1"/>
  <c r="B18" i="9"/>
  <c r="E18" i="9" s="1"/>
  <c r="B18" i="6"/>
  <c r="E18" i="6" s="1"/>
  <c r="G54" i="7" l="1"/>
  <c r="B24" i="9" s="1"/>
  <c r="E24" i="9" s="1"/>
  <c r="K20" i="15"/>
  <c r="L20" i="15" s="1"/>
  <c r="I28" i="15"/>
  <c r="J28" i="15" s="1"/>
  <c r="B24" i="6"/>
  <c r="E24" i="6" s="1"/>
  <c r="E11" i="6" s="1"/>
  <c r="E12" i="6" s="1"/>
  <c r="N14" i="11"/>
  <c r="C35" i="6" s="1"/>
  <c r="J14" i="15"/>
  <c r="M28" i="11"/>
  <c r="B5" i="9"/>
  <c r="E11" i="9"/>
  <c r="E12" i="9" s="1"/>
  <c r="B13" i="9"/>
  <c r="K28" i="15" l="1"/>
  <c r="L28" i="15" s="1"/>
  <c r="B13" i="6"/>
  <c r="C12" i="6" s="1"/>
  <c r="K14" i="15"/>
  <c r="L14" i="15" s="1"/>
  <c r="M14" i="15" s="1"/>
  <c r="C36" i="9"/>
  <c r="C36" i="6"/>
  <c r="C12" i="9"/>
  <c r="C35" i="9" l="1"/>
</calcChain>
</file>

<file path=xl/sharedStrings.xml><?xml version="1.0" encoding="utf-8"?>
<sst xmlns="http://schemas.openxmlformats.org/spreadsheetml/2006/main" count="731" uniqueCount="489">
  <si>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</si>
  <si>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</si>
  <si>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</si>
  <si>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</si>
  <si>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</si>
  <si>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</si>
  <si>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</si>
  <si>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</si>
  <si>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</si>
  <si>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</si>
  <si>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</si>
  <si>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</si>
  <si>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</si>
  <si>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</si>
  <si>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</si>
  <si>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</si>
  <si>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</si>
  <si>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</si>
  <si>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</si>
  <si>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</si>
  <si>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</si>
  <si>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</si>
  <si>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</si>
  <si>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</si>
  <si>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</si>
  <si>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</si>
  <si>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</si>
  <si>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</si>
  <si>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</si>
  <si>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</si>
  <si>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</si>
  <si>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</si>
  <si>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</si>
  <si>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</si>
  <si>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</si>
  <si>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</si>
  <si>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</si>
  <si>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</si>
  <si>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</si>
  <si>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</si>
  <si>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</si>
  <si>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</si>
  <si>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</si>
  <si>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</si>
  <si>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</si>
  <si>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</si>
  <si>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</si>
  <si>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</si>
  <si>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</si>
  <si>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</si>
  <si>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</si>
  <si>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</si>
  <si>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</si>
  <si>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</si>
  <si>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</si>
  <si>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</si>
  <si>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</si>
  <si>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</si>
  <si>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</si>
  <si>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</si>
  <si>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</si>
  <si>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</si>
  <si>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</si>
  <si>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</si>
  <si>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</si>
  <si>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</si>
  <si>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</si>
  <si>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</si>
  <si>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</si>
  <si>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</si>
  <si>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</si>
  <si>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</si>
  <si>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</si>
  <si>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</si>
  <si>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</si>
  <si>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</si>
  <si>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</si>
  <si>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</si>
  <si>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</si>
  <si>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</si>
  <si>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</si>
  <si>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</si>
  <si>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</si>
  <si>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</si>
  <si>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</si>
  <si>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</si>
  <si>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</si>
  <si>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</si>
  <si>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</si>
  <si>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</si>
  <si>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</si>
  <si>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</si>
  <si>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</si>
  <si>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</si>
  <si>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</si>
  <si>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</si>
  <si>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</si>
  <si>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</si>
  <si>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</si>
  <si>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</si>
  <si>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</si>
  <si>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</si>
  <si>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</si>
  <si>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</si>
  <si>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</si>
  <si>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</si>
  <si>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</si>
  <si>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</si>
  <si>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</si>
  <si>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</si>
  <si>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</si>
  <si>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</si>
  <si>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</si>
  <si>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</si>
  <si>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</si>
  <si>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</si>
  <si>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</si>
  <si>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</si>
  <si>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</si>
  <si>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</si>
  <si>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</si>
  <si>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</si>
  <si>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</si>
  <si>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</si>
  <si>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</si>
  <si>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</si>
  <si>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</si>
  <si>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</si>
  <si>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</si>
  <si>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</si>
  <si>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</si>
  <si>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</si>
  <si>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</si>
  <si>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</si>
  <si>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</si>
  <si>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</si>
  <si>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</si>
  <si>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</si>
  <si>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</si>
  <si>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</si>
  <si>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</si>
  <si>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</si>
  <si>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</si>
  <si>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</si>
  <si>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</si>
  <si>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</si>
  <si>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</si>
  <si>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</si>
  <si>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</si>
  <si>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</si>
  <si>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</si>
  <si>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</si>
  <si>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</si>
  <si>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</si>
  <si>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</si>
  <si>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</si>
  <si>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</si>
  <si>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</si>
  <si>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</si>
  <si>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</si>
  <si>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</si>
  <si>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</si>
  <si>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Fill in GN # of current Country Strategy</t>
  </si>
  <si>
    <t>The Country Strategy (CS or CSU) objective to which the project is aligned has been identified</t>
  </si>
  <si>
    <t>Fill in CS Results Matrix objective</t>
  </si>
  <si>
    <t>Country Program Results Matrix</t>
  </si>
  <si>
    <t>The project is included in the CPD of the corresponding year</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</si>
  <si>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</si>
  <si>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</si>
  <si>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</si>
  <si>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</si>
  <si>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</si>
  <si>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</si>
  <si>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</si>
  <si>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</si>
  <si>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</si>
  <si>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</si>
  <si>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</si>
  <si>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</si>
  <si>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</si>
  <si>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</si>
  <si>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</si>
  <si>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</si>
  <si>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</si>
  <si>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</si>
  <si>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</si>
  <si>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</si>
  <si>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</si>
  <si>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</si>
  <si>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</si>
  <si>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</si>
  <si>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</si>
  <si>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</si>
  <si>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</si>
  <si>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</si>
  <si>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</si>
  <si>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</si>
  <si>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</si>
  <si>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</si>
  <si>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</si>
  <si>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</si>
  <si>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</si>
  <si>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</si>
  <si>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</si>
  <si>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</si>
  <si>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</si>
  <si>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</si>
  <si>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</si>
  <si>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</si>
  <si>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</si>
  <si>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</si>
  <si>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</si>
  <si>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</si>
  <si>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</si>
  <si>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</si>
  <si>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</si>
  <si>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</si>
  <si>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</si>
  <si>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</si>
  <si>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</si>
  <si>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</si>
  <si>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</si>
  <si>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</si>
  <si>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</si>
  <si>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</si>
  <si>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</si>
  <si>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</si>
  <si>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</si>
  <si>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</si>
  <si>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</si>
  <si>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</si>
  <si>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</si>
  <si>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</si>
  <si>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</si>
  <si>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</si>
  <si>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</si>
  <si>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</si>
  <si>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</si>
  <si>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</si>
  <si>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</si>
  <si>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</si>
  <si>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</si>
  <si>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</si>
  <si>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</si>
  <si>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The Country Strategy (CS or CSU) objective or result to which project outcome is expected to contribute has been identified</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</si>
  <si>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</si>
  <si>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</si>
  <si>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</si>
  <si>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</si>
  <si>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</si>
  <si>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</si>
  <si>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</si>
  <si>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</si>
  <si>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</si>
  <si>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</si>
  <si>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</si>
  <si>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</si>
  <si>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</si>
  <si>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</si>
  <si>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</si>
  <si>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</si>
  <si>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</si>
  <si>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</si>
  <si>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</si>
  <si>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</si>
  <si>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</si>
  <si>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</si>
  <si>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</si>
  <si>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</si>
  <si>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</si>
  <si>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</si>
  <si>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</si>
  <si>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</si>
  <si>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</si>
  <si>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</si>
  <si>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</si>
  <si>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</si>
  <si>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</si>
  <si>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</si>
  <si>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</si>
  <si>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</si>
  <si>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</si>
  <si>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</si>
  <si>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</si>
  <si>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</si>
  <si>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</si>
  <si>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</si>
  <si>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</si>
  <si>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</si>
  <si>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</si>
  <si>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</si>
  <si>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</si>
  <si>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</si>
  <si>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</si>
  <si>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</si>
  <si>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</si>
  <si>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</si>
  <si>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</si>
  <si>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</si>
  <si>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</si>
  <si>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</si>
  <si>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</si>
  <si>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</si>
  <si>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</si>
  <si>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</si>
  <si>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</si>
  <si>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</si>
  <si>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</si>
  <si>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</si>
  <si>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</si>
  <si>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</si>
  <si>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</si>
  <si>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</si>
  <si>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</si>
  <si>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</si>
  <si>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</si>
  <si>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</si>
  <si>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</si>
  <si>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</si>
  <si>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</si>
  <si>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</si>
  <si>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</si>
  <si>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</si>
  <si>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</si>
  <si>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</si>
  <si>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</si>
  <si>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</si>
  <si>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</si>
  <si>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</si>
  <si>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</si>
  <si>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</si>
  <si>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</si>
  <si>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</si>
  <si>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</si>
  <si>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</si>
  <si>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</si>
  <si>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</si>
  <si>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</si>
  <si>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</si>
  <si>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</si>
  <si>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</si>
  <si>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Specify Environmental and Social Category: A, B, C, 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</si>
  <si>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</si>
  <si>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</si>
  <si>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</si>
  <si>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</si>
  <si>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</si>
  <si>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</si>
  <si>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</si>
  <si>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</si>
  <si>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</si>
  <si>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</si>
  <si>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</si>
  <si>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</si>
  <si>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</si>
  <si>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</si>
  <si>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</si>
  <si>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</si>
  <si>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</si>
  <si>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</si>
  <si>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</si>
  <si>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</si>
  <si>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</si>
  <si>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</si>
  <si>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</si>
  <si>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</si>
  <si>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</si>
  <si>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</si>
  <si>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</si>
  <si>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</si>
  <si>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</si>
  <si>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</si>
  <si>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</si>
  <si>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</si>
  <si>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</si>
  <si>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</si>
  <si>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</si>
  <si>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</si>
  <si>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</si>
  <si>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</si>
  <si>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</si>
  <si>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</si>
  <si>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</si>
  <si>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</si>
  <si>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</si>
  <si>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</si>
  <si>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</si>
  <si>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</si>
  <si>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</si>
  <si>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</si>
  <si>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</si>
  <si>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</si>
  <si>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</si>
  <si>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</si>
  <si>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</si>
  <si>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</si>
  <si>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</si>
  <si>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</si>
  <si>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</si>
  <si>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Yes</t>
  </si>
  <si>
    <t>Low</t>
  </si>
  <si>
    <t>A</t>
  </si>
  <si>
    <t>No</t>
  </si>
  <si>
    <t>Medium</t>
  </si>
  <si>
    <t>B</t>
  </si>
  <si>
    <t>High</t>
  </si>
  <si>
    <t>C</t>
  </si>
  <si>
    <t>B.13</t>
  </si>
  <si>
    <t>Estructura</t>
  </si>
  <si>
    <t>Titulo principal</t>
  </si>
  <si>
    <t>Titulo secundario</t>
  </si>
  <si>
    <t>Total</t>
  </si>
  <si>
    <t>Subtotal 1</t>
  </si>
  <si>
    <t>Subtotal 2</t>
  </si>
  <si>
    <t>Agregados</t>
  </si>
  <si>
    <t>The sum of the total costs for all outputs, plus other costs if applicable, is equivalent to the total project amount (including counterpart funding)</t>
  </si>
  <si>
    <t>All annual output targets are supported by corresponding annual costs</t>
  </si>
  <si>
    <t>GN-2870-1</t>
  </si>
  <si>
    <t>Mejora de la infraestructura para la inversión e inclusión</t>
  </si>
  <si>
    <t>Matriz de Resultados</t>
  </si>
  <si>
    <t xml:space="preserve">EEO#1. Evaluacion Economica. </t>
  </si>
  <si>
    <t>Plan de Monitoreo y Evaluación</t>
  </si>
  <si>
    <r>
      <t xml:space="preserve">POD </t>
    </r>
    <r>
      <rPr>
        <sz val="10"/>
        <rFont val="Calibri"/>
        <family val="2"/>
      </rPr>
      <t>¶ 1.8</t>
    </r>
  </si>
  <si>
    <t>POD ¶ 1.40, 1.41</t>
  </si>
  <si>
    <r>
      <t xml:space="preserve">POD </t>
    </r>
    <r>
      <rPr>
        <sz val="10"/>
        <rFont val="Calibri"/>
        <family val="2"/>
      </rPr>
      <t>¶ 1.4, 1.8</t>
    </r>
  </si>
  <si>
    <r>
      <t xml:space="preserve">POD </t>
    </r>
    <r>
      <rPr>
        <sz val="10"/>
        <rFont val="Calibri"/>
        <family val="2"/>
      </rPr>
      <t>¶ 1.9, 1.10</t>
    </r>
  </si>
  <si>
    <r>
      <t xml:space="preserve">POD </t>
    </r>
    <r>
      <rPr>
        <sz val="10"/>
        <rFont val="Calibri"/>
        <family val="2"/>
      </rPr>
      <t>¶ 1.14, 1.15, 1.18</t>
    </r>
  </si>
  <si>
    <t>POD ¶ 1.14, 1.15, 1.18</t>
  </si>
  <si>
    <t>POD ¶ 1.34, 1.40, 1.41 y Matriz de Resultados</t>
  </si>
  <si>
    <t>Matriz de Resultados y Plan de Monitoreo y Evaluacion</t>
  </si>
  <si>
    <t>Apéndice Matriz de Riesgos</t>
  </si>
  <si>
    <t>Sistema Integrado de Administración Financiera</t>
  </si>
  <si>
    <t>Compras NET</t>
  </si>
  <si>
    <t>GN-2915</t>
  </si>
  <si>
    <t>Se recomienda al equipo revisar que las alineaciones se presentan de acuerdo con las pautas incluidas en el documento Corporate Results Framework 2016-2019.</t>
  </si>
  <si>
    <t>Se recomienda al equipo revisar que las alineaciones se presentan de acuerdo con las pautas incluidas en el documento Corporate Results Framework 2016-2019, asi como con los insumosprovistos por Cambio Climatico.</t>
  </si>
  <si>
    <t>Se valida.</t>
  </si>
  <si>
    <t>No se valida. Se recomienda desarrollar el parrafo 1.20 del POD de acuerdo a lo indicado en la matriz de resultados de la estrategia de Pais (GN2870-1).</t>
  </si>
  <si>
    <t>Se valida. El proyecto se encuentra incluido en el Programa de Operaciones 2018 (parrafo 4.8.iv).</t>
  </si>
  <si>
    <t>No aplica.</t>
  </si>
  <si>
    <t>Se valida. Parrafo 6.2</t>
  </si>
  <si>
    <t>Se valida. Parrafo 6.4</t>
  </si>
  <si>
    <t>Se valida. Parrafo 6.6</t>
  </si>
  <si>
    <t>No se valida. Se recomienda utilizar la informacion presentada en el analsiis economico para que tanto los problemas como sus correspondientes causas queden explicitamente detallados en el POD. La informacion presentada en el parrafo 1.6 resulta incompleta a los efectos de justificar el proyecto.</t>
  </si>
  <si>
    <t>Se valida. Se recomienda controlar que la cuantificacion de los mismos coincide con lo planteado en el analisis economico.</t>
  </si>
  <si>
    <t>No se valida. Si bien existe un indicador de impacto, se requiere brindar mas informacion en cuanto a la metodologia de calculo y fuente de informacion.</t>
  </si>
  <si>
    <t>Se valida de manera condicional. Todos los indicadores de resultados aparecen claramente explicados, pero algunos indicadores tienen nombres muy extensos. Se recomienda reducir el nombre de los indicadores.</t>
  </si>
  <si>
    <t xml:space="preserve">Se valida. </t>
  </si>
  <si>
    <t>No se valida. Se recomienda que el plan de monitoreo y evaluacion presente mas informacion para la determinacion de los indicadores.</t>
  </si>
  <si>
    <t>No se valida. Se recomienda brindar mas detalles cuantitativos en la descripcion del contexto, problema y causas.</t>
  </si>
  <si>
    <t>No se valida. Se recomienda incluir mas informacion sobre la metodologia a utilizar.</t>
  </si>
  <si>
    <t xml:space="preserve">No se valida. </t>
  </si>
  <si>
    <t>No se valida. Se recomienda detallar todos los aspectos relacionados con las principales caracteristicas de la metodologia empleada, asi como de las propiedades de transparencia y credibilidad, si corresponde.</t>
  </si>
  <si>
    <t>No se valida.</t>
  </si>
  <si>
    <t>Se valida. Se recomienda agregar un indicador de impacto relacionado con todo el sistema que compone el CLIPP</t>
  </si>
  <si>
    <t>Se valida. Se recomienda eliminar las referencias propias de caminos rurales, asi como a los proyectos que corresponden a paises asiaticos. Asimismo, se sugiere analizar la posibilidad de incluir referencias sobre pasos fronterizos preparados por Cristian Volpe del sector INT del BID.</t>
  </si>
  <si>
    <t>No se valida. Se recomienda justificar los analisis de sensibilidad presentados. Asimismo, recomendamos incluir el estudio de la TIR del escenario 2 como analisis de sensibilidad adicional, y no como el principal del proyecto.</t>
  </si>
  <si>
    <t>No se valida. Se recomienda ser consistente con los valores de base presentados y el analisis economico. De ser posible se recomienda incluir referencias cruzadas que permitan la comparabilidad de los mismos.</t>
  </si>
  <si>
    <t xml:space="preserve">No se valida. El documento no presenta los detalles de la aplicacion de esta metodologia. </t>
  </si>
  <si>
    <t>No se valida. Se recomienda incluir la referencia de Compras NET dentro del POD.</t>
  </si>
  <si>
    <t>En coordinacion con SPD, se ha incluido las precisiones en el parrafo 1.6</t>
  </si>
  <si>
    <t>de acuerdo fueron eliminadas</t>
  </si>
  <si>
    <t>de acuerdo no hay evidencia relacionada</t>
  </si>
  <si>
    <t>En coordinacion con SPD se ha precisado la metodologia y fuente de informacion en la matriz de resultados y en el plan de monitoreo.</t>
  </si>
  <si>
    <t>De acuerdo se han ajustado los indicadores.</t>
  </si>
  <si>
    <t>de acuerdo si ha justificado los escenarios de sensibilidad y se ha incluido el escenario 2 como cenario adicional de sensibilidad</t>
  </si>
  <si>
    <t>de acuerdo se han revisados los valores para consistencia. Se ha referenciado en la evaluacion economica los indicadores de la matriz de resultados</t>
  </si>
  <si>
    <t>Se ha incluido mas detalle de la evaluacion ex post</t>
  </si>
  <si>
    <t>En coordinacion con SDP se ha incluido la referencia al indicador de la matriz de resultados del programa Pais.</t>
  </si>
  <si>
    <t>En coordinacion con SPD se ha incluido mas informacion sobre los indicadores en el plan de monitoreo y evaluacion</t>
  </si>
  <si>
    <r>
      <t xml:space="preserve">POD </t>
    </r>
    <r>
      <rPr>
        <sz val="10"/>
        <rFont val="Calibri"/>
        <family val="2"/>
      </rPr>
      <t>¶ 1.6</t>
    </r>
  </si>
  <si>
    <t>de acuerdo, se ha mantenido la consistencia con el analisis economico</t>
  </si>
  <si>
    <t>Se ha incluido mas detalle de la evaluacion CON y SIN proyectos y los metodos para recabar informaciones ex-post</t>
  </si>
  <si>
    <t>Validado</t>
  </si>
  <si>
    <t>No se valida</t>
  </si>
  <si>
    <t xml:space="preserve">Validado, se ha agregado los medios de verificacion y detalles sobre la estimacion </t>
  </si>
  <si>
    <t>Ok</t>
  </si>
  <si>
    <t xml:space="preserve">No se valida, especialmente para el Resultado 1 aun no quedo claro, el PCR no alimenta los indicadores sino los indicadores el PCR.  Para el resultado 2 no queda claro cual es la publicacion oficial en la que se encuentra el dato. </t>
  </si>
  <si>
    <t xml:space="preserve">No se valida, se describe ahora la correspondencia con la MdR pero no se muestra como se traslada los indicadores de resultados de la MdR a sus correspondientes deterioros.  Hacia falta anque fuera ejemplificar la correspondencia </t>
  </si>
  <si>
    <t>No se valida, se va a utilizar un analisis ex-post basado en HDM-4 pero esto no permite constatar atribución</t>
  </si>
  <si>
    <t>No aplica, no es una evaluacion de impacto</t>
  </si>
  <si>
    <t>Validado, el objetivo de la MdR de la EP fue incluido adecuadamente</t>
  </si>
  <si>
    <t xml:space="preserve">El Corredor Sistema Cristo Redentor (CSCR) es un paso de vinculación entre Argentina y Chile que recibe 77% del total del comercio carretero que Argentina tiene con Chile.  El gobierno de Argentina busca mejorar su conectividad física dada la alta demanda de uso y que su transitabilidad se ve afectada por frecuentes interrupciones por tormentas y nieve y alta congestión, así como condiciones viales que a veces resultan en accidentes graves. Uno de los túneles principales del paso cuenta con solo un carril por sentido y no tiene galerías de evacuación y el otro túnel se encuentra inoperativo.  Por ende, esta segunda operación de la CCLIP va a contribuir a mejorar la calidad del servicio en el CSCR reduciendo tanto tiempos y costos de transporte a través de la ampliación del Túnel Caracoles y la refuncionalización del Túnel Cristo Redentor mediante obras de rehabilitación y de ampliación de capacidad y seguridad.  La Matriz de Resultados es adecuada y captura beneficios como la reducción en los días anuales que el CSCR está cerrado y en los costos y tiempos de transitarlo. El análisis económico muestra que el proyecto es viable.  Al cierre, se hará una actualización de este análisis costo-beneficio.  </t>
  </si>
  <si>
    <t xml:space="preserve">Infrastructure improvement for investment and inclusion </t>
  </si>
  <si>
    <r>
      <t xml:space="preserve">The Corredor Sistema Cristo Redentor (CSCR for its initials in Spanish) is a roadway that connects Argentina and Chile and receives 77% of total terrestrial commerce between the two countries. The government of Argentina is seeking to improve its physical condition given a high demand for its use and that its transitability is affected by frequent interruptions due to storms and snow and high congestion as well as existing roadway conditions that sometimes result in grave accidents.  One of its main tunnels has only one lane in each direction and does not have evacuation capacity and the other tunnel is inoperative.  Thus, this second operation under the CCLIP will contribute to improving the quality of service in the CSCR reducing both the time and transport costs by widening the Caracoles Tunnel and reopening the Cristo Tunnel through rehabilitation works and investments in higher capacity and security.  The Results Matrix is adequate and captures benefits such as the reduction in the number of days a year the CSCR is closes as well as in the costs and times to traverse it.  The cost benefit analysis shows the project is viable.  At closure, this economic analysis will be updated. </t>
    </r>
    <r>
      <rPr>
        <i/>
        <sz val="11"/>
        <rFont val="Arial"/>
        <family val="2"/>
      </rPr>
      <t xml:space="preserve">
</t>
    </r>
  </si>
  <si>
    <t>CCS habia validado el percentaje propuesto. Hubo un error de comunicacion con SPD que entiendo fue arreglado.</t>
  </si>
  <si>
    <t>SPD-Re-validacion</t>
  </si>
  <si>
    <t>No se valida. Aquí el equipo no entendió que se trata de la correspondencia MdR con los beneficios monetizados del  Cost Benefit Analysis.  No es claro como los indicadores de MdR se utilizaron para extrapolar beneficios en el análisis económico, como corresponden? Se describe en la pg. 77 que hay correspondencia pero no queda claro.. La monetización de beneficios viene dada a raíz de incremento de transito de 3% y también extrapolación de CON vs SIN proyecto de distintos niveles de deterioro, cantidades de operación y tiempos de viaje,  mantenimiento etc.  y después se aplica modelo HDM-4 pero no queda claro que esos supuestos son correspondientes a lo mostrado en los indicadores de las metas del MdR.  Este punto de la DEM se da cuando se muestra efectivamente , por ejemplo, se muestra , por utilizar algunos inidcadores de ejemplo, que la meta en la MdR de el Costo de operación por km o la cantidad de autos que transitan son consistentes con la base de los beneficios monetizados en el C/B.</t>
  </si>
  <si>
    <t>Validado, se agrego detalle en la MdR medios de verificación y también en el Plan de M&amp;E se especifico como se harán las mediciones de TMDA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</si>
</sst>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7"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sz val="10"/>
      <color theme="1"/>
      <name val="Arial"/>
      <family val="2"/>
    </font>
    <font>
      <b/>
      <sz val="11"/>
      <color theme="0"/>
      <name val="Arial"/>
      <family val="2"/>
    </font>
    <font>
      <b/>
      <sz val="11"/>
      <color theme="1"/>
      <name val="Arial"/>
      <family val="2"/>
    </font>
    <font>
      <b/>
      <i/>
      <sz val="11"/>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i/>
      <u/>
      <sz val="11"/>
      <color theme="1"/>
      <name val="Arial"/>
      <family val="2"/>
    </font>
    <font>
      <sz val="11"/>
      <color theme="1"/>
      <name val="Arial"/>
      <family val="2"/>
    </font>
    <font>
      <i/>
      <u/>
      <sz val="11"/>
      <name val="Arial"/>
      <family val="2"/>
    </font>
    <font>
      <sz val="10"/>
      <name val="Calibri"/>
      <family val="2"/>
    </font>
    <font>
      <b/>
      <i/>
      <sz val="11"/>
      <color indexed="9"/>
      <name val="Arial"/>
      <family val="2"/>
    </font>
    <font>
      <b/>
      <sz val="11"/>
      <color indexed="8"/>
      <name val="Arial"/>
      <family val="2"/>
    </font>
    <font>
      <i/>
      <sz val="11"/>
      <name val="Arial"/>
      <family val="2"/>
    </font>
    <font>
      <b/>
      <i/>
      <sz val="11"/>
      <color theme="0"/>
      <name val="Arial"/>
      <family val="2"/>
    </font>
  </fonts>
  <fills count="30">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
      <patternFill patternType="solid">
        <fgColor theme="6" tint="0.79998168889431442"/>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96">
    <xf numFmtId="0" fontId="0" fillId="0" borderId="0" xfId="0"/>
    <xf numFmtId="165" fontId="11"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3" fillId="0" borderId="0" xfId="0" applyFont="1" applyAlignment="1">
      <alignment wrapText="1"/>
    </xf>
    <xf numFmtId="0" fontId="7" fillId="0" borderId="12" xfId="0" applyFont="1" applyFill="1" applyBorder="1" applyAlignment="1">
      <alignment vertical="center" wrapText="1"/>
    </xf>
    <xf numFmtId="0" fontId="3" fillId="0" borderId="0" xfId="0" applyFont="1" applyFill="1" applyAlignment="1">
      <alignment wrapText="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3"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19"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5" fillId="18" borderId="10" xfId="0" applyFont="1" applyFill="1" applyBorder="1" applyAlignment="1">
      <alignment vertical="center" wrapText="1"/>
    </xf>
    <xf numFmtId="0" fontId="25"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1"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1"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5" fillId="17" borderId="40" xfId="0" applyFont="1" applyFill="1" applyBorder="1" applyAlignment="1">
      <alignment vertical="center" wrapText="1"/>
    </xf>
    <xf numFmtId="0" fontId="25"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28"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1" fillId="0" borderId="11" xfId="9" applyNumberFormat="1" applyFont="1" applyFill="1" applyBorder="1" applyAlignment="1" applyProtection="1">
      <alignment horizontal="right" vertical="center" wrapText="1"/>
    </xf>
    <xf numFmtId="0" fontId="25" fillId="18" borderId="10" xfId="0" applyFont="1" applyFill="1" applyBorder="1" applyAlignment="1">
      <alignment horizontal="center" vertical="center" wrapText="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3"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0" fillId="14" borderId="4" xfId="0" applyNumberFormat="1" applyFont="1" applyFill="1" applyBorder="1" applyAlignment="1" applyProtection="1">
      <alignment vertical="center" wrapText="1"/>
      <protection hidden="1"/>
    </xf>
    <xf numFmtId="9" fontId="23" fillId="11" borderId="4" xfId="0" applyNumberFormat="1" applyFont="1" applyFill="1" applyBorder="1" applyAlignment="1" applyProtection="1">
      <alignment vertical="center" wrapText="1"/>
      <protection hidden="1"/>
    </xf>
    <xf numFmtId="165" fontId="24"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1"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5" fillId="17" borderId="40" xfId="0" applyFont="1" applyFill="1" applyBorder="1" applyAlignment="1">
      <alignment vertical="top" wrapText="1"/>
    </xf>
    <xf numFmtId="0" fontId="25"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5" fillId="17" borderId="7" xfId="0" applyFont="1" applyFill="1" applyBorder="1" applyAlignment="1">
      <alignment vertical="top" wrapText="1"/>
    </xf>
    <xf numFmtId="0" fontId="25" fillId="17" borderId="9" xfId="0" applyFont="1" applyFill="1" applyBorder="1" applyAlignment="1">
      <alignment vertical="top" wrapText="1"/>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2" fillId="0" borderId="4" xfId="0" applyFont="1" applyBorder="1" applyAlignment="1" applyProtection="1">
      <alignment horizontal="left" vertical="center" wrapText="1"/>
      <protection locked="0"/>
    </xf>
    <xf numFmtId="10" fontId="12" fillId="0" borderId="4" xfId="0" applyNumberFormat="1" applyFont="1" applyBorder="1" applyAlignment="1" applyProtection="1">
      <alignment horizontal="right" vertical="center" wrapText="1"/>
      <protection locked="0"/>
    </xf>
    <xf numFmtId="0" fontId="11" fillId="24" borderId="4" xfId="0" applyFont="1" applyFill="1" applyBorder="1" applyAlignment="1" applyProtection="1">
      <alignment horizontal="center" vertical="center" wrapText="1"/>
      <protection locked="0"/>
    </xf>
    <xf numFmtId="0" fontId="7" fillId="24" borderId="4" xfId="0" applyFont="1" applyFill="1" applyBorder="1" applyAlignment="1" applyProtection="1">
      <alignment horizontal="center" vertical="center" wrapText="1"/>
      <protection locked="0"/>
    </xf>
    <xf numFmtId="0" fontId="11" fillId="0" borderId="0" xfId="0" applyFont="1" applyBorder="1" applyAlignment="1">
      <alignment horizontal="center" vertical="center" wrapText="1"/>
    </xf>
    <xf numFmtId="0" fontId="12" fillId="0" borderId="0" xfId="0" applyFont="1" applyAlignment="1">
      <alignment wrapText="1"/>
    </xf>
    <xf numFmtId="0" fontId="20" fillId="19" borderId="30" xfId="0" applyFont="1" applyFill="1" applyBorder="1" applyAlignment="1">
      <alignment horizontal="right" vertical="center" wrapText="1"/>
    </xf>
    <xf numFmtId="0" fontId="20" fillId="19" borderId="19" xfId="0" applyFont="1" applyFill="1" applyBorder="1" applyAlignment="1">
      <alignment horizontal="center" vertical="center" wrapText="1"/>
    </xf>
    <xf numFmtId="0" fontId="20" fillId="19" borderId="19" xfId="0" applyFont="1" applyFill="1" applyBorder="1" applyAlignment="1">
      <alignment vertical="center" wrapText="1"/>
    </xf>
    <xf numFmtId="0" fontId="20" fillId="19" borderId="31" xfId="0" applyFont="1" applyFill="1" applyBorder="1" applyAlignment="1">
      <alignment vertical="center" wrapText="1"/>
    </xf>
    <xf numFmtId="0" fontId="11" fillId="21" borderId="10" xfId="0" applyFont="1" applyFill="1" applyBorder="1" applyAlignment="1">
      <alignment vertical="center" wrapText="1"/>
    </xf>
    <xf numFmtId="0" fontId="34" fillId="0" borderId="10" xfId="0" applyFont="1" applyFill="1" applyBorder="1" applyAlignment="1">
      <alignment vertical="center" wrapText="1"/>
    </xf>
    <xf numFmtId="0" fontId="34" fillId="0" borderId="4" xfId="0" applyNumberFormat="1" applyFont="1" applyFill="1" applyBorder="1" applyAlignment="1" applyProtection="1">
      <alignment horizontal="center" vertical="center" wrapText="1"/>
      <protection hidden="1"/>
    </xf>
    <xf numFmtId="0" fontId="11" fillId="0" borderId="10" xfId="0" applyFont="1" applyFill="1" applyBorder="1" applyAlignment="1">
      <alignment horizontal="left" vertical="center" wrapText="1" indent="1"/>
    </xf>
    <xf numFmtId="165" fontId="11" fillId="0" borderId="4" xfId="0" applyNumberFormat="1" applyFont="1" applyFill="1" applyBorder="1" applyAlignment="1" applyProtection="1">
      <alignment horizontal="right" vertical="center" wrapText="1"/>
      <protection locked="0"/>
    </xf>
    <xf numFmtId="0" fontId="33"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0" fillId="25" borderId="30" xfId="0" applyNumberFormat="1" applyFont="1" applyFill="1" applyBorder="1" applyAlignment="1" applyProtection="1">
      <alignment horizontal="center" vertical="center" wrapText="1"/>
      <protection hidden="1"/>
    </xf>
    <xf numFmtId="0" fontId="33"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34"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34"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0" fontId="3" fillId="27" borderId="10" xfId="0" applyFont="1" applyFill="1" applyBorder="1" applyAlignment="1" applyProtection="1">
      <alignment vertical="top" wrapText="1"/>
      <protection locked="0"/>
    </xf>
    <xf numFmtId="0" fontId="3" fillId="27" borderId="11" xfId="0" applyFont="1" applyFill="1" applyBorder="1" applyAlignment="1" applyProtection="1">
      <alignment vertical="top" wrapText="1"/>
      <protection locked="0"/>
    </xf>
    <xf numFmtId="0" fontId="12" fillId="27" borderId="4" xfId="0" applyFont="1" applyFill="1" applyBorder="1" applyAlignment="1" applyProtection="1">
      <alignment vertical="center" wrapText="1"/>
      <protection locked="0"/>
    </xf>
    <xf numFmtId="0" fontId="8" fillId="13" borderId="0" xfId="0" applyFont="1" applyFill="1" applyBorder="1" applyAlignment="1">
      <alignment horizontal="center" vertical="center" wrapText="1"/>
    </xf>
    <xf numFmtId="0" fontId="8" fillId="14" borderId="0" xfId="0" applyFont="1" applyFill="1" applyBorder="1" applyAlignment="1">
      <alignment horizontal="center" vertical="top" wrapText="1"/>
    </xf>
    <xf numFmtId="0" fontId="15" fillId="11" borderId="0" xfId="0" applyFont="1" applyFill="1" applyBorder="1" applyAlignment="1">
      <alignment vertical="top" wrapText="1"/>
    </xf>
    <xf numFmtId="0" fontId="3" fillId="0" borderId="0" xfId="0" applyFont="1" applyFill="1" applyBorder="1" applyAlignment="1" applyProtection="1">
      <alignment vertical="top" wrapText="1"/>
      <protection locked="0"/>
    </xf>
    <xf numFmtId="0" fontId="11" fillId="10" borderId="0" xfId="8" applyFont="1" applyFill="1" applyBorder="1" applyAlignment="1">
      <alignment vertical="top" wrapText="1"/>
    </xf>
    <xf numFmtId="164" fontId="3" fillId="0" borderId="0" xfId="0" applyNumberFormat="1" applyFont="1" applyFill="1" applyBorder="1" applyAlignment="1" applyProtection="1">
      <alignment vertical="top" wrapText="1"/>
      <protection locked="0"/>
    </xf>
    <xf numFmtId="0" fontId="3" fillId="27" borderId="0" xfId="0" applyFont="1" applyFill="1" applyBorder="1" applyAlignment="1" applyProtection="1">
      <alignment vertical="top" wrapText="1"/>
      <protection locked="0"/>
    </xf>
    <xf numFmtId="0" fontId="25" fillId="17" borderId="0" xfId="0" applyFont="1" applyFill="1" applyBorder="1" applyAlignment="1">
      <alignment vertical="top" wrapText="1"/>
    </xf>
    <xf numFmtId="0" fontId="12" fillId="0" borderId="0" xfId="0" applyFont="1" applyBorder="1" applyAlignment="1" applyProtection="1">
      <alignment vertical="top" wrapText="1"/>
      <protection locked="0"/>
    </xf>
    <xf numFmtId="166" fontId="3" fillId="0" borderId="0" xfId="0" applyNumberFormat="1" applyFont="1" applyFill="1" applyBorder="1" applyAlignment="1" applyProtection="1">
      <alignment vertical="top" wrapText="1"/>
      <protection locked="0"/>
    </xf>
    <xf numFmtId="0" fontId="11" fillId="16" borderId="0" xfId="8" applyFont="1" applyFill="1" applyBorder="1" applyAlignment="1">
      <alignment vertical="top" wrapText="1"/>
    </xf>
    <xf numFmtId="0" fontId="3" fillId="12" borderId="0" xfId="0" applyFont="1" applyFill="1" applyBorder="1" applyAlignment="1" applyProtection="1">
      <alignment vertical="top" wrapText="1"/>
      <protection locked="0"/>
    </xf>
    <xf numFmtId="0" fontId="11" fillId="29" borderId="4" xfId="0" applyFont="1" applyFill="1" applyBorder="1" applyAlignment="1" applyProtection="1">
      <alignment horizontal="center" vertical="center" wrapText="1"/>
      <protection locked="0"/>
    </xf>
    <xf numFmtId="0" fontId="7" fillId="29" borderId="11" xfId="0" applyFont="1" applyFill="1" applyBorder="1" applyAlignment="1" applyProtection="1">
      <alignment vertical="top" wrapText="1"/>
      <protection locked="0"/>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1" fontId="11" fillId="0" borderId="4" xfId="0" applyNumberFormat="1" applyFont="1" applyFill="1" applyBorder="1" applyAlignment="1" applyProtection="1">
      <alignment horizontal="left" vertical="center" wrapText="1"/>
    </xf>
    <xf numFmtId="1" fontId="11" fillId="0" borderId="11" xfId="0" applyNumberFormat="1" applyFont="1" applyFill="1" applyBorder="1" applyAlignment="1" applyProtection="1">
      <alignment horizontal="left" vertical="center" wrapText="1"/>
    </xf>
    <xf numFmtId="0" fontId="33" fillId="9" borderId="10" xfId="0" applyFont="1" applyFill="1" applyBorder="1" applyAlignment="1">
      <alignment horizontal="left" vertical="center" wrapText="1"/>
    </xf>
    <xf numFmtId="0" fontId="33" fillId="9" borderId="4" xfId="0" applyFont="1" applyFill="1" applyBorder="1" applyAlignment="1">
      <alignment horizontal="left" vertical="center" wrapText="1"/>
    </xf>
    <xf numFmtId="0" fontId="33" fillId="9" borderId="11" xfId="0" applyFont="1" applyFill="1" applyBorder="1" applyAlignment="1">
      <alignment horizontal="left"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9" fontId="34" fillId="0" borderId="4" xfId="0" applyNumberFormat="1" applyFont="1" applyFill="1" applyBorder="1" applyAlignment="1" applyProtection="1">
      <alignment horizontal="left" vertical="center" wrapText="1"/>
      <protection locked="0" hidden="1"/>
    </xf>
    <xf numFmtId="9" fontId="34" fillId="0" borderId="11" xfId="0" applyNumberFormat="1" applyFont="1" applyFill="1" applyBorder="1" applyAlignment="1" applyProtection="1">
      <alignment horizontal="left" vertical="center" wrapText="1"/>
      <protection locked="0" hidden="1"/>
    </xf>
    <xf numFmtId="9" fontId="34" fillId="0" borderId="4" xfId="0" applyNumberFormat="1" applyFont="1" applyFill="1" applyBorder="1" applyAlignment="1" applyProtection="1">
      <alignment horizontal="left" vertical="center" wrapText="1"/>
      <protection hidden="1"/>
    </xf>
    <xf numFmtId="9" fontId="34" fillId="0" borderId="11" xfId="0" applyNumberFormat="1" applyFont="1" applyFill="1" applyBorder="1" applyAlignment="1" applyProtection="1">
      <alignment horizontal="left" vertical="center" wrapText="1"/>
      <protection hidden="1"/>
    </xf>
    <xf numFmtId="9" fontId="34" fillId="0" borderId="30" xfId="0" applyNumberFormat="1" applyFont="1" applyFill="1" applyBorder="1" applyAlignment="1" applyProtection="1">
      <alignment horizontal="left" vertical="center" wrapText="1"/>
      <protection locked="0" hidden="1"/>
    </xf>
    <xf numFmtId="9" fontId="34" fillId="0" borderId="28" xfId="0" applyNumberFormat="1" applyFont="1" applyFill="1" applyBorder="1" applyAlignment="1" applyProtection="1">
      <alignment horizontal="left" vertical="center" wrapText="1"/>
      <protection locked="0" hidden="1"/>
    </xf>
    <xf numFmtId="0" fontId="22" fillId="0" borderId="0" xfId="0" applyFont="1" applyAlignment="1" applyProtection="1">
      <alignment vertical="top" wrapText="1"/>
      <protection locked="0"/>
    </xf>
    <xf numFmtId="0" fontId="12" fillId="0" borderId="0" xfId="0" applyFont="1" applyAlignment="1" applyProtection="1">
      <alignment wrapText="1"/>
      <protection locked="0"/>
    </xf>
    <xf numFmtId="1" fontId="11" fillId="0" borderId="4" xfId="0" applyNumberFormat="1" applyFont="1" applyFill="1" applyBorder="1" applyAlignment="1" applyProtection="1">
      <alignment horizontal="left" vertical="center" wrapText="1"/>
      <protection locked="0" hidden="1"/>
    </xf>
    <xf numFmtId="1" fontId="11" fillId="0" borderId="11" xfId="0" applyNumberFormat="1" applyFont="1" applyFill="1" applyBorder="1" applyAlignment="1" applyProtection="1">
      <alignment horizontal="left" vertical="center" wrapText="1"/>
      <protection locked="0" hidden="1"/>
    </xf>
    <xf numFmtId="0" fontId="12" fillId="0" borderId="0" xfId="0" applyFont="1" applyFill="1" applyBorder="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34" fillId="0" borderId="4" xfId="0" applyNumberFormat="1" applyFont="1" applyFill="1" applyBorder="1" applyAlignment="1" applyProtection="1">
      <alignment horizontal="center" vertical="center" wrapText="1"/>
      <protection locked="0"/>
    </xf>
    <xf numFmtId="1" fontId="34" fillId="0" borderId="11" xfId="0" applyNumberFormat="1" applyFont="1" applyFill="1" applyBorder="1" applyAlignment="1" applyProtection="1">
      <alignment horizontal="center" vertical="center" wrapText="1"/>
      <protection locked="0"/>
    </xf>
    <xf numFmtId="165" fontId="11" fillId="0" borderId="4" xfId="0" applyNumberFormat="1"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hidden="1"/>
    </xf>
    <xf numFmtId="0" fontId="20" fillId="19" borderId="48" xfId="0" applyFont="1" applyFill="1" applyBorder="1" applyAlignment="1">
      <alignment horizontal="center" vertical="center" wrapText="1"/>
    </xf>
    <xf numFmtId="0" fontId="20" fillId="19" borderId="46" xfId="0" applyFont="1" applyFill="1" applyBorder="1" applyAlignment="1">
      <alignment horizontal="center" vertical="center" wrapText="1"/>
    </xf>
    <xf numFmtId="0" fontId="20" fillId="19" borderId="47" xfId="0" applyFont="1" applyFill="1" applyBorder="1" applyAlignment="1">
      <alignment horizontal="center" vertical="center" wrapText="1"/>
    </xf>
    <xf numFmtId="165" fontId="34" fillId="0" borderId="30" xfId="0" applyNumberFormat="1" applyFont="1" applyFill="1" applyBorder="1" applyAlignment="1" applyProtection="1">
      <alignment horizontal="left" vertical="center" wrapText="1"/>
      <protection hidden="1"/>
    </xf>
    <xf numFmtId="165" fontId="34" fillId="0" borderId="19" xfId="0" applyNumberFormat="1" applyFont="1" applyFill="1" applyBorder="1" applyAlignment="1" applyProtection="1">
      <alignment horizontal="left" vertical="center" wrapText="1"/>
      <protection hidden="1"/>
    </xf>
    <xf numFmtId="165" fontId="34" fillId="0" borderId="28" xfId="0" applyNumberFormat="1" applyFont="1" applyFill="1" applyBorder="1" applyAlignment="1" applyProtection="1">
      <alignment horizontal="left" vertical="center" wrapText="1"/>
      <protection hidden="1"/>
    </xf>
    <xf numFmtId="0" fontId="33" fillId="9" borderId="40" xfId="0" applyFont="1" applyFill="1" applyBorder="1" applyAlignment="1">
      <alignment horizontal="left" vertical="center" wrapText="1"/>
    </xf>
    <xf numFmtId="0" fontId="33" fillId="9" borderId="39" xfId="0" applyFont="1" applyFill="1" applyBorder="1" applyAlignment="1">
      <alignment horizontal="left" vertical="center" wrapText="1"/>
    </xf>
    <xf numFmtId="0" fontId="33" fillId="9" borderId="41" xfId="0" applyFont="1" applyFill="1" applyBorder="1" applyAlignment="1">
      <alignment horizontal="left" vertical="center" wrapText="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34" fillId="0" borderId="30" xfId="0" applyNumberFormat="1" applyFont="1" applyFill="1" applyBorder="1" applyAlignment="1" applyProtection="1">
      <alignment horizontal="left" vertical="center" wrapText="1"/>
      <protection hidden="1"/>
    </xf>
    <xf numFmtId="9" fontId="34"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22" fillId="0" borderId="0" xfId="0" applyFont="1" applyFill="1" applyAlignment="1" applyProtection="1">
      <alignment vertical="top" wrapText="1"/>
      <protection locked="0"/>
    </xf>
    <xf numFmtId="0" fontId="12" fillId="0" borderId="0" xfId="0" applyFont="1" applyFill="1" applyAlignment="1" applyProtection="1">
      <alignment wrapText="1"/>
      <protection locked="0"/>
    </xf>
    <xf numFmtId="0" fontId="36" fillId="9" borderId="10" xfId="0" applyFont="1" applyFill="1" applyBorder="1" applyAlignment="1">
      <alignment horizontal="left" vertical="center" wrapText="1"/>
    </xf>
    <xf numFmtId="0" fontId="36" fillId="9" borderId="4" xfId="0" applyFont="1" applyFill="1" applyBorder="1" applyAlignment="1">
      <alignment horizontal="left" vertical="center" wrapText="1"/>
    </xf>
    <xf numFmtId="0" fontId="36"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2"/>
  <sheetViews>
    <sheetView topLeftCell="A24" zoomScale="80" zoomScaleNormal="80" zoomScalePageLayoutView="75" workbookViewId="0">
      <selection activeCell="A38" sqref="A38:D39"/>
    </sheetView>
  </sheetViews>
  <sheetFormatPr defaultColWidth="9.140625" defaultRowHeight="12.75" x14ac:dyDescent="0.2"/>
  <cols>
    <col min="1" max="1" width="84.5703125" style="82" customWidth="1"/>
    <col min="2" max="2" width="24.7109375" style="82" customWidth="1"/>
    <col min="3" max="3" width="29.42578125" style="82" customWidth="1"/>
    <col min="4" max="4" width="29.140625" style="82" customWidth="1"/>
    <col min="5" max="5" width="8.28515625" style="82" hidden="1" customWidth="1"/>
    <col min="6" max="16384" width="9.140625" style="82"/>
  </cols>
  <sheetData>
    <row r="1" spans="1:5" ht="13.5" customHeight="1" thickBot="1" x14ac:dyDescent="0.25">
      <c r="A1" s="337"/>
      <c r="B1" s="337"/>
      <c r="C1" s="337"/>
      <c r="D1" s="338"/>
      <c r="E1" s="327"/>
    </row>
    <row r="2" spans="1:5" ht="25.5" customHeight="1" x14ac:dyDescent="0.2">
      <c r="A2" s="411" t="s">
        <v>0</v>
      </c>
      <c r="B2" s="412"/>
      <c r="C2" s="412"/>
      <c r="D2" s="413"/>
      <c r="E2" s="327"/>
    </row>
    <row r="3" spans="1:5" ht="18" customHeight="1" x14ac:dyDescent="0.2">
      <c r="A3" s="339" t="s">
        <v>1</v>
      </c>
      <c r="B3" s="340" t="str">
        <f>IF(ISBLANK('DEM (Strategic Priorities)'!C7),"",'DEM (Strategic Priorities)'!C7)</f>
        <v/>
      </c>
      <c r="C3" s="341"/>
      <c r="D3" s="342"/>
      <c r="E3" s="327"/>
    </row>
    <row r="4" spans="1:5" ht="15" customHeight="1" x14ac:dyDescent="0.2">
      <c r="A4" s="417" t="s">
        <v>2</v>
      </c>
      <c r="B4" s="418"/>
      <c r="C4" s="418"/>
      <c r="D4" s="419"/>
      <c r="E4" s="327"/>
    </row>
    <row r="5" spans="1:5" ht="18" customHeight="1" x14ac:dyDescent="0.2">
      <c r="A5" s="343" t="s">
        <v>3</v>
      </c>
      <c r="B5" s="389" t="str">
        <f>IF(OR(B6&lt;&gt;"",B7&lt;&gt;""),"Yes","No")</f>
        <v>Yes</v>
      </c>
      <c r="C5" s="389"/>
      <c r="D5" s="390"/>
      <c r="E5" s="327"/>
    </row>
    <row r="6" spans="1:5" ht="81.75" customHeight="1" x14ac:dyDescent="0.2">
      <c r="A6" s="344" t="s">
        <v>4</v>
      </c>
      <c r="B6" s="414" t="str">
        <f>'DEM (Strategic Priorities)'!J11</f>
        <v xml:space="preserve">-Productivity and Innovation
-Economic Integration
-Climate Change and Environmental Sustainability
</v>
      </c>
      <c r="C6" s="415"/>
      <c r="D6" s="416"/>
      <c r="E6" s="327"/>
    </row>
    <row r="7" spans="1:5" ht="52.5" customHeight="1" x14ac:dyDescent="0.2">
      <c r="A7" s="31" t="s">
        <v>5</v>
      </c>
      <c r="B7" s="414" t="str">
        <f>'DEM (Strategic Priorities)'!K22</f>
        <v xml:space="preserve">-Roads built or upgraded  (km)*
</v>
      </c>
      <c r="C7" s="415"/>
      <c r="D7" s="416"/>
      <c r="E7" s="327"/>
    </row>
    <row r="8" spans="1:5" ht="15" customHeight="1" x14ac:dyDescent="0.2">
      <c r="A8" s="343" t="s">
        <v>6</v>
      </c>
      <c r="B8" s="389" t="str">
        <f>IF(OR('DEM (Strategic Priorities)'!$D$82="Yes",'DEM (Strategic Priorities)'!D85="Yes"),"Yes","No")</f>
        <v>Yes</v>
      </c>
      <c r="C8" s="389"/>
      <c r="D8" s="390"/>
      <c r="E8" s="327"/>
    </row>
    <row r="9" spans="1:5" ht="48.75" customHeight="1" x14ac:dyDescent="0.2">
      <c r="A9" s="31" t="s">
        <v>7</v>
      </c>
      <c r="B9" s="345" t="str">
        <f>IF('DEM (Strategic Priorities)'!D82="Yes",'DEM (Strategic Priorities)'!C82,"")</f>
        <v>GN-2870-1</v>
      </c>
      <c r="C9" s="391" t="s">
        <v>483</v>
      </c>
      <c r="D9" s="392"/>
      <c r="E9" s="327"/>
    </row>
    <row r="10" spans="1:5" ht="49.5" customHeight="1" x14ac:dyDescent="0.2">
      <c r="A10" s="31" t="s">
        <v>8</v>
      </c>
      <c r="B10" s="345" t="str">
        <f>IF('DEM (Strategic Priorities)'!D85="Yes",'DEM (Strategic Priorities)'!C85," ")</f>
        <v>GN-2915</v>
      </c>
      <c r="C10" s="393" t="str">
        <f>IF('DEM (Strategic Priorities)'!D85="Yes","The intervention is included in the 2018 Operational Program.","The intervention is not included in the 2018 Operational Program.")</f>
        <v>The intervention is included in the 2018 Operational Program.</v>
      </c>
      <c r="D10" s="394"/>
      <c r="E10" s="327"/>
    </row>
    <row r="11" spans="1:5" ht="46.5" customHeight="1" x14ac:dyDescent="0.2">
      <c r="A11" s="346" t="s">
        <v>9</v>
      </c>
      <c r="B11" s="347"/>
      <c r="C11" s="395" t="str">
        <f>IF('DEM (Strategic Priorities)'!D87="Yes",'DEM (Strategic Priorities)'!C87,"")</f>
        <v/>
      </c>
      <c r="D11" s="396"/>
      <c r="E11" s="327">
        <f>SUM(E14+E18+E24)</f>
        <v>3</v>
      </c>
    </row>
    <row r="12" spans="1:5" ht="25.5" customHeight="1" x14ac:dyDescent="0.2">
      <c r="A12" s="348" t="s">
        <v>10</v>
      </c>
      <c r="B12" s="349"/>
      <c r="C12" s="350" t="str">
        <f>IF(AND(E12=1,B13&gt;=6.95),"Evaluable",IF(AND(E12=1,B13&gt;=5),"Partially Evaluable","Not Evaluable"))</f>
        <v>Evaluable</v>
      </c>
      <c r="D12" s="349"/>
      <c r="E12" s="221">
        <f>IF(E11&gt;=3,1,0)</f>
        <v>1</v>
      </c>
    </row>
    <row r="13" spans="1:5" ht="15" hidden="1" x14ac:dyDescent="0.2">
      <c r="A13" s="351"/>
      <c r="B13" s="352">
        <f>AVERAGE(B14,B18,B24)</f>
        <v>9.0166666666666675</v>
      </c>
      <c r="C13" s="353"/>
      <c r="D13" s="354">
        <v>10</v>
      </c>
      <c r="E13" s="327"/>
    </row>
    <row r="14" spans="1:5" ht="15" customHeight="1" x14ac:dyDescent="0.2">
      <c r="A14" s="343" t="s">
        <v>11</v>
      </c>
      <c r="B14" s="379">
        <f>'DEM (Evaluability)'!G11</f>
        <v>9.6</v>
      </c>
      <c r="C14" s="380"/>
      <c r="D14" s="381"/>
      <c r="E14" s="327">
        <f>IF(B14&gt;=5,1,0)</f>
        <v>1</v>
      </c>
    </row>
    <row r="15" spans="1:5" ht="15" customHeight="1" x14ac:dyDescent="0.2">
      <c r="A15" s="31" t="s">
        <v>12</v>
      </c>
      <c r="B15" s="1">
        <f>'DEM (Evaluability)'!G12</f>
        <v>3</v>
      </c>
      <c r="C15" s="377"/>
      <c r="D15" s="378"/>
      <c r="E15" s="327"/>
    </row>
    <row r="16" spans="1:5" ht="15" customHeight="1" x14ac:dyDescent="0.2">
      <c r="A16" s="31" t="s">
        <v>13</v>
      </c>
      <c r="B16" s="1">
        <f>'DEM (Evaluability)'!G19</f>
        <v>3.5999999999999996</v>
      </c>
      <c r="C16" s="377"/>
      <c r="D16" s="378"/>
      <c r="E16" s="327"/>
    </row>
    <row r="17" spans="1:5" ht="15" customHeight="1" x14ac:dyDescent="0.2">
      <c r="A17" s="31" t="s">
        <v>14</v>
      </c>
      <c r="B17" s="1">
        <f>'DEM (Evaluability)'!G24</f>
        <v>3</v>
      </c>
      <c r="C17" s="377"/>
      <c r="D17" s="378"/>
      <c r="E17" s="327"/>
    </row>
    <row r="18" spans="1:5" ht="15" customHeight="1" x14ac:dyDescent="0.2">
      <c r="A18" s="343" t="s">
        <v>15</v>
      </c>
      <c r="B18" s="379">
        <f>'DEM (Evaluability)'!G38</f>
        <v>9</v>
      </c>
      <c r="C18" s="380"/>
      <c r="D18" s="381"/>
      <c r="E18" s="327">
        <f>IF(B18&gt;=5,1,0)</f>
        <v>1</v>
      </c>
    </row>
    <row r="19" spans="1:5" ht="15" x14ac:dyDescent="0.2">
      <c r="A19" s="31" t="s">
        <v>16</v>
      </c>
      <c r="B19" s="1">
        <f>IF('DEM (Evaluability)'!H41=1,'DEM (Evaluability)'!G42,IF('DEM (Evaluability)'!H41=2,'DEM (Evaluability)'!G49,0))</f>
        <v>3</v>
      </c>
      <c r="C19" s="377"/>
      <c r="D19" s="378"/>
      <c r="E19" s="327"/>
    </row>
    <row r="20" spans="1:5" ht="15" customHeight="1" x14ac:dyDescent="0.2">
      <c r="A20" s="31" t="s">
        <v>17</v>
      </c>
      <c r="B20" s="1">
        <f>IF('DEM (Evaluability)'!H41=1,'DEM (Evaluability)'!G43,IF('DEM (Evaluability)'!H41=2,'DEM (Evaluability)'!G50,0))</f>
        <v>3</v>
      </c>
      <c r="C20" s="377"/>
      <c r="D20" s="378"/>
      <c r="E20" s="327"/>
    </row>
    <row r="21" spans="1:5" ht="15" customHeight="1" x14ac:dyDescent="0.2">
      <c r="A21" s="31" t="s">
        <v>18</v>
      </c>
      <c r="B21" s="1">
        <f>IF('DEM (Evaluability)'!H41=1,'DEM (Evaluability)'!G44,IF('DEM (Evaluability)'!H41=2,'DEM (Evaluability)'!G51,0))</f>
        <v>1</v>
      </c>
      <c r="C21" s="377"/>
      <c r="D21" s="378"/>
      <c r="E21" s="327"/>
    </row>
    <row r="22" spans="1:5" ht="15" customHeight="1" x14ac:dyDescent="0.2">
      <c r="A22" s="31" t="s">
        <v>19</v>
      </c>
      <c r="B22" s="1">
        <f>IF('DEM (Evaluability)'!H41=1,'DEM (Evaluability)'!G45,IF('DEM (Evaluability)'!H41=2,'DEM (Evaluability)'!G52,0))</f>
        <v>2</v>
      </c>
      <c r="C22" s="377"/>
      <c r="D22" s="378"/>
      <c r="E22" s="327"/>
    </row>
    <row r="23" spans="1:5" ht="15" customHeight="1" x14ac:dyDescent="0.2">
      <c r="A23" s="31" t="s">
        <v>20</v>
      </c>
      <c r="B23" s="1">
        <f>IF('DEM (Evaluability)'!H41=1,'DEM (Evaluability)'!G46,IF('DEM (Evaluability)'!H41=2,'DEM (Evaluability)'!G53,0))</f>
        <v>0</v>
      </c>
      <c r="C23" s="377"/>
      <c r="D23" s="378"/>
      <c r="E23" s="327"/>
    </row>
    <row r="24" spans="1:5" ht="15" customHeight="1" x14ac:dyDescent="0.2">
      <c r="A24" s="343" t="s">
        <v>21</v>
      </c>
      <c r="B24" s="379">
        <f>'DEM (Evaluability)'!G54</f>
        <v>8.4499999999999993</v>
      </c>
      <c r="C24" s="380"/>
      <c r="D24" s="381"/>
      <c r="E24" s="327">
        <f>IF(B24&gt;=5,1,0)</f>
        <v>1</v>
      </c>
    </row>
    <row r="25" spans="1:5" ht="15" customHeight="1" x14ac:dyDescent="0.2">
      <c r="A25" s="31" t="s">
        <v>22</v>
      </c>
      <c r="B25" s="1">
        <f>'DEM (Evaluability)'!G55</f>
        <v>2.5</v>
      </c>
      <c r="C25" s="377"/>
      <c r="D25" s="378"/>
      <c r="E25" s="327"/>
    </row>
    <row r="26" spans="1:5" ht="15" customHeight="1" x14ac:dyDescent="0.2">
      <c r="A26" s="31" t="s">
        <v>23</v>
      </c>
      <c r="B26" s="1">
        <f>'DEM (Evaluability)'!G61</f>
        <v>5.95</v>
      </c>
      <c r="C26" s="377"/>
      <c r="D26" s="378"/>
      <c r="E26" s="327"/>
    </row>
    <row r="27" spans="1:5" ht="15" customHeight="1" x14ac:dyDescent="0.2">
      <c r="A27" s="386" t="s">
        <v>24</v>
      </c>
      <c r="B27" s="387"/>
      <c r="C27" s="387"/>
      <c r="D27" s="388"/>
      <c r="E27" s="327"/>
    </row>
    <row r="28" spans="1:5" ht="15" customHeight="1" x14ac:dyDescent="0.2">
      <c r="A28" s="355" t="s">
        <v>25</v>
      </c>
      <c r="B28" s="402" t="str">
        <f>IF('DEM ( Risk)'!D12&lt;&gt;"",'DEM ( Risk)'!D12,"Specify risk rate on risk tab")</f>
        <v>Medium</v>
      </c>
      <c r="C28" s="402"/>
      <c r="D28" s="403"/>
      <c r="E28" s="327"/>
    </row>
    <row r="29" spans="1:5" ht="15" customHeight="1" x14ac:dyDescent="0.2">
      <c r="A29" s="52" t="s">
        <v>26</v>
      </c>
      <c r="B29" s="404" t="str">
        <f>IF(AND('DEM ( Risk)'!D15="yes", 'DEM ( Risk)'!D16="yes"), "Yes", "")</f>
        <v>Yes</v>
      </c>
      <c r="C29" s="404"/>
      <c r="D29" s="405"/>
      <c r="E29" s="327"/>
    </row>
    <row r="30" spans="1:5" ht="15" customHeight="1" x14ac:dyDescent="0.2">
      <c r="A30" s="52" t="s">
        <v>27</v>
      </c>
      <c r="B30" s="408" t="str">
        <f>IF('DEM ( Risk)'!D18="yes", "Yes", "")</f>
        <v>Yes</v>
      </c>
      <c r="C30" s="409"/>
      <c r="D30" s="410"/>
      <c r="E30" s="327"/>
    </row>
    <row r="31" spans="1:5" ht="15" customHeight="1" x14ac:dyDescent="0.2">
      <c r="A31" s="52" t="s">
        <v>28</v>
      </c>
      <c r="B31" s="408" t="str">
        <f>IF('DEM ( Risk)'!D19="yes", "Yes", "")</f>
        <v>Yes</v>
      </c>
      <c r="C31" s="409"/>
      <c r="D31" s="410"/>
      <c r="E31" s="327"/>
    </row>
    <row r="32" spans="1:5" ht="15" customHeight="1" x14ac:dyDescent="0.2">
      <c r="A32" s="355" t="s">
        <v>29</v>
      </c>
      <c r="B32" s="402" t="str">
        <f>IF('DEM ( Risk)'!D13&lt;&gt;"",'DEM ( Risk)'!D13,"Specify risk classification on risk tab")</f>
        <v>B</v>
      </c>
      <c r="C32" s="402"/>
      <c r="D32" s="403"/>
      <c r="E32" s="327"/>
    </row>
    <row r="33" spans="1:4" ht="15" customHeight="1" x14ac:dyDescent="0.2">
      <c r="A33" s="386" t="s">
        <v>30</v>
      </c>
      <c r="B33" s="387"/>
      <c r="C33" s="387"/>
      <c r="D33" s="388"/>
    </row>
    <row r="34" spans="1:4" ht="15" customHeight="1" x14ac:dyDescent="0.2">
      <c r="A34" s="31" t="s">
        <v>31</v>
      </c>
      <c r="B34" s="356"/>
      <c r="C34" s="406"/>
      <c r="D34" s="407"/>
    </row>
    <row r="35" spans="1:4" ht="70.150000000000006" customHeight="1" x14ac:dyDescent="0.2">
      <c r="A35" s="357" t="s">
        <v>32</v>
      </c>
      <c r="B35" s="358" t="str">
        <f>IF('DEM (Additionality)'!E14="Yes","Yes","")</f>
        <v>Yes</v>
      </c>
      <c r="C35" s="382" t="str">
        <f>'DEM (Additionality)'!N14</f>
        <v xml:space="preserve">Financial Management: Budget, Treasury, Accounting and Reporting.
</v>
      </c>
      <c r="D35" s="383"/>
    </row>
    <row r="36" spans="1:4" ht="70.150000000000006" customHeight="1" x14ac:dyDescent="0.2">
      <c r="A36" s="357" t="s">
        <v>33</v>
      </c>
      <c r="B36" s="358" t="str">
        <f>IF('DEM (Additionality)'!E27="yes", "Yes","")</f>
        <v>Yes</v>
      </c>
      <c r="C36" s="382" t="str">
        <f>'DEM (Additionality)'!M28</f>
        <v>Strategic Planning National System.</v>
      </c>
      <c r="D36" s="383"/>
    </row>
    <row r="37" spans="1:4" ht="44.25" customHeight="1" x14ac:dyDescent="0.2">
      <c r="A37" s="31" t="s">
        <v>34</v>
      </c>
      <c r="B37" s="356"/>
      <c r="C37" s="384"/>
      <c r="D37" s="385"/>
    </row>
    <row r="38" spans="1:4" ht="80.45" customHeight="1" x14ac:dyDescent="0.2">
      <c r="A38" s="31" t="s">
        <v>35</v>
      </c>
      <c r="B38" s="358" t="str">
        <f>IF('DEM (Additionality)'!E35="yes", "Yes","")</f>
        <v/>
      </c>
      <c r="C38" s="399"/>
      <c r="D38" s="400"/>
    </row>
    <row r="39" spans="1:4" s="142" customFormat="1" ht="25.5" customHeight="1" x14ac:dyDescent="0.2">
      <c r="A39" s="401" t="s">
        <v>36</v>
      </c>
      <c r="B39" s="401"/>
      <c r="C39" s="401"/>
      <c r="D39" s="401"/>
    </row>
    <row r="40" spans="1:4" ht="13.5" customHeight="1" x14ac:dyDescent="0.2">
      <c r="A40" s="401"/>
      <c r="B40" s="401"/>
      <c r="C40" s="401"/>
      <c r="D40" s="401"/>
    </row>
    <row r="41" spans="1:4" ht="183.75" customHeight="1" x14ac:dyDescent="0.2">
      <c r="A41" s="397" t="s">
        <v>484</v>
      </c>
      <c r="B41" s="398"/>
      <c r="C41" s="398"/>
      <c r="D41" s="398"/>
    </row>
    <row r="42" spans="1:4" ht="14.25" x14ac:dyDescent="0.2">
      <c r="A42" s="338"/>
      <c r="B42" s="338"/>
      <c r="C42" s="338"/>
      <c r="D42" s="338"/>
    </row>
  </sheetData>
  <sheetProtection algorithmName="SHA-512" hashValue="Fp6T/w5XpgbzX9usBHVU54JgvRILuyJNvxhDBpPOGHc4GQ7+ly3h6Gjk6IA6nwuFH2Y3Eq+/GOjQBkc2m7XpZQ==" saltValue="SJLJsJhXMzLvo5Rm46RMWg==" spinCount="100000" sheet="1" objects="1" scenarios="1"/>
  <mergeCells count="37">
    <mergeCell ref="A2:D2"/>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55" orientation="portrait" r:id="rId1"/>
  <headerFooter>
    <oddHeader>&amp;RAnnex I - AR-L1295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408</v>
      </c>
    </row>
    <row r="2" spans="1:2" ht="13.5" thickBot="1" x14ac:dyDescent="0.25"/>
    <row r="3" spans="1:2" ht="15" x14ac:dyDescent="0.2">
      <c r="A3" t="s">
        <v>409</v>
      </c>
      <c r="B3" s="35"/>
    </row>
    <row r="4" spans="1:2" ht="15" x14ac:dyDescent="0.2">
      <c r="A4" t="s">
        <v>410</v>
      </c>
      <c r="B4" s="57"/>
    </row>
    <row r="6" spans="1:2" x14ac:dyDescent="0.2">
      <c r="A6" t="s">
        <v>411</v>
      </c>
      <c r="B6" s="71"/>
    </row>
    <row r="7" spans="1:2" x14ac:dyDescent="0.2">
      <c r="A7" t="s">
        <v>412</v>
      </c>
      <c r="B7" s="55"/>
    </row>
    <row r="8" spans="1:2" x14ac:dyDescent="0.2">
      <c r="A8" t="s">
        <v>413</v>
      </c>
      <c r="B8" s="9"/>
    </row>
    <row r="10" spans="1:2" ht="15" x14ac:dyDescent="0.2">
      <c r="A10" t="s">
        <v>414</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tabSelected="1" zoomScale="80" zoomScaleNormal="80" zoomScalePageLayoutView="80" workbookViewId="0">
      <selection activeCell="A7" sqref="A7"/>
    </sheetView>
  </sheetViews>
  <sheetFormatPr defaultColWidth="9.140625" defaultRowHeight="12.75" x14ac:dyDescent="0.2"/>
  <cols>
    <col min="1" max="1" width="82.42578125" style="82" customWidth="1"/>
    <col min="2" max="2" width="24.7109375" style="82" customWidth="1"/>
    <col min="3" max="3" width="29.85546875" style="82" customWidth="1"/>
    <col min="4" max="4" width="29.7109375" style="82" customWidth="1"/>
    <col min="5" max="5" width="9.28515625" style="82" hidden="1" customWidth="1"/>
    <col min="6" max="6" width="11.5703125" style="82" customWidth="1"/>
    <col min="7" max="16384" width="9.140625" style="82"/>
  </cols>
  <sheetData>
    <row r="1" spans="1:6" ht="13.5" customHeight="1" thickBot="1" x14ac:dyDescent="0.25">
      <c r="A1" s="337"/>
      <c r="B1" s="337"/>
      <c r="C1" s="337"/>
      <c r="D1" s="338"/>
      <c r="E1" s="327"/>
      <c r="F1" s="327"/>
    </row>
    <row r="2" spans="1:6" ht="25.5" customHeight="1" x14ac:dyDescent="0.2">
      <c r="A2" s="411" t="s">
        <v>37</v>
      </c>
      <c r="B2" s="412"/>
      <c r="C2" s="412"/>
      <c r="D2" s="413"/>
      <c r="E2" s="327"/>
      <c r="F2" s="327"/>
    </row>
    <row r="3" spans="1:6" ht="18" customHeight="1" x14ac:dyDescent="0.2">
      <c r="A3" s="339" t="s">
        <v>38</v>
      </c>
      <c r="B3" s="340" t="str">
        <f>IF(ISBLANK('DEM (Strategic Priorities)'!C7),"",'DEM (Strategic Priorities)'!C7)</f>
        <v/>
      </c>
      <c r="C3" s="341"/>
      <c r="D3" s="342"/>
      <c r="E3" s="327"/>
      <c r="F3" s="327"/>
    </row>
    <row r="4" spans="1:6" ht="19.5" customHeight="1" x14ac:dyDescent="0.2">
      <c r="A4" s="417" t="s">
        <v>39</v>
      </c>
      <c r="B4" s="418"/>
      <c r="C4" s="418"/>
      <c r="D4" s="419"/>
      <c r="E4" s="327"/>
      <c r="F4" s="327"/>
    </row>
    <row r="5" spans="1:6" ht="15" customHeight="1" x14ac:dyDescent="0.2">
      <c r="A5" s="343" t="s">
        <v>40</v>
      </c>
      <c r="B5" s="389" t="str">
        <f>IF('Summary (I, II, III) '!B5:D5="Yes","Sí","No")</f>
        <v>Sí</v>
      </c>
      <c r="C5" s="389"/>
      <c r="D5" s="390"/>
      <c r="E5" s="327"/>
      <c r="F5" s="327"/>
    </row>
    <row r="6" spans="1:6" ht="72.75" customHeight="1" x14ac:dyDescent="0.2">
      <c r="A6" s="344" t="s">
        <v>41</v>
      </c>
      <c r="B6" s="422" t="str">
        <f>'Prioridades Estrategicas'!J11</f>
        <v xml:space="preserve">-Productividad e Innovación
-Integración Económica
-Cambio Climático y Sostenibilidad Ambiental
</v>
      </c>
      <c r="C6" s="422"/>
      <c r="D6" s="423"/>
      <c r="E6" s="327"/>
      <c r="F6" s="84"/>
    </row>
    <row r="7" spans="1:6" ht="57" customHeight="1" x14ac:dyDescent="0.2">
      <c r="A7" s="31" t="s">
        <v>42</v>
      </c>
      <c r="B7" s="422" t="str">
        <f>'Prioridades Estrategicas'!K18</f>
        <v xml:space="preserve">-Caminos construidos o mejorados  (km)*
</v>
      </c>
      <c r="C7" s="422"/>
      <c r="D7" s="423"/>
      <c r="E7" s="327"/>
      <c r="F7" s="327"/>
    </row>
    <row r="8" spans="1:6" ht="15" customHeight="1" x14ac:dyDescent="0.2">
      <c r="A8" s="343" t="s">
        <v>43</v>
      </c>
      <c r="B8" s="389" t="str">
        <f>IF('Summary (I, II, III) '!B8:D8="Yes","Sí","No")</f>
        <v>Sí</v>
      </c>
      <c r="C8" s="389"/>
      <c r="D8" s="390"/>
      <c r="E8" s="327"/>
      <c r="F8" s="327"/>
    </row>
    <row r="9" spans="1:6" ht="50.25" customHeight="1" x14ac:dyDescent="0.2">
      <c r="A9" s="31" t="s">
        <v>44</v>
      </c>
      <c r="B9" s="345" t="str">
        <f>IF('DEM (Strategic Priorities)'!D82="Yes",'DEM (Strategic Priorities)'!C82,"")</f>
        <v>GN-2870-1</v>
      </c>
      <c r="C9" s="395" t="str">
        <f>IF('DEM (Strategic Priorities)'!D82="Yes",'DEM (Strategic Priorities)'!C83,"")</f>
        <v>Mejora de la infraestructura para la inversión e inclusión</v>
      </c>
      <c r="D9" s="396"/>
      <c r="E9" s="327"/>
      <c r="F9" s="327"/>
    </row>
    <row r="10" spans="1:6" ht="60" customHeight="1" x14ac:dyDescent="0.2">
      <c r="A10" s="31" t="s">
        <v>45</v>
      </c>
      <c r="B10" s="345" t="str">
        <f>IF('DEM (Strategic Priorities)'!D85="Yes",'DEM (Strategic Priorities)'!C85,"")</f>
        <v>GN-2915</v>
      </c>
      <c r="C10" s="424" t="str">
        <f>IF('DEM (Strategic Priorities)'!D85="Yes","La intervención está incluida en el Programa de Operaciones de 2018.","La intervención no está incluida en el Programa de Operaciones de 2018.")</f>
        <v>La intervención está incluida en el Programa de Operaciones de 2018.</v>
      </c>
      <c r="D10" s="425"/>
      <c r="E10" s="327"/>
      <c r="F10" s="327"/>
    </row>
    <row r="11" spans="1:6" ht="49.5" customHeight="1" x14ac:dyDescent="0.2">
      <c r="A11" s="31" t="s">
        <v>46</v>
      </c>
      <c r="B11" s="347"/>
      <c r="C11" s="391" t="str">
        <f>IF('DEM (Strategic Priorities)'!D87="Yes",'DEM (Strategic Priorities)'!C87,"")</f>
        <v/>
      </c>
      <c r="D11" s="392"/>
      <c r="E11" s="327">
        <f>E14+E18+E24</f>
        <v>3</v>
      </c>
      <c r="F11" s="327"/>
    </row>
    <row r="12" spans="1:6" s="220" customFormat="1" ht="21" customHeight="1" x14ac:dyDescent="0.2">
      <c r="A12" s="348" t="s">
        <v>10</v>
      </c>
      <c r="B12" s="349"/>
      <c r="C12" s="350" t="str">
        <f>IF(AND(E12=1,B13&gt;=6.95),"Evaluable",IF(AND(E12=1,B13&gt;=5),"Parcialmente Evaluable","No Evaluable"))</f>
        <v>Evaluable</v>
      </c>
      <c r="D12" s="349"/>
      <c r="E12" s="221">
        <f>IF(E11&gt;=3,1,0)</f>
        <v>1</v>
      </c>
      <c r="F12" s="327"/>
    </row>
    <row r="13" spans="1:6" s="220" customFormat="1" ht="14.25" hidden="1" customHeight="1" x14ac:dyDescent="0.2">
      <c r="A13" s="351"/>
      <c r="B13" s="352">
        <f>AVERAGE(B14,B18,B24)</f>
        <v>9.0166666666666675</v>
      </c>
      <c r="C13" s="353"/>
      <c r="D13" s="354">
        <v>10</v>
      </c>
      <c r="E13" s="327"/>
      <c r="F13" s="327"/>
    </row>
    <row r="14" spans="1:6" ht="15" customHeight="1" x14ac:dyDescent="0.2">
      <c r="A14" s="343" t="s">
        <v>47</v>
      </c>
      <c r="B14" s="379">
        <f>'DEM (Evaluability)'!G11</f>
        <v>9.6</v>
      </c>
      <c r="C14" s="380"/>
      <c r="D14" s="381"/>
      <c r="E14" s="327">
        <f>IF(B14&gt;=5,1,0)</f>
        <v>1</v>
      </c>
      <c r="F14" s="327"/>
    </row>
    <row r="15" spans="1:6" ht="15" customHeight="1" x14ac:dyDescent="0.2">
      <c r="A15" s="31" t="s">
        <v>48</v>
      </c>
      <c r="B15" s="1">
        <f>'DEM (Evaluability)'!G12</f>
        <v>3</v>
      </c>
      <c r="C15" s="377"/>
      <c r="D15" s="378"/>
      <c r="E15" s="85"/>
      <c r="F15" s="327"/>
    </row>
    <row r="16" spans="1:6" ht="15" customHeight="1" x14ac:dyDescent="0.2">
      <c r="A16" s="31" t="s">
        <v>49</v>
      </c>
      <c r="B16" s="1">
        <f>'DEM (Evaluability)'!G19</f>
        <v>3.5999999999999996</v>
      </c>
      <c r="C16" s="377"/>
      <c r="D16" s="378"/>
      <c r="E16" s="85"/>
      <c r="F16" s="327"/>
    </row>
    <row r="17" spans="1:5" ht="15" customHeight="1" x14ac:dyDescent="0.2">
      <c r="A17" s="31" t="s">
        <v>50</v>
      </c>
      <c r="B17" s="1">
        <f>'DEM (Evaluability)'!G24</f>
        <v>3</v>
      </c>
      <c r="C17" s="377"/>
      <c r="D17" s="378"/>
      <c r="E17" s="85"/>
    </row>
    <row r="18" spans="1:5" ht="15" customHeight="1" x14ac:dyDescent="0.2">
      <c r="A18" s="343" t="s">
        <v>51</v>
      </c>
      <c r="B18" s="379">
        <f>'DEM (Evaluability)'!G38</f>
        <v>9</v>
      </c>
      <c r="C18" s="380"/>
      <c r="D18" s="381"/>
      <c r="E18" s="327">
        <f>IF(B18&gt;=5,1,0)</f>
        <v>1</v>
      </c>
    </row>
    <row r="19" spans="1:5" ht="30" x14ac:dyDescent="0.2">
      <c r="A19" s="31" t="s">
        <v>52</v>
      </c>
      <c r="B19" s="1">
        <f>IF('DEM (Evaluability)'!H41=1,'DEM (Evaluability)'!G42,IF('DEM (Evaluability)'!H41=2,'DEM (Evaluability)'!G49,0))</f>
        <v>3</v>
      </c>
      <c r="C19" s="377"/>
      <c r="D19" s="378"/>
      <c r="E19" s="327"/>
    </row>
    <row r="20" spans="1:5" ht="15" customHeight="1" x14ac:dyDescent="0.2">
      <c r="A20" s="31" t="s">
        <v>53</v>
      </c>
      <c r="B20" s="1">
        <f>IF('DEM (Evaluability)'!H41=1,'DEM (Evaluability)'!G43,IF('DEM (Evaluability)'!H41=2,('DEM (Evaluability)'!G50)))</f>
        <v>3</v>
      </c>
      <c r="C20" s="377"/>
      <c r="D20" s="378"/>
      <c r="E20" s="327"/>
    </row>
    <row r="21" spans="1:5" ht="15" customHeight="1" x14ac:dyDescent="0.2">
      <c r="A21" s="31" t="s">
        <v>54</v>
      </c>
      <c r="B21" s="1">
        <f>IF('DEM (Evaluability)'!H41=1,'DEM (Evaluability)'!G44,IF('DEM (Evaluability)'!H41=2,'DEM (Evaluability)'!G51))</f>
        <v>1</v>
      </c>
      <c r="C21" s="377"/>
      <c r="D21" s="378"/>
      <c r="E21" s="327"/>
    </row>
    <row r="22" spans="1:5" ht="15" customHeight="1" x14ac:dyDescent="0.2">
      <c r="A22" s="31" t="s">
        <v>55</v>
      </c>
      <c r="B22" s="1">
        <f>IF('DEM (Evaluability)'!H41=1,'DEM (Evaluability)'!G45,IF('DEM (Evaluability)'!H41=2,'DEM (Evaluability)'!G52))</f>
        <v>2</v>
      </c>
      <c r="C22" s="377"/>
      <c r="D22" s="378"/>
      <c r="E22" s="327"/>
    </row>
    <row r="23" spans="1:5" ht="15" customHeight="1" x14ac:dyDescent="0.2">
      <c r="A23" s="31" t="s">
        <v>56</v>
      </c>
      <c r="B23" s="1">
        <f>IF('DEM (Evaluability)'!H41=1,'DEM (Evaluability)'!G46,IF('DEM (Evaluability)'!H41=2,'DEM (Evaluability)'!G53))</f>
        <v>0</v>
      </c>
      <c r="C23" s="377"/>
      <c r="D23" s="378"/>
      <c r="E23" s="327"/>
    </row>
    <row r="24" spans="1:5" ht="15" customHeight="1" x14ac:dyDescent="0.2">
      <c r="A24" s="343" t="s">
        <v>57</v>
      </c>
      <c r="B24" s="379">
        <f>'DEM (Evaluability)'!G54</f>
        <v>8.4499999999999993</v>
      </c>
      <c r="C24" s="380"/>
      <c r="D24" s="381"/>
      <c r="E24" s="327">
        <f>IF(B24&gt;=5,1,0)</f>
        <v>1</v>
      </c>
    </row>
    <row r="25" spans="1:5" ht="15" customHeight="1" x14ac:dyDescent="0.2">
      <c r="A25" s="31" t="s">
        <v>58</v>
      </c>
      <c r="B25" s="1">
        <f>'DEM (Evaluability)'!G55</f>
        <v>2.5</v>
      </c>
      <c r="C25" s="377"/>
      <c r="D25" s="378"/>
      <c r="E25" s="327"/>
    </row>
    <row r="26" spans="1:5" ht="15" customHeight="1" x14ac:dyDescent="0.2">
      <c r="A26" s="31" t="s">
        <v>59</v>
      </c>
      <c r="B26" s="1">
        <f>'DEM (Evaluability)'!G61</f>
        <v>5.95</v>
      </c>
      <c r="C26" s="377"/>
      <c r="D26" s="378"/>
      <c r="E26" s="327"/>
    </row>
    <row r="27" spans="1:5" ht="19.5" customHeight="1" x14ac:dyDescent="0.2">
      <c r="A27" s="386" t="s">
        <v>60</v>
      </c>
      <c r="B27" s="387"/>
      <c r="C27" s="387"/>
      <c r="D27" s="388"/>
      <c r="E27" s="327"/>
    </row>
    <row r="28" spans="1:5" ht="15" customHeight="1" x14ac:dyDescent="0.2">
      <c r="A28" s="355" t="s">
        <v>61</v>
      </c>
      <c r="B28" s="402" t="str">
        <f>IF('Summary (I, II, III) '!B28:D28="LOW","Bajo",IF('Summary (I, II, III) '!B28:D28="MEDIUM","Medio",IF('Summary (I, II, III) '!B28:D28="HIGH","Alto","Specify risk rate on risk tab")))</f>
        <v>Medio</v>
      </c>
      <c r="C28" s="402"/>
      <c r="D28" s="403"/>
      <c r="E28" s="327"/>
    </row>
    <row r="29" spans="1:5" ht="15" x14ac:dyDescent="0.2">
      <c r="A29" s="52" t="s">
        <v>62</v>
      </c>
      <c r="B29" s="408" t="str">
        <f>IF(AND('DEM ( Risk)'!D15="yes", 'DEM ( Risk)'!D16="yes"), "Sí", "")</f>
        <v>Sí</v>
      </c>
      <c r="C29" s="420"/>
      <c r="D29" s="421"/>
      <c r="E29" s="327"/>
    </row>
    <row r="30" spans="1:5" ht="30" x14ac:dyDescent="0.2">
      <c r="A30" s="52" t="s">
        <v>63</v>
      </c>
      <c r="B30" s="408" t="str">
        <f>IF('DEM ( Risk)'!D18="yes", "Sí", "")</f>
        <v>Sí</v>
      </c>
      <c r="C30" s="420"/>
      <c r="D30" s="421"/>
      <c r="E30" s="327"/>
    </row>
    <row r="31" spans="1:5" ht="30" x14ac:dyDescent="0.2">
      <c r="A31" s="52" t="s">
        <v>64</v>
      </c>
      <c r="B31" s="408" t="str">
        <f>IF('DEM ( Risk)'!D19="yes", "Sí", "")</f>
        <v>Sí</v>
      </c>
      <c r="C31" s="420"/>
      <c r="D31" s="421"/>
      <c r="E31" s="327"/>
    </row>
    <row r="32" spans="1:5" ht="15" customHeight="1" x14ac:dyDescent="0.2">
      <c r="A32" s="355" t="s">
        <v>65</v>
      </c>
      <c r="B32" s="402" t="str">
        <f>'Summary (I, II, III) '!B32:D32</f>
        <v>B</v>
      </c>
      <c r="C32" s="402"/>
      <c r="D32" s="403"/>
      <c r="E32" s="327"/>
    </row>
    <row r="33" spans="1:4" ht="19.5" customHeight="1" x14ac:dyDescent="0.2">
      <c r="A33" s="435" t="s">
        <v>66</v>
      </c>
      <c r="B33" s="436"/>
      <c r="C33" s="436"/>
      <c r="D33" s="437"/>
    </row>
    <row r="34" spans="1:4" ht="15.75" customHeight="1" x14ac:dyDescent="0.2">
      <c r="A34" s="31" t="s">
        <v>67</v>
      </c>
      <c r="B34" s="356"/>
      <c r="C34" s="427"/>
      <c r="D34" s="428"/>
    </row>
    <row r="35" spans="1:4" ht="70.900000000000006" customHeight="1" x14ac:dyDescent="0.2">
      <c r="A35" s="357" t="s">
        <v>68</v>
      </c>
      <c r="B35" s="358" t="str">
        <f>IF('DEM (Additionality)'!E13="yes", "Sí", "")</f>
        <v>Sí</v>
      </c>
      <c r="C35" s="438" t="str">
        <f>Adicionalidad!M14</f>
        <v xml:space="preserve">Administración financiera: Presupuesto, Tesorería, Contabilidad y emisión de informes.
</v>
      </c>
      <c r="D35" s="439"/>
    </row>
    <row r="36" spans="1:4" ht="45.75" customHeight="1" x14ac:dyDescent="0.2">
      <c r="A36" s="357" t="s">
        <v>69</v>
      </c>
      <c r="B36" s="358" t="str">
        <f>IF('DEM (Additionality)'!E27="yes", "Sí", "")</f>
        <v>Sí</v>
      </c>
      <c r="C36" s="429" t="str">
        <f>Adicionalidad!L28</f>
        <v>Sistema Nacional de Planeación Estratégica.</v>
      </c>
      <c r="D36" s="430"/>
    </row>
    <row r="37" spans="1:4" ht="44.25" customHeight="1" x14ac:dyDescent="0.2">
      <c r="A37" s="31" t="s">
        <v>70</v>
      </c>
      <c r="B37" s="356"/>
      <c r="C37" s="429"/>
      <c r="D37" s="430"/>
    </row>
    <row r="38" spans="1:4" ht="80.45" customHeight="1" thickBot="1" x14ac:dyDescent="0.25">
      <c r="A38" s="31" t="s">
        <v>71</v>
      </c>
      <c r="B38" s="358" t="str">
        <f>IF('DEM (Additionality)'!E35="yes", "Sí", "")</f>
        <v/>
      </c>
      <c r="C38" s="431" t="str">
        <f>IF('DEM (Additionality)'!E35="Yes",'DEM (Additionality)'!C35,"")</f>
        <v/>
      </c>
      <c r="D38" s="432"/>
    </row>
    <row r="39" spans="1:4" s="142" customFormat="1" ht="24.75" customHeight="1" x14ac:dyDescent="0.2">
      <c r="A39" s="440" t="s">
        <v>72</v>
      </c>
      <c r="B39" s="440"/>
      <c r="C39" s="440"/>
      <c r="D39" s="440"/>
    </row>
    <row r="40" spans="1:4" ht="14.25" x14ac:dyDescent="0.2">
      <c r="A40" s="28"/>
      <c r="B40" s="359"/>
      <c r="C40" s="359"/>
      <c r="D40" s="338"/>
    </row>
    <row r="41" spans="1:4" ht="194.25" customHeight="1" x14ac:dyDescent="0.2">
      <c r="A41" s="433" t="s">
        <v>482</v>
      </c>
      <c r="B41" s="434"/>
      <c r="C41" s="434"/>
      <c r="D41" s="434"/>
    </row>
    <row r="42" spans="1:4" x14ac:dyDescent="0.2">
      <c r="A42" s="426"/>
      <c r="B42" s="426"/>
      <c r="C42" s="426"/>
      <c r="D42" s="426"/>
    </row>
  </sheetData>
  <sheetProtection algorithmName="SHA-512" hashValue="9xRVL1qbNdk4iUe+5chXYaaXoNMITevPIJTvMZ3mpUYtI+BxPW9xw61orSMN82C+3+D/irIC1D72x6xclteOfw==" saltValue="KoeQ666nFUNgRaZR7ggNDw==" spinCount="100000" sheet="1" objects="1" scenarios="1"/>
  <mergeCells count="37">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55" orientation="portrait" r:id="rId1"/>
  <headerFooter>
    <oddHeader>&amp;RAnexo I - AR-L1295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C10" zoomScale="70" zoomScaleNormal="70" workbookViewId="0">
      <selection activeCell="N19" sqref="N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86" hidden="1" customWidth="1"/>
    <col min="7" max="7" width="10.5703125" style="87" hidden="1" customWidth="1"/>
    <col min="8" max="8" width="10.85546875" style="87" hidden="1" customWidth="1"/>
    <col min="9" max="9" width="10" style="87" hidden="1" customWidth="1"/>
    <col min="10" max="10" width="20.140625" style="87" hidden="1" customWidth="1"/>
    <col min="11" max="11" width="8.7109375" style="87" hidden="1" customWidth="1"/>
    <col min="12" max="12" width="51.28515625" style="288" customWidth="1"/>
    <col min="13" max="13" width="52.140625" style="288" customWidth="1"/>
    <col min="14" max="14" width="28.7109375" style="288" customWidth="1"/>
    <col min="15" max="18" width="9.140625" style="45"/>
    <col min="19" max="16384" width="9.140625" style="2"/>
  </cols>
  <sheetData>
    <row r="2" spans="1:18" ht="18" x14ac:dyDescent="0.2">
      <c r="B2" s="443" t="s">
        <v>73</v>
      </c>
      <c r="C2" s="443"/>
      <c r="D2" s="443"/>
      <c r="E2" s="328"/>
    </row>
    <row r="3" spans="1:18" ht="20.25" customHeight="1" thickBot="1" x14ac:dyDescent="0.25">
      <c r="B3" s="444" t="s">
        <v>74</v>
      </c>
      <c r="C3" s="444"/>
      <c r="D3" s="444"/>
      <c r="E3" s="329"/>
    </row>
    <row r="4" spans="1:18" ht="18" x14ac:dyDescent="0.2">
      <c r="A4" s="445" t="s">
        <v>75</v>
      </c>
      <c r="B4" s="446"/>
      <c r="C4" s="446"/>
      <c r="D4" s="446"/>
      <c r="E4" s="447"/>
    </row>
    <row r="5" spans="1:18" ht="34.5" customHeight="1" x14ac:dyDescent="0.2">
      <c r="A5" s="20"/>
      <c r="B5" s="448" t="s">
        <v>76</v>
      </c>
      <c r="C5" s="448"/>
      <c r="D5" s="448"/>
      <c r="E5" s="449"/>
    </row>
    <row r="6" spans="1:18" ht="162.75" customHeight="1" thickBot="1" x14ac:dyDescent="0.25">
      <c r="A6" s="26"/>
      <c r="B6" s="450" t="s">
        <v>77</v>
      </c>
      <c r="C6" s="450"/>
      <c r="D6" s="450"/>
      <c r="E6" s="451"/>
    </row>
    <row r="7" spans="1:18" ht="27" customHeight="1" thickBot="1" x14ac:dyDescent="0.25">
      <c r="B7" s="320" t="s">
        <v>78</v>
      </c>
      <c r="C7" s="319"/>
      <c r="D7" s="282"/>
      <c r="E7" s="282"/>
    </row>
    <row r="8" spans="1:18" ht="15" x14ac:dyDescent="0.2">
      <c r="B8" s="35" t="s">
        <v>79</v>
      </c>
      <c r="C8" s="330" t="s">
        <v>80</v>
      </c>
      <c r="D8" s="330" t="s">
        <v>81</v>
      </c>
      <c r="E8" s="330" t="s">
        <v>81</v>
      </c>
      <c r="F8" s="201"/>
      <c r="G8" s="202"/>
      <c r="H8" s="202"/>
      <c r="I8" s="202"/>
      <c r="J8" s="202"/>
      <c r="K8" s="205"/>
      <c r="L8" s="441" t="s">
        <v>82</v>
      </c>
      <c r="M8" s="442"/>
      <c r="N8" s="442"/>
    </row>
    <row r="9" spans="1:18" s="5" customFormat="1" ht="15.75" customHeight="1" x14ac:dyDescent="0.2">
      <c r="B9" s="88" t="s">
        <v>83</v>
      </c>
      <c r="C9" s="163"/>
      <c r="D9" s="163"/>
      <c r="E9" s="163"/>
      <c r="F9" s="199"/>
      <c r="G9" s="199"/>
      <c r="H9" s="199"/>
      <c r="I9" s="199"/>
      <c r="J9" s="199"/>
      <c r="K9" s="206"/>
      <c r="L9" s="307" t="s">
        <v>84</v>
      </c>
      <c r="M9" s="308" t="s">
        <v>85</v>
      </c>
      <c r="N9" s="308" t="s">
        <v>86</v>
      </c>
      <c r="O9" s="44"/>
      <c r="P9" s="44"/>
      <c r="Q9" s="44"/>
      <c r="R9" s="44"/>
    </row>
    <row r="10" spans="1:18" s="5" customFormat="1" ht="15.75" customHeight="1" x14ac:dyDescent="0.2">
      <c r="B10" s="16" t="s">
        <v>87</v>
      </c>
      <c r="C10" s="55"/>
      <c r="D10" s="73" t="s">
        <v>88</v>
      </c>
      <c r="E10" s="73"/>
      <c r="F10" s="200"/>
      <c r="G10" s="200"/>
      <c r="H10" s="200"/>
      <c r="I10" s="200"/>
      <c r="J10" s="200"/>
      <c r="K10" s="207"/>
      <c r="L10" s="309"/>
      <c r="M10" s="310"/>
      <c r="N10" s="310"/>
      <c r="O10" s="44"/>
      <c r="P10" s="44"/>
      <c r="Q10" s="44"/>
      <c r="R10" s="44"/>
    </row>
    <row r="11" spans="1:18" s="5" customFormat="1" x14ac:dyDescent="0.2">
      <c r="B11" s="10" t="s">
        <v>89</v>
      </c>
      <c r="C11" s="161"/>
      <c r="D11" s="160"/>
      <c r="E11" s="162"/>
      <c r="F11" s="200">
        <f>IF(D11="Yes",1,0)</f>
        <v>0</v>
      </c>
      <c r="G11" s="200" t="str">
        <f>IF(F11&lt;&gt;0,B11,"")</f>
        <v/>
      </c>
      <c r="H11" s="200" t="str">
        <f>IF(G11&lt;&gt;"","-","")</f>
        <v/>
      </c>
      <c r="I11" s="200" t="str">
        <f>IF(G11&lt;&gt;"",CONCATENATE(H11,G11,CHAR(10)),"")</f>
        <v/>
      </c>
      <c r="J11" s="200" t="str">
        <f>CONCATENATE(I11,I12,I13,I15,I18,I21)</f>
        <v xml:space="preserve">-Productivity and Innovation
-Economic Integration
-Climate Change and Environmental Sustainability
</v>
      </c>
      <c r="K11" s="207"/>
      <c r="L11" s="291"/>
      <c r="M11" s="292"/>
      <c r="N11" s="292"/>
      <c r="O11" s="44"/>
      <c r="P11" s="44"/>
      <c r="Q11" s="44"/>
      <c r="R11" s="44"/>
    </row>
    <row r="12" spans="1:18" s="5" customFormat="1" ht="76.5" outlineLevel="1" x14ac:dyDescent="0.2">
      <c r="B12" s="10" t="s">
        <v>90</v>
      </c>
      <c r="C12" s="161"/>
      <c r="D12" s="336" t="s">
        <v>399</v>
      </c>
      <c r="E12" s="162"/>
      <c r="F12" s="200">
        <f t="shared" ref="F12:F13" si="0">IF(D12="Yes",1,0)</f>
        <v>1</v>
      </c>
      <c r="G12" s="200" t="str">
        <f>IF(F12&lt;&gt;0,B12,"")</f>
        <v>Productivity and Innovation</v>
      </c>
      <c r="H12" s="200" t="str">
        <f>IF(G12&lt;&gt;"","-","")</f>
        <v>-</v>
      </c>
      <c r="I12" s="200" t="str">
        <f>IF(G12&lt;&gt;"",CONCATENATE(H12,G12,CHAR(10)),"")</f>
        <v xml:space="preserve">-Productivity and Innovation
</v>
      </c>
      <c r="J12" s="200"/>
      <c r="K12" s="207"/>
      <c r="L12" s="291" t="s">
        <v>434</v>
      </c>
      <c r="M12" s="292"/>
      <c r="N12" s="291" t="s">
        <v>434</v>
      </c>
      <c r="O12" s="44"/>
      <c r="P12" s="44"/>
      <c r="Q12" s="44"/>
      <c r="R12" s="44"/>
    </row>
    <row r="13" spans="1:18" s="5" customFormat="1" ht="38.25" x14ac:dyDescent="0.2">
      <c r="B13" s="10" t="s">
        <v>91</v>
      </c>
      <c r="C13" s="161"/>
      <c r="D13" s="160" t="s">
        <v>399</v>
      </c>
      <c r="E13" s="162"/>
      <c r="F13" s="200">
        <f t="shared" si="0"/>
        <v>1</v>
      </c>
      <c r="G13" s="200" t="str">
        <f>IF(F13&lt;&gt;0,B13,"")</f>
        <v>Economic Integration</v>
      </c>
      <c r="H13" s="200" t="str">
        <f>IF(G13&lt;&gt;"","-","")</f>
        <v>-</v>
      </c>
      <c r="I13" s="200" t="str">
        <f>IF(G13&lt;&gt;"",CONCATENATE(H13,G13,CHAR(10)),"")</f>
        <v xml:space="preserve">-Economic Integration
</v>
      </c>
      <c r="J13" s="200"/>
      <c r="K13" s="207"/>
      <c r="L13" s="291" t="s">
        <v>434</v>
      </c>
      <c r="M13" s="292"/>
      <c r="N13" s="292"/>
      <c r="O13" s="44"/>
      <c r="P13" s="44"/>
      <c r="Q13" s="44"/>
      <c r="R13" s="44"/>
    </row>
    <row r="14" spans="1:18" s="5" customFormat="1" ht="15.75" customHeight="1" x14ac:dyDescent="0.2">
      <c r="B14" s="16" t="s">
        <v>92</v>
      </c>
      <c r="C14" s="55"/>
      <c r="D14" s="73" t="s">
        <v>88</v>
      </c>
      <c r="E14" s="73"/>
      <c r="F14" s="200"/>
      <c r="G14" s="200"/>
      <c r="H14" s="200"/>
      <c r="I14" s="200"/>
      <c r="J14" s="200"/>
      <c r="K14" s="207"/>
      <c r="L14" s="309"/>
      <c r="M14" s="310"/>
      <c r="N14" s="310"/>
      <c r="O14" s="44"/>
      <c r="P14" s="44"/>
      <c r="Q14" s="44"/>
      <c r="R14" s="44"/>
    </row>
    <row r="15" spans="1:18" s="5" customFormat="1" ht="15.75" customHeight="1" x14ac:dyDescent="0.2">
      <c r="B15" s="10" t="s">
        <v>93</v>
      </c>
      <c r="C15" s="9"/>
      <c r="D15" s="211" t="str">
        <f>IF(OR(D16="Yes",D17="Yes"),"Yes","")</f>
        <v/>
      </c>
      <c r="E15" s="162"/>
      <c r="F15" s="200">
        <f t="shared" ref="F15" si="1">IF(D15="Yes",1,0)</f>
        <v>0</v>
      </c>
      <c r="G15" s="200" t="str">
        <f t="shared" ref="G15" si="2">IF(F15&lt;&gt;0,B15,"")</f>
        <v/>
      </c>
      <c r="H15" s="200" t="str">
        <f t="shared" ref="H15" si="3">IF(G15&lt;&gt;"","-","")</f>
        <v/>
      </c>
      <c r="I15" s="200" t="str">
        <f t="shared" ref="I15" si="4">IF(G15&lt;&gt;"",CONCATENATE(H15,G15,CHAR(10)),"")</f>
        <v/>
      </c>
      <c r="J15" s="200"/>
      <c r="K15" s="207"/>
      <c r="L15" s="291"/>
      <c r="M15" s="292"/>
      <c r="N15" s="292"/>
      <c r="O15" s="44"/>
      <c r="P15" s="44"/>
      <c r="Q15" s="44"/>
      <c r="R15" s="44"/>
    </row>
    <row r="16" spans="1:18" s="5" customFormat="1" x14ac:dyDescent="0.2">
      <c r="B16" s="12" t="s">
        <v>94</v>
      </c>
      <c r="C16" s="210"/>
      <c r="D16" s="157"/>
      <c r="E16" s="162"/>
      <c r="F16" s="200"/>
      <c r="G16" s="200"/>
      <c r="H16" s="200"/>
      <c r="I16" s="200"/>
      <c r="J16" s="200"/>
      <c r="K16" s="207"/>
      <c r="L16" s="291"/>
      <c r="M16" s="292"/>
      <c r="N16" s="292"/>
      <c r="O16" s="44"/>
      <c r="P16" s="44"/>
      <c r="Q16" s="44"/>
      <c r="R16" s="44"/>
    </row>
    <row r="17" spans="2:18" s="5" customFormat="1" x14ac:dyDescent="0.2">
      <c r="B17" s="12" t="s">
        <v>95</v>
      </c>
      <c r="C17" s="210"/>
      <c r="D17" s="157"/>
      <c r="E17" s="162"/>
      <c r="F17" s="200"/>
      <c r="G17" s="200"/>
      <c r="H17" s="200"/>
      <c r="I17" s="200"/>
      <c r="J17" s="200"/>
      <c r="K17" s="207"/>
      <c r="L17" s="291"/>
      <c r="M17" s="292"/>
      <c r="N17" s="292"/>
      <c r="O17" s="44"/>
      <c r="P17" s="44"/>
      <c r="Q17" s="44"/>
      <c r="R17" s="44"/>
    </row>
    <row r="18" spans="2:18" s="5" customFormat="1" ht="15.75" customHeight="1" x14ac:dyDescent="0.2">
      <c r="B18" s="10" t="s">
        <v>96</v>
      </c>
      <c r="C18" s="9"/>
      <c r="D18" s="211" t="str">
        <f>IF(OR(D19="Yes",D20="Yes"),"Yes","")</f>
        <v>Yes</v>
      </c>
      <c r="E18" s="162"/>
      <c r="F18" s="200">
        <f t="shared" ref="F18:F21" si="5">IF(D18="Yes",1,0)</f>
        <v>1</v>
      </c>
      <c r="G18" s="200" t="str">
        <f t="shared" ref="G18:G21" si="6">IF(F18&lt;&gt;0,B18,"")</f>
        <v>Climate Change and Environmental Sustainability</v>
      </c>
      <c r="H18" s="200" t="str">
        <f t="shared" ref="H18:H21" si="7">IF(G18&lt;&gt;"","-","")</f>
        <v>-</v>
      </c>
      <c r="I18" s="200" t="str">
        <f t="shared" ref="I18:I21" si="8">IF(G18&lt;&gt;"",CONCATENATE(H18,G18,CHAR(10)),"")</f>
        <v xml:space="preserve">-Climate Change and Environmental Sustainability
</v>
      </c>
      <c r="J18" s="200"/>
      <c r="K18" s="207"/>
      <c r="L18" s="291"/>
      <c r="M18" s="292"/>
      <c r="N18" s="292"/>
      <c r="O18" s="44"/>
      <c r="P18" s="44"/>
      <c r="Q18" s="44"/>
      <c r="R18" s="44"/>
    </row>
    <row r="19" spans="2:18" s="5" customFormat="1" ht="51" x14ac:dyDescent="0.2">
      <c r="B19" s="12" t="s">
        <v>97</v>
      </c>
      <c r="C19" s="210"/>
      <c r="D19" s="336" t="s">
        <v>399</v>
      </c>
      <c r="E19" s="162"/>
      <c r="F19" s="200"/>
      <c r="G19" s="200"/>
      <c r="H19" s="200"/>
      <c r="I19" s="200"/>
      <c r="J19" s="200"/>
      <c r="K19" s="207"/>
      <c r="L19" s="291" t="s">
        <v>435</v>
      </c>
      <c r="M19" s="292" t="s">
        <v>485</v>
      </c>
      <c r="N19" s="376" t="s">
        <v>473</v>
      </c>
      <c r="O19" s="44"/>
      <c r="P19" s="44"/>
      <c r="Q19" s="44"/>
      <c r="R19" s="44"/>
    </row>
    <row r="20" spans="2:18" s="5" customFormat="1" ht="76.5" x14ac:dyDescent="0.2">
      <c r="B20" s="12" t="s">
        <v>98</v>
      </c>
      <c r="C20" s="210"/>
      <c r="D20" s="336" t="s">
        <v>399</v>
      </c>
      <c r="E20" s="162"/>
      <c r="F20" s="200"/>
      <c r="G20" s="200"/>
      <c r="H20" s="200"/>
      <c r="I20" s="200"/>
      <c r="J20" s="200"/>
      <c r="K20" s="207"/>
      <c r="L20" s="291" t="s">
        <v>435</v>
      </c>
      <c r="M20" s="292"/>
      <c r="N20" s="291" t="s">
        <v>434</v>
      </c>
      <c r="O20" s="44"/>
      <c r="P20" s="44"/>
      <c r="Q20" s="44"/>
      <c r="R20" s="44"/>
    </row>
    <row r="21" spans="2:18" s="5" customFormat="1" outlineLevel="1" x14ac:dyDescent="0.2">
      <c r="B21" s="10" t="s">
        <v>99</v>
      </c>
      <c r="C21" s="161"/>
      <c r="D21" s="160"/>
      <c r="E21" s="162"/>
      <c r="F21" s="200">
        <f t="shared" si="5"/>
        <v>0</v>
      </c>
      <c r="G21" s="200" t="str">
        <f t="shared" si="6"/>
        <v/>
      </c>
      <c r="H21" s="200" t="str">
        <f t="shared" si="7"/>
        <v/>
      </c>
      <c r="I21" s="200" t="str">
        <f t="shared" si="8"/>
        <v/>
      </c>
      <c r="J21" s="200"/>
      <c r="K21" s="207"/>
      <c r="L21" s="291"/>
      <c r="M21" s="292"/>
      <c r="N21" s="292"/>
      <c r="O21" s="44"/>
      <c r="P21" s="44"/>
      <c r="Q21" s="44"/>
      <c r="R21" s="44"/>
    </row>
    <row r="22" spans="2:18" s="5" customFormat="1" ht="15.75" customHeight="1" x14ac:dyDescent="0.2">
      <c r="B22" s="16" t="s">
        <v>100</v>
      </c>
      <c r="C22" s="72"/>
      <c r="D22" s="73" t="s">
        <v>101</v>
      </c>
      <c r="E22" s="73" t="s">
        <v>102</v>
      </c>
      <c r="F22" s="200"/>
      <c r="G22" s="200"/>
      <c r="H22" s="200"/>
      <c r="I22" s="200"/>
      <c r="J22" s="200"/>
      <c r="K22" s="207" t="str">
        <f>CONCATENATE(J23,J24,J25,J26,J27,J28,J29,J30,J31,J32,J33,J34,J35,J36,J37,J38,J39,J40,J41,J42,J43,J44,J45,J46,J47,J48,J49,J50,J51,J52,J53,J54,J55,J56,J57,J58,J59,J60,J61,J62,J63,J64,J65,J66,J67,J68,J69,J70,J71,J72,J73,J74,J75,J76,J77,J78)</f>
        <v xml:space="preserve">-Roads built or upgraded  (km)*
</v>
      </c>
      <c r="L22" s="309"/>
      <c r="M22" s="310"/>
      <c r="N22" s="310"/>
      <c r="O22" s="44"/>
      <c r="P22" s="44"/>
      <c r="Q22" s="44"/>
      <c r="R22" s="44"/>
    </row>
    <row r="23" spans="2:18" s="5" customFormat="1" outlineLevel="1" x14ac:dyDescent="0.2">
      <c r="B23" s="12" t="s">
        <v>103</v>
      </c>
      <c r="C23" s="43"/>
      <c r="D23" s="43"/>
      <c r="E23" s="125"/>
      <c r="F23" s="200">
        <f t="shared" ref="F23:F29" si="9">IF(D23="Yes",1,0)</f>
        <v>0</v>
      </c>
      <c r="G23" s="200" t="str">
        <f>IF(F23=1,B23,"")</f>
        <v/>
      </c>
      <c r="H23" s="200" t="str">
        <f t="shared" ref="H23:H78" si="10">IF(G23&lt;&gt;"","-","")</f>
        <v/>
      </c>
      <c r="I23" s="200" t="str">
        <f>IF(E23="Yes","*","")</f>
        <v/>
      </c>
      <c r="J23" s="200" t="str">
        <f t="shared" ref="J23:J26" si="11">IF(G23&lt;&gt;"",CONCATENATE(H23,G23,I23,CHAR(10)),"")</f>
        <v/>
      </c>
      <c r="K23" s="207"/>
      <c r="L23" s="291"/>
      <c r="M23" s="292"/>
      <c r="N23" s="292"/>
      <c r="O23" s="44"/>
      <c r="P23" s="44"/>
      <c r="Q23" s="44"/>
      <c r="R23" s="44"/>
    </row>
    <row r="24" spans="2:18" s="5" customFormat="1" outlineLevel="1" x14ac:dyDescent="0.2">
      <c r="B24" s="12" t="s">
        <v>104</v>
      </c>
      <c r="C24" s="43"/>
      <c r="D24" s="43"/>
      <c r="E24" s="125"/>
      <c r="F24" s="200">
        <f t="shared" si="9"/>
        <v>0</v>
      </c>
      <c r="G24" s="200" t="str">
        <f t="shared" ref="G24:G78" si="12">IF(F24=1,B24,"")</f>
        <v/>
      </c>
      <c r="H24" s="200" t="str">
        <f t="shared" si="10"/>
        <v/>
      </c>
      <c r="I24" s="200" t="str">
        <f t="shared" ref="I24:I78" si="13">IF(E24="Yes","*","")</f>
        <v/>
      </c>
      <c r="J24" s="200" t="str">
        <f t="shared" si="11"/>
        <v/>
      </c>
      <c r="K24" s="207"/>
      <c r="L24" s="291"/>
      <c r="M24" s="292"/>
      <c r="N24" s="292"/>
      <c r="O24" s="44"/>
      <c r="P24" s="44"/>
      <c r="Q24" s="44"/>
      <c r="R24" s="44"/>
    </row>
    <row r="25" spans="2:18" s="5" customFormat="1" outlineLevel="1" x14ac:dyDescent="0.2">
      <c r="B25" s="12" t="s">
        <v>105</v>
      </c>
      <c r="C25" s="43"/>
      <c r="D25" s="125"/>
      <c r="E25" s="43"/>
      <c r="F25" s="200">
        <f>IF(E25="Yes",1,0)</f>
        <v>0</v>
      </c>
      <c r="G25" s="200" t="str">
        <f t="shared" si="12"/>
        <v/>
      </c>
      <c r="H25" s="200" t="str">
        <f t="shared" si="10"/>
        <v/>
      </c>
      <c r="I25" s="200" t="str">
        <f t="shared" si="13"/>
        <v/>
      </c>
      <c r="J25" s="200" t="str">
        <f t="shared" si="11"/>
        <v/>
      </c>
      <c r="K25" s="207"/>
      <c r="L25" s="291"/>
      <c r="M25" s="292"/>
      <c r="N25" s="292"/>
      <c r="O25" s="44"/>
      <c r="P25" s="44"/>
      <c r="Q25" s="44"/>
      <c r="R25" s="44"/>
    </row>
    <row r="26" spans="2:18" s="5" customFormat="1" outlineLevel="1" x14ac:dyDescent="0.2">
      <c r="B26" s="12" t="s">
        <v>106</v>
      </c>
      <c r="C26" s="43"/>
      <c r="D26" s="125"/>
      <c r="E26" s="43"/>
      <c r="F26" s="200">
        <f t="shared" ref="F26:F27" si="14">IF(E26="Yes",1,0)</f>
        <v>0</v>
      </c>
      <c r="G26" s="200" t="str">
        <f t="shared" si="12"/>
        <v/>
      </c>
      <c r="H26" s="200" t="str">
        <f t="shared" si="10"/>
        <v/>
      </c>
      <c r="I26" s="200" t="str">
        <f t="shared" si="13"/>
        <v/>
      </c>
      <c r="J26" s="200" t="str">
        <f t="shared" si="11"/>
        <v/>
      </c>
      <c r="K26" s="207"/>
      <c r="L26" s="291"/>
      <c r="M26" s="292"/>
      <c r="N26" s="292"/>
      <c r="O26" s="44"/>
      <c r="P26" s="44"/>
      <c r="Q26" s="44"/>
      <c r="R26" s="44"/>
    </row>
    <row r="27" spans="2:18" s="5" customFormat="1" outlineLevel="1" x14ac:dyDescent="0.2">
      <c r="B27" s="12" t="s">
        <v>107</v>
      </c>
      <c r="C27" s="43"/>
      <c r="D27" s="125"/>
      <c r="E27" s="43"/>
      <c r="F27" s="200">
        <f t="shared" si="14"/>
        <v>0</v>
      </c>
      <c r="G27" s="200" t="str">
        <f t="shared" si="12"/>
        <v/>
      </c>
      <c r="H27" s="200" t="str">
        <f t="shared" si="10"/>
        <v/>
      </c>
      <c r="I27" s="200" t="str">
        <f t="shared" si="13"/>
        <v/>
      </c>
      <c r="J27" s="200" t="str">
        <f>IF(G27&lt;&gt;"",CONCATENATE(H27,G27,I27,CHAR(10)),"")</f>
        <v/>
      </c>
      <c r="K27" s="207"/>
      <c r="L27" s="291"/>
      <c r="M27" s="292"/>
      <c r="N27" s="292"/>
      <c r="O27" s="44"/>
      <c r="P27" s="44"/>
      <c r="Q27" s="44"/>
      <c r="R27" s="44"/>
    </row>
    <row r="28" spans="2:18" s="5" customFormat="1" outlineLevel="1" x14ac:dyDescent="0.2">
      <c r="B28" s="12" t="s">
        <v>108</v>
      </c>
      <c r="C28" s="43"/>
      <c r="D28" s="43"/>
      <c r="E28" s="125"/>
      <c r="F28" s="200">
        <f t="shared" si="9"/>
        <v>0</v>
      </c>
      <c r="G28" s="200" t="str">
        <f t="shared" si="12"/>
        <v/>
      </c>
      <c r="H28" s="200" t="str">
        <f t="shared" si="10"/>
        <v/>
      </c>
      <c r="I28" s="200" t="str">
        <f t="shared" si="13"/>
        <v/>
      </c>
      <c r="J28" s="200" t="str">
        <f t="shared" ref="J28:J78" si="15">IF(G28&lt;&gt;"",CONCATENATE(H28,G28,I28,CHAR(10)),"")</f>
        <v/>
      </c>
      <c r="K28" s="207"/>
      <c r="L28" s="291"/>
      <c r="M28" s="292"/>
      <c r="N28" s="292"/>
      <c r="O28" s="44"/>
      <c r="P28" s="44"/>
      <c r="Q28" s="44"/>
      <c r="R28" s="44"/>
    </row>
    <row r="29" spans="2:18" s="5" customFormat="1" outlineLevel="1" x14ac:dyDescent="0.2">
      <c r="B29" s="12" t="s">
        <v>109</v>
      </c>
      <c r="C29" s="43"/>
      <c r="D29" s="43"/>
      <c r="E29" s="125"/>
      <c r="F29" s="200">
        <f t="shared" si="9"/>
        <v>0</v>
      </c>
      <c r="G29" s="200" t="str">
        <f t="shared" si="12"/>
        <v/>
      </c>
      <c r="H29" s="200" t="str">
        <f t="shared" si="10"/>
        <v/>
      </c>
      <c r="I29" s="200" t="str">
        <f t="shared" si="13"/>
        <v/>
      </c>
      <c r="J29" s="200" t="str">
        <f t="shared" si="15"/>
        <v/>
      </c>
      <c r="K29" s="207"/>
      <c r="L29" s="291"/>
      <c r="M29" s="292"/>
      <c r="N29" s="292"/>
      <c r="O29" s="44"/>
      <c r="P29" s="44"/>
      <c r="Q29" s="44"/>
      <c r="R29" s="44"/>
    </row>
    <row r="30" spans="2:18" s="5" customFormat="1" outlineLevel="1" x14ac:dyDescent="0.2">
      <c r="B30" s="12" t="s">
        <v>110</v>
      </c>
      <c r="C30" s="43"/>
      <c r="D30" s="125"/>
      <c r="E30" s="43"/>
      <c r="F30" s="200">
        <f t="shared" ref="F30:F78" si="16">IF(E30="Yes",1,0)</f>
        <v>0</v>
      </c>
      <c r="G30" s="200" t="str">
        <f t="shared" si="12"/>
        <v/>
      </c>
      <c r="H30" s="200" t="str">
        <f t="shared" si="10"/>
        <v/>
      </c>
      <c r="I30" s="200" t="str">
        <f t="shared" si="13"/>
        <v/>
      </c>
      <c r="J30" s="200" t="str">
        <f t="shared" si="15"/>
        <v/>
      </c>
      <c r="K30" s="207"/>
      <c r="L30" s="291"/>
      <c r="M30" s="292"/>
      <c r="N30" s="292"/>
      <c r="O30" s="44"/>
      <c r="P30" s="44"/>
      <c r="Q30" s="44"/>
      <c r="R30" s="44"/>
    </row>
    <row r="31" spans="2:18" s="5" customFormat="1" outlineLevel="1" x14ac:dyDescent="0.2">
      <c r="B31" s="12" t="s">
        <v>111</v>
      </c>
      <c r="C31" s="43"/>
      <c r="D31" s="125"/>
      <c r="E31" s="43"/>
      <c r="F31" s="200">
        <f t="shared" si="16"/>
        <v>0</v>
      </c>
      <c r="G31" s="200" t="str">
        <f t="shared" si="12"/>
        <v/>
      </c>
      <c r="H31" s="200" t="str">
        <f t="shared" si="10"/>
        <v/>
      </c>
      <c r="I31" s="200" t="str">
        <f t="shared" si="13"/>
        <v/>
      </c>
      <c r="J31" s="200" t="str">
        <f t="shared" si="15"/>
        <v/>
      </c>
      <c r="K31" s="207"/>
      <c r="L31" s="291"/>
      <c r="M31" s="292"/>
      <c r="N31" s="292"/>
      <c r="O31" s="44"/>
      <c r="P31" s="44"/>
      <c r="Q31" s="44"/>
      <c r="R31" s="44"/>
    </row>
    <row r="32" spans="2:18" s="5" customFormat="1" outlineLevel="1" x14ac:dyDescent="0.2">
      <c r="B32" s="12" t="s">
        <v>112</v>
      </c>
      <c r="C32" s="43"/>
      <c r="D32" s="125"/>
      <c r="E32" s="43"/>
      <c r="F32" s="200">
        <f t="shared" si="16"/>
        <v>0</v>
      </c>
      <c r="G32" s="200" t="str">
        <f t="shared" si="12"/>
        <v/>
      </c>
      <c r="H32" s="200" t="str">
        <f t="shared" si="10"/>
        <v/>
      </c>
      <c r="I32" s="200" t="str">
        <f t="shared" si="13"/>
        <v/>
      </c>
      <c r="J32" s="200" t="str">
        <f t="shared" si="15"/>
        <v/>
      </c>
      <c r="K32" s="207"/>
      <c r="L32" s="291"/>
      <c r="M32" s="292"/>
      <c r="N32" s="292"/>
      <c r="O32" s="44"/>
      <c r="P32" s="44"/>
      <c r="Q32" s="44"/>
      <c r="R32" s="44"/>
    </row>
    <row r="33" spans="2:18" s="5" customFormat="1" outlineLevel="1" x14ac:dyDescent="0.2">
      <c r="B33" s="12" t="s">
        <v>113</v>
      </c>
      <c r="C33" s="43"/>
      <c r="D33" s="125"/>
      <c r="E33" s="43"/>
      <c r="F33" s="200">
        <f t="shared" si="16"/>
        <v>0</v>
      </c>
      <c r="G33" s="200" t="str">
        <f t="shared" si="12"/>
        <v/>
      </c>
      <c r="H33" s="200" t="str">
        <f t="shared" si="10"/>
        <v/>
      </c>
      <c r="I33" s="200" t="str">
        <f t="shared" si="13"/>
        <v/>
      </c>
      <c r="J33" s="200" t="str">
        <f t="shared" si="15"/>
        <v/>
      </c>
      <c r="K33" s="207"/>
      <c r="L33" s="291"/>
      <c r="M33" s="292"/>
      <c r="N33" s="292"/>
      <c r="O33" s="44"/>
      <c r="P33" s="44"/>
      <c r="Q33" s="44"/>
      <c r="R33" s="44"/>
    </row>
    <row r="34" spans="2:18" s="5" customFormat="1" outlineLevel="1" x14ac:dyDescent="0.2">
      <c r="B34" s="12" t="s">
        <v>114</v>
      </c>
      <c r="C34" s="43"/>
      <c r="D34" s="125"/>
      <c r="E34" s="43"/>
      <c r="F34" s="200">
        <f t="shared" si="16"/>
        <v>0</v>
      </c>
      <c r="G34" s="200" t="str">
        <f t="shared" si="12"/>
        <v/>
      </c>
      <c r="H34" s="200" t="str">
        <f t="shared" si="10"/>
        <v/>
      </c>
      <c r="I34" s="200" t="str">
        <f t="shared" si="13"/>
        <v/>
      </c>
      <c r="J34" s="200" t="str">
        <f t="shared" si="15"/>
        <v/>
      </c>
      <c r="K34" s="207"/>
      <c r="L34" s="291"/>
      <c r="M34" s="292"/>
      <c r="N34" s="292"/>
      <c r="O34" s="44"/>
      <c r="P34" s="44"/>
      <c r="Q34" s="44"/>
      <c r="R34" s="44"/>
    </row>
    <row r="35" spans="2:18" s="5" customFormat="1" outlineLevel="1" x14ac:dyDescent="0.2">
      <c r="B35" s="12" t="s">
        <v>115</v>
      </c>
      <c r="C35" s="43"/>
      <c r="D35" s="125"/>
      <c r="E35" s="43"/>
      <c r="F35" s="200">
        <f t="shared" si="16"/>
        <v>0</v>
      </c>
      <c r="G35" s="200" t="str">
        <f t="shared" si="12"/>
        <v/>
      </c>
      <c r="H35" s="200" t="str">
        <f t="shared" si="10"/>
        <v/>
      </c>
      <c r="I35" s="200" t="str">
        <f t="shared" si="13"/>
        <v/>
      </c>
      <c r="J35" s="200" t="str">
        <f t="shared" si="15"/>
        <v/>
      </c>
      <c r="K35" s="207"/>
      <c r="L35" s="291"/>
      <c r="M35" s="44"/>
      <c r="N35" s="292"/>
      <c r="O35" s="44"/>
      <c r="P35" s="44"/>
      <c r="Q35" s="44"/>
      <c r="R35" s="44"/>
    </row>
    <row r="36" spans="2:18" s="5" customFormat="1" outlineLevel="1" x14ac:dyDescent="0.2">
      <c r="B36" s="12" t="s">
        <v>116</v>
      </c>
      <c r="C36" s="43"/>
      <c r="D36" s="125"/>
      <c r="E36" s="43"/>
      <c r="F36" s="200">
        <f t="shared" si="16"/>
        <v>0</v>
      </c>
      <c r="G36" s="200" t="str">
        <f t="shared" si="12"/>
        <v/>
      </c>
      <c r="H36" s="200" t="str">
        <f t="shared" si="10"/>
        <v/>
      </c>
      <c r="I36" s="200" t="str">
        <f t="shared" si="13"/>
        <v/>
      </c>
      <c r="J36" s="200" t="str">
        <f t="shared" si="15"/>
        <v/>
      </c>
      <c r="K36" s="207"/>
      <c r="L36" s="291"/>
      <c r="M36" s="292"/>
      <c r="N36" s="292"/>
      <c r="O36" s="44"/>
      <c r="P36" s="44"/>
      <c r="Q36" s="44"/>
      <c r="R36" s="44"/>
    </row>
    <row r="37" spans="2:18" s="5" customFormat="1" outlineLevel="1" x14ac:dyDescent="0.2">
      <c r="B37" s="12" t="s">
        <v>117</v>
      </c>
      <c r="C37" s="43"/>
      <c r="D37" s="125"/>
      <c r="E37" s="43"/>
      <c r="F37" s="200">
        <f t="shared" si="16"/>
        <v>0</v>
      </c>
      <c r="G37" s="200" t="str">
        <f t="shared" si="12"/>
        <v/>
      </c>
      <c r="H37" s="200" t="str">
        <f t="shared" si="10"/>
        <v/>
      </c>
      <c r="I37" s="200" t="str">
        <f t="shared" si="13"/>
        <v/>
      </c>
      <c r="J37" s="200" t="str">
        <f t="shared" si="15"/>
        <v/>
      </c>
      <c r="K37" s="207"/>
      <c r="L37" s="291"/>
      <c r="M37" s="292"/>
      <c r="N37" s="292"/>
      <c r="O37" s="44"/>
      <c r="P37" s="44"/>
      <c r="Q37" s="44"/>
      <c r="R37" s="44"/>
    </row>
    <row r="38" spans="2:18" s="5" customFormat="1" outlineLevel="1" x14ac:dyDescent="0.2">
      <c r="B38" s="12" t="s">
        <v>118</v>
      </c>
      <c r="C38" s="43"/>
      <c r="D38" s="125"/>
      <c r="E38" s="43"/>
      <c r="F38" s="200">
        <f t="shared" si="16"/>
        <v>0</v>
      </c>
      <c r="G38" s="200" t="str">
        <f t="shared" si="12"/>
        <v/>
      </c>
      <c r="H38" s="200" t="str">
        <f t="shared" si="10"/>
        <v/>
      </c>
      <c r="I38" s="200" t="str">
        <f t="shared" si="13"/>
        <v/>
      </c>
      <c r="J38" s="200" t="str">
        <f t="shared" si="15"/>
        <v/>
      </c>
      <c r="K38" s="207"/>
      <c r="L38" s="291"/>
      <c r="M38" s="292"/>
      <c r="N38" s="292"/>
      <c r="O38" s="44"/>
      <c r="P38" s="44"/>
      <c r="Q38" s="44"/>
      <c r="R38" s="44"/>
    </row>
    <row r="39" spans="2:18" s="5" customFormat="1" outlineLevel="1" x14ac:dyDescent="0.2">
      <c r="B39" s="12" t="s">
        <v>119</v>
      </c>
      <c r="C39" s="43"/>
      <c r="D39" s="125"/>
      <c r="E39" s="43"/>
      <c r="F39" s="200">
        <f t="shared" si="16"/>
        <v>0</v>
      </c>
      <c r="G39" s="200" t="str">
        <f t="shared" si="12"/>
        <v/>
      </c>
      <c r="H39" s="200" t="str">
        <f t="shared" si="10"/>
        <v/>
      </c>
      <c r="I39" s="200" t="str">
        <f t="shared" si="13"/>
        <v/>
      </c>
      <c r="J39" s="200" t="str">
        <f t="shared" si="15"/>
        <v/>
      </c>
      <c r="K39" s="207"/>
      <c r="L39" s="291"/>
      <c r="M39" s="292"/>
      <c r="N39" s="292"/>
      <c r="O39" s="44"/>
      <c r="P39" s="44"/>
      <c r="Q39" s="44"/>
      <c r="R39" s="44"/>
    </row>
    <row r="40" spans="2:18" s="5" customFormat="1" outlineLevel="1" x14ac:dyDescent="0.2">
      <c r="B40" s="12" t="s">
        <v>120</v>
      </c>
      <c r="C40" s="43"/>
      <c r="D40" s="125"/>
      <c r="E40" s="43"/>
      <c r="F40" s="200">
        <f t="shared" si="16"/>
        <v>0</v>
      </c>
      <c r="G40" s="200" t="str">
        <f t="shared" si="12"/>
        <v/>
      </c>
      <c r="H40" s="200" t="str">
        <f t="shared" si="10"/>
        <v/>
      </c>
      <c r="I40" s="200" t="str">
        <f t="shared" si="13"/>
        <v/>
      </c>
      <c r="J40" s="200" t="str">
        <f t="shared" si="15"/>
        <v/>
      </c>
      <c r="K40" s="207"/>
      <c r="L40" s="291"/>
      <c r="M40" s="292"/>
      <c r="N40" s="292"/>
      <c r="O40" s="44"/>
      <c r="P40" s="44"/>
      <c r="Q40" s="44"/>
      <c r="R40" s="44"/>
    </row>
    <row r="41" spans="2:18" s="5" customFormat="1" x14ac:dyDescent="0.2">
      <c r="B41" s="12" t="s">
        <v>121</v>
      </c>
      <c r="C41" s="43"/>
      <c r="D41" s="125"/>
      <c r="E41" s="43"/>
      <c r="F41" s="200">
        <f t="shared" si="16"/>
        <v>0</v>
      </c>
      <c r="G41" s="200" t="str">
        <f t="shared" si="12"/>
        <v/>
      </c>
      <c r="H41" s="200" t="str">
        <f t="shared" si="10"/>
        <v/>
      </c>
      <c r="I41" s="200" t="str">
        <f t="shared" si="13"/>
        <v/>
      </c>
      <c r="J41" s="200" t="str">
        <f t="shared" si="15"/>
        <v/>
      </c>
      <c r="K41" s="207"/>
      <c r="L41" s="291"/>
      <c r="M41" s="292"/>
      <c r="N41" s="292"/>
      <c r="O41" s="44"/>
      <c r="P41" s="44"/>
      <c r="Q41" s="44"/>
      <c r="R41" s="44"/>
    </row>
    <row r="42" spans="2:18" s="5" customFormat="1" outlineLevel="1" x14ac:dyDescent="0.2">
      <c r="B42" s="12" t="s">
        <v>122</v>
      </c>
      <c r="C42" s="43"/>
      <c r="D42" s="125"/>
      <c r="E42" s="43"/>
      <c r="F42" s="200">
        <f t="shared" si="16"/>
        <v>0</v>
      </c>
      <c r="G42" s="200" t="str">
        <f t="shared" si="12"/>
        <v/>
      </c>
      <c r="H42" s="200" t="str">
        <f t="shared" si="10"/>
        <v/>
      </c>
      <c r="I42" s="200" t="str">
        <f t="shared" si="13"/>
        <v/>
      </c>
      <c r="J42" s="200" t="str">
        <f t="shared" si="15"/>
        <v/>
      </c>
      <c r="K42" s="207"/>
      <c r="L42" s="291"/>
      <c r="M42" s="292"/>
      <c r="N42" s="292"/>
      <c r="O42" s="44"/>
      <c r="P42" s="44"/>
      <c r="Q42" s="44"/>
      <c r="R42" s="44"/>
    </row>
    <row r="43" spans="2:18" s="5" customFormat="1" outlineLevel="1" x14ac:dyDescent="0.2">
      <c r="B43" s="12" t="s">
        <v>123</v>
      </c>
      <c r="C43" s="43"/>
      <c r="D43" s="125"/>
      <c r="E43" s="43" t="s">
        <v>399</v>
      </c>
      <c r="F43" s="200">
        <f t="shared" si="16"/>
        <v>1</v>
      </c>
      <c r="G43" s="200" t="str">
        <f t="shared" si="12"/>
        <v>Roads built or upgraded  (km)</v>
      </c>
      <c r="H43" s="200" t="str">
        <f t="shared" si="10"/>
        <v>-</v>
      </c>
      <c r="I43" s="200" t="str">
        <f t="shared" si="13"/>
        <v>*</v>
      </c>
      <c r="J43" s="200" t="str">
        <f t="shared" si="15"/>
        <v xml:space="preserve">-Roads built or upgraded  (km)*
</v>
      </c>
      <c r="K43" s="207"/>
      <c r="L43" s="291" t="s">
        <v>436</v>
      </c>
      <c r="M43" s="292"/>
      <c r="N43" s="292"/>
      <c r="O43" s="44"/>
      <c r="P43" s="44"/>
      <c r="Q43" s="44"/>
      <c r="R43" s="44"/>
    </row>
    <row r="44" spans="2:18" s="5" customFormat="1" outlineLevel="1" x14ac:dyDescent="0.2">
      <c r="B44" s="12" t="s">
        <v>124</v>
      </c>
      <c r="C44" s="43"/>
      <c r="D44" s="125"/>
      <c r="E44" s="43"/>
      <c r="F44" s="200">
        <f t="shared" si="16"/>
        <v>0</v>
      </c>
      <c r="G44" s="200" t="str">
        <f t="shared" si="12"/>
        <v/>
      </c>
      <c r="H44" s="200" t="str">
        <f t="shared" si="10"/>
        <v/>
      </c>
      <c r="I44" s="200" t="str">
        <f t="shared" si="13"/>
        <v/>
      </c>
      <c r="J44" s="200" t="str">
        <f t="shared" si="15"/>
        <v/>
      </c>
      <c r="K44" s="207"/>
      <c r="L44" s="291"/>
      <c r="M44" s="292"/>
      <c r="N44" s="292"/>
      <c r="O44" s="44"/>
      <c r="P44" s="44"/>
      <c r="Q44" s="44"/>
      <c r="R44" s="44"/>
    </row>
    <row r="45" spans="2:18" s="5" customFormat="1" outlineLevel="1" x14ac:dyDescent="0.2">
      <c r="B45" s="12" t="s">
        <v>125</v>
      </c>
      <c r="C45" s="43"/>
      <c r="D45" s="125"/>
      <c r="E45" s="43"/>
      <c r="F45" s="200">
        <f t="shared" si="16"/>
        <v>0</v>
      </c>
      <c r="G45" s="200" t="str">
        <f t="shared" si="12"/>
        <v/>
      </c>
      <c r="H45" s="200" t="str">
        <f t="shared" si="10"/>
        <v/>
      </c>
      <c r="I45" s="200" t="str">
        <f t="shared" si="13"/>
        <v/>
      </c>
      <c r="J45" s="200" t="str">
        <f t="shared" si="15"/>
        <v/>
      </c>
      <c r="K45" s="207"/>
      <c r="L45" s="291"/>
      <c r="M45" s="292"/>
      <c r="N45" s="292"/>
      <c r="O45" s="44"/>
      <c r="P45" s="44"/>
      <c r="Q45" s="44"/>
      <c r="R45" s="44"/>
    </row>
    <row r="46" spans="2:18" s="5" customFormat="1" outlineLevel="1" x14ac:dyDescent="0.2">
      <c r="B46" s="12" t="s">
        <v>126</v>
      </c>
      <c r="C46" s="43"/>
      <c r="D46" s="125"/>
      <c r="E46" s="43"/>
      <c r="F46" s="200">
        <f t="shared" si="16"/>
        <v>0</v>
      </c>
      <c r="G46" s="200" t="str">
        <f t="shared" si="12"/>
        <v/>
      </c>
      <c r="H46" s="200" t="str">
        <f t="shared" si="10"/>
        <v/>
      </c>
      <c r="I46" s="200" t="str">
        <f t="shared" si="13"/>
        <v/>
      </c>
      <c r="J46" s="200" t="str">
        <f t="shared" si="15"/>
        <v/>
      </c>
      <c r="K46" s="207"/>
      <c r="L46" s="291"/>
      <c r="M46" s="292"/>
      <c r="N46" s="292"/>
      <c r="O46" s="44"/>
      <c r="P46" s="44"/>
      <c r="Q46" s="44"/>
      <c r="R46" s="44"/>
    </row>
    <row r="47" spans="2:18" s="5" customFormat="1" ht="25.5" outlineLevel="1" x14ac:dyDescent="0.2">
      <c r="B47" s="12" t="s">
        <v>127</v>
      </c>
      <c r="C47" s="43"/>
      <c r="D47" s="125"/>
      <c r="E47" s="43"/>
      <c r="F47" s="200">
        <f t="shared" si="16"/>
        <v>0</v>
      </c>
      <c r="G47" s="200" t="str">
        <f t="shared" si="12"/>
        <v/>
      </c>
      <c r="H47" s="200" t="str">
        <f t="shared" si="10"/>
        <v/>
      </c>
      <c r="I47" s="200" t="str">
        <f t="shared" si="13"/>
        <v/>
      </c>
      <c r="J47" s="200" t="str">
        <f t="shared" si="15"/>
        <v/>
      </c>
      <c r="K47" s="207"/>
      <c r="L47" s="291"/>
      <c r="M47" s="292"/>
      <c r="N47" s="292"/>
      <c r="O47" s="44"/>
      <c r="P47" s="44"/>
      <c r="Q47" s="44"/>
      <c r="R47" s="44"/>
    </row>
    <row r="48" spans="2:18" s="5" customFormat="1" outlineLevel="1" x14ac:dyDescent="0.2">
      <c r="B48" s="16" t="s">
        <v>128</v>
      </c>
      <c r="C48" s="72"/>
      <c r="D48" s="73" t="s">
        <v>101</v>
      </c>
      <c r="E48" s="73" t="s">
        <v>102</v>
      </c>
      <c r="F48" s="200"/>
      <c r="G48" s="200"/>
      <c r="H48" s="200"/>
      <c r="I48" s="200"/>
      <c r="J48" s="200"/>
      <c r="K48" s="207" t="str">
        <f>CONCATENATE(J49,J50,J51,J52,J53,J54,J55,J56,J57,J58,J59,J60,J61,J62,J63,J64,J66,J67,J69,J70,J71,J72,J78,J79,J80,J82,J83,J84,J85,J86,J87,J88,J89,J90,J91,J92,J93,J94,J95,J96,J97,J98,J99,J100,J101,J102,J103,J104)</f>
        <v/>
      </c>
      <c r="L48" s="309"/>
      <c r="M48" s="310"/>
      <c r="N48" s="310"/>
      <c r="O48" s="44"/>
      <c r="P48" s="44"/>
      <c r="Q48" s="44"/>
      <c r="R48" s="44"/>
    </row>
    <row r="49" spans="2:18" s="5" customFormat="1" outlineLevel="1" x14ac:dyDescent="0.2">
      <c r="B49" s="12" t="s">
        <v>129</v>
      </c>
      <c r="C49" s="43"/>
      <c r="D49" s="125"/>
      <c r="E49" s="43"/>
      <c r="F49" s="200">
        <f t="shared" si="16"/>
        <v>0</v>
      </c>
      <c r="G49" s="200" t="str">
        <f t="shared" si="12"/>
        <v/>
      </c>
      <c r="H49" s="200" t="str">
        <f t="shared" si="10"/>
        <v/>
      </c>
      <c r="I49" s="200" t="str">
        <f t="shared" si="13"/>
        <v/>
      </c>
      <c r="J49" s="200" t="str">
        <f t="shared" si="15"/>
        <v/>
      </c>
      <c r="K49" s="207"/>
      <c r="L49" s="291"/>
      <c r="M49" s="292"/>
      <c r="N49" s="292"/>
      <c r="O49" s="44"/>
      <c r="P49" s="44"/>
      <c r="Q49" s="44"/>
      <c r="R49" s="44"/>
    </row>
    <row r="50" spans="2:18" s="5" customFormat="1" outlineLevel="1" x14ac:dyDescent="0.2">
      <c r="B50" s="12" t="s">
        <v>130</v>
      </c>
      <c r="C50" s="43"/>
      <c r="D50" s="125"/>
      <c r="E50" s="43"/>
      <c r="F50" s="200">
        <f t="shared" si="16"/>
        <v>0</v>
      </c>
      <c r="G50" s="200" t="str">
        <f t="shared" si="12"/>
        <v/>
      </c>
      <c r="H50" s="200" t="str">
        <f t="shared" si="10"/>
        <v/>
      </c>
      <c r="I50" s="200" t="str">
        <f t="shared" si="13"/>
        <v/>
      </c>
      <c r="J50" s="200" t="str">
        <f t="shared" si="15"/>
        <v/>
      </c>
      <c r="K50" s="207"/>
      <c r="L50" s="291"/>
      <c r="M50" s="292"/>
      <c r="N50" s="292"/>
      <c r="O50" s="44"/>
      <c r="P50" s="44"/>
      <c r="Q50" s="44"/>
      <c r="R50" s="44"/>
    </row>
    <row r="51" spans="2:18" s="5" customFormat="1" outlineLevel="1" x14ac:dyDescent="0.2">
      <c r="B51" s="12" t="s">
        <v>131</v>
      </c>
      <c r="C51" s="43"/>
      <c r="D51" s="125"/>
      <c r="E51" s="43"/>
      <c r="F51" s="200">
        <f t="shared" si="16"/>
        <v>0</v>
      </c>
      <c r="G51" s="200" t="str">
        <f t="shared" si="12"/>
        <v/>
      </c>
      <c r="H51" s="200" t="str">
        <f t="shared" si="10"/>
        <v/>
      </c>
      <c r="I51" s="200" t="str">
        <f t="shared" si="13"/>
        <v/>
      </c>
      <c r="J51" s="200" t="str">
        <f t="shared" si="15"/>
        <v/>
      </c>
      <c r="K51" s="207"/>
      <c r="L51" s="291"/>
      <c r="M51" s="292"/>
      <c r="N51" s="292"/>
      <c r="O51" s="44"/>
      <c r="P51" s="44"/>
      <c r="Q51" s="44"/>
      <c r="R51" s="44"/>
    </row>
    <row r="52" spans="2:18" s="5" customFormat="1" outlineLevel="1" x14ac:dyDescent="0.2">
      <c r="B52" s="12" t="s">
        <v>132</v>
      </c>
      <c r="C52" s="43"/>
      <c r="D52" s="125"/>
      <c r="E52" s="43"/>
      <c r="F52" s="200">
        <f t="shared" si="16"/>
        <v>0</v>
      </c>
      <c r="G52" s="200" t="str">
        <f t="shared" si="12"/>
        <v/>
      </c>
      <c r="H52" s="200" t="str">
        <f t="shared" si="10"/>
        <v/>
      </c>
      <c r="I52" s="200" t="str">
        <f t="shared" si="13"/>
        <v/>
      </c>
      <c r="J52" s="200" t="str">
        <f t="shared" si="15"/>
        <v/>
      </c>
      <c r="K52" s="207"/>
      <c r="L52" s="291"/>
      <c r="M52" s="292"/>
      <c r="N52" s="292"/>
      <c r="O52" s="44"/>
      <c r="P52" s="44"/>
      <c r="Q52" s="44"/>
      <c r="R52" s="44"/>
    </row>
    <row r="53" spans="2:18" s="5" customFormat="1" outlineLevel="1" x14ac:dyDescent="0.2">
      <c r="B53" s="12" t="s">
        <v>133</v>
      </c>
      <c r="C53" s="43"/>
      <c r="D53" s="125"/>
      <c r="E53" s="43"/>
      <c r="F53" s="200">
        <f t="shared" si="16"/>
        <v>0</v>
      </c>
      <c r="G53" s="200" t="str">
        <f t="shared" si="12"/>
        <v/>
      </c>
      <c r="H53" s="200" t="str">
        <f t="shared" si="10"/>
        <v/>
      </c>
      <c r="I53" s="200" t="str">
        <f t="shared" si="13"/>
        <v/>
      </c>
      <c r="J53" s="200" t="str">
        <f t="shared" si="15"/>
        <v/>
      </c>
      <c r="K53" s="207"/>
      <c r="L53" s="291"/>
      <c r="M53" s="292"/>
      <c r="N53" s="292"/>
      <c r="O53" s="44"/>
      <c r="P53" s="44"/>
      <c r="Q53" s="44"/>
      <c r="R53" s="44"/>
    </row>
    <row r="54" spans="2:18" s="5" customFormat="1" outlineLevel="1" x14ac:dyDescent="0.2">
      <c r="B54" s="12" t="s">
        <v>134</v>
      </c>
      <c r="C54" s="43"/>
      <c r="D54" s="125"/>
      <c r="E54" s="43"/>
      <c r="F54" s="200">
        <f t="shared" si="16"/>
        <v>0</v>
      </c>
      <c r="G54" s="200" t="str">
        <f t="shared" si="12"/>
        <v/>
      </c>
      <c r="H54" s="200" t="str">
        <f t="shared" si="10"/>
        <v/>
      </c>
      <c r="I54" s="200" t="str">
        <f t="shared" si="13"/>
        <v/>
      </c>
      <c r="J54" s="200" t="str">
        <f t="shared" si="15"/>
        <v/>
      </c>
      <c r="K54" s="207"/>
      <c r="L54" s="291"/>
      <c r="M54" s="292"/>
      <c r="N54" s="292"/>
      <c r="O54" s="44"/>
      <c r="P54" s="44"/>
      <c r="Q54" s="44"/>
      <c r="R54" s="44"/>
    </row>
    <row r="55" spans="2:18" s="5" customFormat="1" outlineLevel="1" x14ac:dyDescent="0.2">
      <c r="B55" s="12" t="s">
        <v>135</v>
      </c>
      <c r="C55" s="43"/>
      <c r="D55" s="125"/>
      <c r="E55" s="43"/>
      <c r="F55" s="200">
        <f t="shared" si="16"/>
        <v>0</v>
      </c>
      <c r="G55" s="200" t="str">
        <f t="shared" si="12"/>
        <v/>
      </c>
      <c r="H55" s="200" t="str">
        <f t="shared" si="10"/>
        <v/>
      </c>
      <c r="I55" s="200" t="str">
        <f t="shared" si="13"/>
        <v/>
      </c>
      <c r="J55" s="200" t="str">
        <f t="shared" si="15"/>
        <v/>
      </c>
      <c r="K55" s="207"/>
      <c r="L55" s="291"/>
      <c r="M55" s="292"/>
      <c r="N55" s="292"/>
      <c r="O55" s="44"/>
      <c r="P55" s="44"/>
      <c r="Q55" s="44"/>
      <c r="R55" s="44"/>
    </row>
    <row r="56" spans="2:18" s="5" customFormat="1" outlineLevel="1" x14ac:dyDescent="0.2">
      <c r="B56" s="12" t="s">
        <v>136</v>
      </c>
      <c r="C56" s="43"/>
      <c r="D56" s="125"/>
      <c r="E56" s="43"/>
      <c r="F56" s="200">
        <f t="shared" si="16"/>
        <v>0</v>
      </c>
      <c r="G56" s="200" t="str">
        <f t="shared" si="12"/>
        <v/>
      </c>
      <c r="H56" s="200" t="str">
        <f t="shared" si="10"/>
        <v/>
      </c>
      <c r="I56" s="200" t="str">
        <f t="shared" si="13"/>
        <v/>
      </c>
      <c r="J56" s="200" t="str">
        <f t="shared" si="15"/>
        <v/>
      </c>
      <c r="K56" s="207"/>
      <c r="L56" s="291"/>
      <c r="M56" s="292"/>
      <c r="N56" s="292"/>
      <c r="O56" s="44"/>
      <c r="P56" s="44"/>
      <c r="Q56" s="44"/>
      <c r="R56" s="44"/>
    </row>
    <row r="57" spans="2:18" s="5" customFormat="1" outlineLevel="1" x14ac:dyDescent="0.2">
      <c r="B57" s="12" t="s">
        <v>137</v>
      </c>
      <c r="C57" s="43"/>
      <c r="D57" s="125"/>
      <c r="E57" s="43"/>
      <c r="F57" s="200">
        <f t="shared" si="16"/>
        <v>0</v>
      </c>
      <c r="G57" s="200" t="str">
        <f t="shared" si="12"/>
        <v/>
      </c>
      <c r="H57" s="200" t="str">
        <f t="shared" si="10"/>
        <v/>
      </c>
      <c r="I57" s="200" t="str">
        <f t="shared" si="13"/>
        <v/>
      </c>
      <c r="J57" s="200" t="str">
        <f t="shared" si="15"/>
        <v/>
      </c>
      <c r="K57" s="207"/>
      <c r="L57" s="291"/>
      <c r="M57" s="292"/>
      <c r="N57" s="292"/>
      <c r="O57" s="44"/>
      <c r="P57" s="44"/>
      <c r="Q57" s="44"/>
      <c r="R57" s="44"/>
    </row>
    <row r="58" spans="2:18" s="5" customFormat="1" outlineLevel="1" x14ac:dyDescent="0.2">
      <c r="B58" s="12" t="s">
        <v>138</v>
      </c>
      <c r="C58" s="43"/>
      <c r="D58" s="125"/>
      <c r="E58" s="43"/>
      <c r="F58" s="200">
        <f t="shared" si="16"/>
        <v>0</v>
      </c>
      <c r="G58" s="200" t="str">
        <f t="shared" si="12"/>
        <v/>
      </c>
      <c r="H58" s="200" t="str">
        <f t="shared" si="10"/>
        <v/>
      </c>
      <c r="I58" s="200" t="str">
        <f t="shared" si="13"/>
        <v/>
      </c>
      <c r="J58" s="200" t="str">
        <f t="shared" si="15"/>
        <v/>
      </c>
      <c r="K58" s="207"/>
      <c r="L58" s="291"/>
      <c r="M58" s="292"/>
      <c r="N58" s="292"/>
      <c r="O58" s="44"/>
      <c r="P58" s="44"/>
      <c r="Q58" s="44"/>
      <c r="R58" s="44"/>
    </row>
    <row r="59" spans="2:18" s="5" customFormat="1" outlineLevel="1" x14ac:dyDescent="0.2">
      <c r="B59" s="12" t="s">
        <v>139</v>
      </c>
      <c r="C59" s="43"/>
      <c r="D59" s="125"/>
      <c r="E59" s="43"/>
      <c r="F59" s="200">
        <f t="shared" si="16"/>
        <v>0</v>
      </c>
      <c r="G59" s="200" t="str">
        <f t="shared" si="12"/>
        <v/>
      </c>
      <c r="H59" s="200" t="str">
        <f t="shared" si="10"/>
        <v/>
      </c>
      <c r="I59" s="200" t="str">
        <f t="shared" si="13"/>
        <v/>
      </c>
      <c r="J59" s="200" t="str">
        <f t="shared" si="15"/>
        <v/>
      </c>
      <c r="K59" s="207"/>
      <c r="L59" s="291"/>
      <c r="M59" s="292"/>
      <c r="N59" s="292"/>
      <c r="O59" s="44"/>
      <c r="P59" s="44"/>
      <c r="Q59" s="44"/>
      <c r="R59" s="44"/>
    </row>
    <row r="60" spans="2:18" s="5" customFormat="1" outlineLevel="1" x14ac:dyDescent="0.2">
      <c r="B60" s="12" t="s">
        <v>140</v>
      </c>
      <c r="C60" s="43"/>
      <c r="D60" s="125"/>
      <c r="E60" s="43"/>
      <c r="F60" s="200">
        <f t="shared" si="16"/>
        <v>0</v>
      </c>
      <c r="G60" s="200" t="str">
        <f t="shared" si="12"/>
        <v/>
      </c>
      <c r="H60" s="200" t="str">
        <f t="shared" si="10"/>
        <v/>
      </c>
      <c r="I60" s="200" t="str">
        <f t="shared" si="13"/>
        <v/>
      </c>
      <c r="J60" s="200" t="str">
        <f t="shared" si="15"/>
        <v/>
      </c>
      <c r="K60" s="207"/>
      <c r="L60" s="291"/>
      <c r="M60" s="292"/>
      <c r="N60" s="292"/>
      <c r="O60" s="44"/>
      <c r="P60" s="44"/>
      <c r="Q60" s="44"/>
      <c r="R60" s="44"/>
    </row>
    <row r="61" spans="2:18" s="5" customFormat="1" outlineLevel="1" x14ac:dyDescent="0.2">
      <c r="B61" s="12" t="s">
        <v>141</v>
      </c>
      <c r="C61" s="43"/>
      <c r="D61" s="125"/>
      <c r="E61" s="43"/>
      <c r="F61" s="200">
        <f t="shared" si="16"/>
        <v>0</v>
      </c>
      <c r="G61" s="200" t="str">
        <f t="shared" si="12"/>
        <v/>
      </c>
      <c r="H61" s="200" t="str">
        <f t="shared" si="10"/>
        <v/>
      </c>
      <c r="I61" s="200" t="str">
        <f t="shared" si="13"/>
        <v/>
      </c>
      <c r="J61" s="200" t="str">
        <f t="shared" si="15"/>
        <v/>
      </c>
      <c r="K61" s="207"/>
      <c r="L61" s="291"/>
      <c r="M61" s="292"/>
      <c r="N61" s="292"/>
      <c r="O61" s="44"/>
      <c r="P61" s="44"/>
      <c r="Q61" s="44"/>
      <c r="R61" s="44"/>
    </row>
    <row r="62" spans="2:18" s="5" customFormat="1" outlineLevel="1" x14ac:dyDescent="0.2">
      <c r="B62" s="12" t="s">
        <v>142</v>
      </c>
      <c r="C62" s="43"/>
      <c r="D62" s="125"/>
      <c r="E62" s="43"/>
      <c r="F62" s="200">
        <f t="shared" si="16"/>
        <v>0</v>
      </c>
      <c r="G62" s="200" t="str">
        <f t="shared" si="12"/>
        <v/>
      </c>
      <c r="H62" s="200" t="str">
        <f t="shared" si="10"/>
        <v/>
      </c>
      <c r="I62" s="200" t="str">
        <f t="shared" si="13"/>
        <v/>
      </c>
      <c r="J62" s="200" t="str">
        <f t="shared" si="15"/>
        <v/>
      </c>
      <c r="K62" s="207"/>
      <c r="L62" s="291"/>
      <c r="M62" s="292"/>
      <c r="N62" s="292"/>
      <c r="O62" s="44"/>
      <c r="P62" s="44"/>
      <c r="Q62" s="44"/>
      <c r="R62" s="44"/>
    </row>
    <row r="63" spans="2:18" s="5" customFormat="1" outlineLevel="1" x14ac:dyDescent="0.2">
      <c r="B63" s="12" t="s">
        <v>143</v>
      </c>
      <c r="C63" s="43"/>
      <c r="D63" s="125"/>
      <c r="E63" s="43"/>
      <c r="F63" s="200">
        <f t="shared" si="16"/>
        <v>0</v>
      </c>
      <c r="G63" s="200" t="str">
        <f t="shared" si="12"/>
        <v/>
      </c>
      <c r="H63" s="200" t="str">
        <f t="shared" si="10"/>
        <v/>
      </c>
      <c r="I63" s="200" t="str">
        <f t="shared" si="13"/>
        <v/>
      </c>
      <c r="J63" s="200" t="str">
        <f t="shared" si="15"/>
        <v/>
      </c>
      <c r="K63" s="207"/>
      <c r="L63" s="291"/>
      <c r="M63" s="292"/>
      <c r="N63" s="292"/>
      <c r="O63" s="44"/>
      <c r="P63" s="44"/>
      <c r="Q63" s="44"/>
      <c r="R63" s="44"/>
    </row>
    <row r="64" spans="2:18" s="5" customFormat="1" ht="25.5" outlineLevel="1" x14ac:dyDescent="0.2">
      <c r="B64" s="12" t="s">
        <v>144</v>
      </c>
      <c r="C64" s="43"/>
      <c r="D64" s="125"/>
      <c r="E64" s="43"/>
      <c r="F64" s="200">
        <f t="shared" si="16"/>
        <v>0</v>
      </c>
      <c r="G64" s="200" t="str">
        <f t="shared" si="12"/>
        <v/>
      </c>
      <c r="H64" s="200" t="str">
        <f t="shared" si="10"/>
        <v/>
      </c>
      <c r="I64" s="200" t="str">
        <f t="shared" si="13"/>
        <v/>
      </c>
      <c r="J64" s="200" t="str">
        <f t="shared" si="15"/>
        <v/>
      </c>
      <c r="K64" s="207"/>
      <c r="L64" s="291"/>
      <c r="M64" s="292"/>
      <c r="N64" s="292"/>
      <c r="O64" s="44"/>
      <c r="P64" s="44"/>
      <c r="Q64" s="44"/>
      <c r="R64" s="44"/>
    </row>
    <row r="65" spans="2:18" s="5" customFormat="1" outlineLevel="1" x14ac:dyDescent="0.2">
      <c r="B65" s="12" t="s">
        <v>145</v>
      </c>
      <c r="C65" s="43"/>
      <c r="D65" s="125"/>
      <c r="E65" s="43"/>
      <c r="F65" s="200">
        <f t="shared" ref="F65" si="17">IF(E65="Yes",1,0)</f>
        <v>0</v>
      </c>
      <c r="G65" s="200" t="str">
        <f t="shared" ref="G65" si="18">IF(F65=1,B65,"")</f>
        <v/>
      </c>
      <c r="H65" s="200" t="str">
        <f t="shared" ref="H65" si="19">IF(G65&lt;&gt;"","-","")</f>
        <v/>
      </c>
      <c r="I65" s="200" t="str">
        <f t="shared" ref="I65" si="20">IF(E65="Yes","*","")</f>
        <v/>
      </c>
      <c r="J65" s="200" t="str">
        <f t="shared" ref="J65" si="21">IF(G65&lt;&gt;"",CONCATENATE(H65,G65,I65,CHAR(10)),"")</f>
        <v/>
      </c>
      <c r="K65" s="207"/>
      <c r="L65" s="291"/>
      <c r="M65" s="292"/>
      <c r="N65" s="292"/>
      <c r="O65" s="44"/>
      <c r="P65" s="44"/>
      <c r="Q65" s="44"/>
      <c r="R65" s="44"/>
    </row>
    <row r="66" spans="2:18" s="5" customFormat="1" outlineLevel="1" x14ac:dyDescent="0.2">
      <c r="B66" s="12" t="s">
        <v>146</v>
      </c>
      <c r="C66" s="43"/>
      <c r="D66" s="125"/>
      <c r="E66" s="43"/>
      <c r="F66" s="200">
        <f t="shared" si="16"/>
        <v>0</v>
      </c>
      <c r="G66" s="200" t="str">
        <f t="shared" si="12"/>
        <v/>
      </c>
      <c r="H66" s="200" t="str">
        <f t="shared" si="10"/>
        <v/>
      </c>
      <c r="I66" s="200" t="str">
        <f t="shared" si="13"/>
        <v/>
      </c>
      <c r="J66" s="200" t="str">
        <f t="shared" si="15"/>
        <v/>
      </c>
      <c r="K66" s="207"/>
      <c r="L66" s="291"/>
      <c r="M66" s="292"/>
      <c r="N66" s="292"/>
      <c r="O66" s="44"/>
      <c r="P66" s="44"/>
      <c r="Q66" s="44"/>
      <c r="R66" s="44"/>
    </row>
    <row r="67" spans="2:18" s="5" customFormat="1" ht="25.5" outlineLevel="1" x14ac:dyDescent="0.2">
      <c r="B67" s="12" t="s">
        <v>147</v>
      </c>
      <c r="C67" s="43"/>
      <c r="D67" s="125"/>
      <c r="E67" s="43"/>
      <c r="F67" s="200">
        <f t="shared" si="16"/>
        <v>0</v>
      </c>
      <c r="G67" s="200" t="str">
        <f t="shared" si="12"/>
        <v/>
      </c>
      <c r="H67" s="200" t="str">
        <f t="shared" si="10"/>
        <v/>
      </c>
      <c r="I67" s="200" t="str">
        <f t="shared" si="13"/>
        <v/>
      </c>
      <c r="J67" s="200" t="str">
        <f t="shared" si="15"/>
        <v/>
      </c>
      <c r="K67" s="207"/>
      <c r="L67" s="291"/>
      <c r="M67" s="292"/>
      <c r="N67" s="292"/>
      <c r="O67" s="44"/>
      <c r="P67" s="44"/>
      <c r="Q67" s="44"/>
      <c r="R67" s="44"/>
    </row>
    <row r="68" spans="2:18" s="5" customFormat="1" outlineLevel="1" x14ac:dyDescent="0.2">
      <c r="B68" s="12" t="s">
        <v>148</v>
      </c>
      <c r="C68" s="43"/>
      <c r="D68" s="125"/>
      <c r="E68" s="43"/>
      <c r="F68" s="200">
        <f t="shared" ref="F68" si="22">IF(E68="Yes",1,0)</f>
        <v>0</v>
      </c>
      <c r="G68" s="200" t="str">
        <f t="shared" ref="G68" si="23">IF(F68=1,B68,"")</f>
        <v/>
      </c>
      <c r="H68" s="200" t="str">
        <f t="shared" ref="H68" si="24">IF(G68&lt;&gt;"","-","")</f>
        <v/>
      </c>
      <c r="I68" s="200" t="str">
        <f t="shared" ref="I68" si="25">IF(E68="Yes","*","")</f>
        <v/>
      </c>
      <c r="J68" s="200" t="str">
        <f t="shared" ref="J68" si="26">IF(G68&lt;&gt;"",CONCATENATE(H68,G68,I68,CHAR(10)),"")</f>
        <v/>
      </c>
      <c r="K68" s="207"/>
      <c r="L68" s="291"/>
      <c r="M68" s="292"/>
      <c r="N68" s="292"/>
      <c r="O68" s="44"/>
      <c r="P68" s="44"/>
      <c r="Q68" s="44"/>
      <c r="R68" s="44"/>
    </row>
    <row r="69" spans="2:18" s="5" customFormat="1" outlineLevel="1" x14ac:dyDescent="0.2">
      <c r="B69" s="12" t="s">
        <v>149</v>
      </c>
      <c r="C69" s="43"/>
      <c r="D69" s="125"/>
      <c r="E69" s="43"/>
      <c r="F69" s="200">
        <f t="shared" si="16"/>
        <v>0</v>
      </c>
      <c r="G69" s="200" t="str">
        <f t="shared" si="12"/>
        <v/>
      </c>
      <c r="H69" s="200" t="str">
        <f t="shared" si="10"/>
        <v/>
      </c>
      <c r="I69" s="200" t="str">
        <f t="shared" si="13"/>
        <v/>
      </c>
      <c r="J69" s="200" t="str">
        <f t="shared" si="15"/>
        <v/>
      </c>
      <c r="K69" s="207"/>
      <c r="L69" s="291"/>
      <c r="M69" s="292"/>
      <c r="N69" s="292"/>
      <c r="O69" s="44"/>
      <c r="P69" s="44"/>
      <c r="Q69" s="44"/>
      <c r="R69" s="44"/>
    </row>
    <row r="70" spans="2:18" s="5" customFormat="1" outlineLevel="1" x14ac:dyDescent="0.2">
      <c r="B70" s="12" t="s">
        <v>150</v>
      </c>
      <c r="C70" s="43"/>
      <c r="D70" s="125"/>
      <c r="E70" s="43"/>
      <c r="F70" s="200">
        <f t="shared" si="16"/>
        <v>0</v>
      </c>
      <c r="G70" s="200" t="str">
        <f t="shared" si="12"/>
        <v/>
      </c>
      <c r="H70" s="200" t="str">
        <f t="shared" si="10"/>
        <v/>
      </c>
      <c r="I70" s="200" t="str">
        <f t="shared" si="13"/>
        <v/>
      </c>
      <c r="J70" s="200" t="str">
        <f t="shared" si="15"/>
        <v/>
      </c>
      <c r="K70" s="207"/>
      <c r="L70" s="291"/>
      <c r="M70" s="292"/>
      <c r="N70" s="292"/>
      <c r="O70" s="44"/>
      <c r="P70" s="44"/>
      <c r="Q70" s="44"/>
      <c r="R70" s="44"/>
    </row>
    <row r="71" spans="2:18" s="5" customFormat="1" outlineLevel="1" x14ac:dyDescent="0.2">
      <c r="B71" s="12" t="s">
        <v>151</v>
      </c>
      <c r="C71" s="43"/>
      <c r="D71" s="125"/>
      <c r="E71" s="43"/>
      <c r="F71" s="200">
        <f t="shared" si="16"/>
        <v>0</v>
      </c>
      <c r="G71" s="200" t="str">
        <f t="shared" si="12"/>
        <v/>
      </c>
      <c r="H71" s="200" t="str">
        <f t="shared" si="10"/>
        <v/>
      </c>
      <c r="I71" s="200" t="str">
        <f t="shared" si="13"/>
        <v/>
      </c>
      <c r="J71" s="200" t="str">
        <f t="shared" si="15"/>
        <v/>
      </c>
      <c r="K71" s="207"/>
      <c r="L71" s="291"/>
      <c r="M71" s="292"/>
      <c r="N71" s="292"/>
      <c r="O71" s="44"/>
      <c r="P71" s="44"/>
      <c r="Q71" s="44"/>
      <c r="R71" s="44"/>
    </row>
    <row r="72" spans="2:18" s="5" customFormat="1" outlineLevel="1" x14ac:dyDescent="0.2">
      <c r="B72" s="12" t="s">
        <v>152</v>
      </c>
      <c r="C72" s="43"/>
      <c r="D72" s="125"/>
      <c r="E72" s="43"/>
      <c r="F72" s="200">
        <f t="shared" si="16"/>
        <v>0</v>
      </c>
      <c r="G72" s="200" t="str">
        <f t="shared" si="12"/>
        <v/>
      </c>
      <c r="H72" s="200" t="str">
        <f t="shared" si="10"/>
        <v/>
      </c>
      <c r="I72" s="200" t="str">
        <f t="shared" si="13"/>
        <v/>
      </c>
      <c r="J72" s="200" t="str">
        <f t="shared" si="15"/>
        <v/>
      </c>
      <c r="K72" s="207"/>
      <c r="L72" s="291"/>
      <c r="M72" s="292"/>
      <c r="N72" s="292"/>
      <c r="O72" s="44"/>
      <c r="P72" s="44"/>
      <c r="Q72" s="44"/>
      <c r="R72" s="44"/>
    </row>
    <row r="73" spans="2:18" s="5" customFormat="1" outlineLevel="1" x14ac:dyDescent="0.2">
      <c r="B73" s="12" t="s">
        <v>153</v>
      </c>
      <c r="C73" s="43"/>
      <c r="D73" s="125"/>
      <c r="E73" s="43"/>
      <c r="F73" s="200">
        <f t="shared" ref="F73:F77" si="27">IF(E73="Yes",1,0)</f>
        <v>0</v>
      </c>
      <c r="G73" s="200" t="str">
        <f t="shared" ref="G73:G77" si="28">IF(F73=1,B73,"")</f>
        <v/>
      </c>
      <c r="H73" s="200" t="str">
        <f t="shared" ref="H73:H77" si="29">IF(G73&lt;&gt;"","-","")</f>
        <v/>
      </c>
      <c r="I73" s="200" t="str">
        <f t="shared" ref="I73:I77" si="30">IF(E73="Yes","*","")</f>
        <v/>
      </c>
      <c r="J73" s="200" t="str">
        <f t="shared" ref="J73:J77" si="31">IF(G73&lt;&gt;"",CONCATENATE(H73,G73,I73,CHAR(10)),"")</f>
        <v/>
      </c>
      <c r="K73" s="207"/>
      <c r="L73" s="291"/>
      <c r="M73" s="292"/>
      <c r="N73" s="292"/>
      <c r="O73" s="44"/>
      <c r="P73" s="44"/>
      <c r="Q73" s="44"/>
      <c r="R73" s="44"/>
    </row>
    <row r="74" spans="2:18" s="5" customFormat="1" outlineLevel="1" x14ac:dyDescent="0.2">
      <c r="B74" s="12" t="s">
        <v>154</v>
      </c>
      <c r="C74" s="43"/>
      <c r="D74" s="125"/>
      <c r="E74" s="43"/>
      <c r="F74" s="200">
        <f t="shared" si="27"/>
        <v>0</v>
      </c>
      <c r="G74" s="200" t="str">
        <f t="shared" si="28"/>
        <v/>
      </c>
      <c r="H74" s="200" t="str">
        <f t="shared" si="29"/>
        <v/>
      </c>
      <c r="I74" s="200" t="str">
        <f t="shared" si="30"/>
        <v/>
      </c>
      <c r="J74" s="200" t="str">
        <f t="shared" si="31"/>
        <v/>
      </c>
      <c r="K74" s="207"/>
      <c r="L74" s="291"/>
      <c r="M74" s="292"/>
      <c r="N74" s="292"/>
      <c r="O74" s="44"/>
      <c r="P74" s="44"/>
      <c r="Q74" s="44"/>
      <c r="R74" s="44"/>
    </row>
    <row r="75" spans="2:18" s="5" customFormat="1" outlineLevel="1" x14ac:dyDescent="0.2">
      <c r="B75" s="12" t="s">
        <v>155</v>
      </c>
      <c r="C75" s="43"/>
      <c r="D75" s="125"/>
      <c r="E75" s="43"/>
      <c r="F75" s="200">
        <f t="shared" si="27"/>
        <v>0</v>
      </c>
      <c r="G75" s="200" t="str">
        <f t="shared" si="28"/>
        <v/>
      </c>
      <c r="H75" s="200" t="str">
        <f t="shared" si="29"/>
        <v/>
      </c>
      <c r="I75" s="200" t="str">
        <f t="shared" si="30"/>
        <v/>
      </c>
      <c r="J75" s="200" t="str">
        <f t="shared" si="31"/>
        <v/>
      </c>
      <c r="K75" s="207"/>
      <c r="L75" s="291"/>
      <c r="M75" s="292"/>
      <c r="N75" s="292"/>
      <c r="O75" s="44"/>
      <c r="P75" s="44"/>
      <c r="Q75" s="44"/>
      <c r="R75" s="44"/>
    </row>
    <row r="76" spans="2:18" s="5" customFormat="1" outlineLevel="1" x14ac:dyDescent="0.2">
      <c r="B76" s="12" t="s">
        <v>156</v>
      </c>
      <c r="C76" s="43"/>
      <c r="D76" s="125"/>
      <c r="E76" s="43"/>
      <c r="F76" s="200">
        <f t="shared" si="27"/>
        <v>0</v>
      </c>
      <c r="G76" s="200" t="str">
        <f t="shared" si="28"/>
        <v/>
      </c>
      <c r="H76" s="200" t="str">
        <f t="shared" si="29"/>
        <v/>
      </c>
      <c r="I76" s="200" t="str">
        <f t="shared" si="30"/>
        <v/>
      </c>
      <c r="J76" s="200" t="str">
        <f t="shared" si="31"/>
        <v/>
      </c>
      <c r="K76" s="207"/>
      <c r="L76" s="291"/>
      <c r="M76" s="292"/>
      <c r="N76" s="292"/>
      <c r="O76" s="44"/>
      <c r="P76" s="44"/>
      <c r="Q76" s="44"/>
      <c r="R76" s="44"/>
    </row>
    <row r="77" spans="2:18" s="5" customFormat="1" outlineLevel="1" x14ac:dyDescent="0.2">
      <c r="B77" s="12" t="s">
        <v>157</v>
      </c>
      <c r="C77" s="43"/>
      <c r="D77" s="125"/>
      <c r="E77" s="43"/>
      <c r="F77" s="200">
        <f t="shared" si="27"/>
        <v>0</v>
      </c>
      <c r="G77" s="200" t="str">
        <f t="shared" si="28"/>
        <v/>
      </c>
      <c r="H77" s="200" t="str">
        <f t="shared" si="29"/>
        <v/>
      </c>
      <c r="I77" s="200" t="str">
        <f t="shared" si="30"/>
        <v/>
      </c>
      <c r="J77" s="200" t="str">
        <f t="shared" si="31"/>
        <v/>
      </c>
      <c r="K77" s="207"/>
      <c r="L77" s="291"/>
      <c r="M77" s="292"/>
      <c r="N77" s="292"/>
      <c r="O77" s="44"/>
      <c r="P77" s="44"/>
      <c r="Q77" s="44"/>
      <c r="R77" s="44"/>
    </row>
    <row r="78" spans="2:18" s="5" customFormat="1" ht="13.5" outlineLevel="1" thickBot="1" x14ac:dyDescent="0.25">
      <c r="B78" s="83" t="s">
        <v>158</v>
      </c>
      <c r="C78" s="189"/>
      <c r="D78" s="190"/>
      <c r="E78" s="189"/>
      <c r="F78" s="204">
        <f t="shared" si="16"/>
        <v>0</v>
      </c>
      <c r="G78" s="204" t="str">
        <f t="shared" si="12"/>
        <v/>
      </c>
      <c r="H78" s="204" t="str">
        <f t="shared" si="10"/>
        <v/>
      </c>
      <c r="I78" s="204" t="str">
        <f t="shared" si="13"/>
        <v/>
      </c>
      <c r="J78" s="204" t="str">
        <f t="shared" si="15"/>
        <v/>
      </c>
      <c r="K78" s="208"/>
      <c r="L78" s="311"/>
      <c r="M78" s="292"/>
      <c r="N78" s="312"/>
      <c r="O78" s="44"/>
      <c r="P78" s="44"/>
      <c r="Q78" s="44"/>
      <c r="R78" s="44"/>
    </row>
    <row r="79" spans="2:18" ht="15.75" customHeight="1" thickBot="1" x14ac:dyDescent="0.25">
      <c r="B79" s="19"/>
      <c r="C79" s="3"/>
      <c r="D79" s="331"/>
      <c r="E79" s="331"/>
      <c r="F79" s="187"/>
      <c r="G79" s="188"/>
      <c r="H79" s="188"/>
      <c r="I79" s="188"/>
      <c r="J79" s="188"/>
      <c r="K79" s="188"/>
      <c r="L79" s="313"/>
      <c r="M79" s="313"/>
      <c r="N79" s="313"/>
    </row>
    <row r="80" spans="2:18" ht="15.75" customHeight="1" x14ac:dyDescent="0.2">
      <c r="B80" s="15" t="s">
        <v>159</v>
      </c>
      <c r="C80" s="74"/>
      <c r="D80" s="75"/>
      <c r="E80" s="75"/>
      <c r="F80" s="191"/>
      <c r="G80" s="192"/>
      <c r="H80" s="192"/>
      <c r="I80" s="192"/>
      <c r="J80" s="192"/>
      <c r="K80" s="192"/>
      <c r="L80" s="314"/>
      <c r="M80" s="315"/>
      <c r="N80" s="315"/>
    </row>
    <row r="81" spans="1:18" s="5" customFormat="1" ht="15.75" customHeight="1" x14ac:dyDescent="0.2">
      <c r="A81" s="2"/>
      <c r="B81" s="16" t="s">
        <v>160</v>
      </c>
      <c r="C81" s="13"/>
      <c r="D81" s="64"/>
      <c r="E81" s="64"/>
      <c r="F81" s="187"/>
      <c r="G81" s="188"/>
      <c r="H81" s="188"/>
      <c r="I81" s="188"/>
      <c r="J81" s="188"/>
      <c r="K81" s="188"/>
      <c r="L81" s="309"/>
      <c r="M81" s="310"/>
      <c r="N81" s="310"/>
      <c r="O81" s="44"/>
      <c r="P81" s="44"/>
      <c r="Q81" s="44"/>
      <c r="R81" s="44"/>
    </row>
    <row r="82" spans="1:18" s="5" customFormat="1" x14ac:dyDescent="0.2">
      <c r="B82" s="11" t="s">
        <v>161</v>
      </c>
      <c r="C82" s="318" t="s">
        <v>417</v>
      </c>
      <c r="D82" s="65" t="s">
        <v>399</v>
      </c>
      <c r="E82" s="125"/>
      <c r="F82" s="187"/>
      <c r="G82" s="188"/>
      <c r="H82" s="188"/>
      <c r="I82" s="188"/>
      <c r="J82" s="188"/>
      <c r="K82" s="188"/>
      <c r="L82" s="293" t="s">
        <v>436</v>
      </c>
      <c r="M82" s="294"/>
      <c r="N82" s="292"/>
      <c r="O82" s="44"/>
      <c r="P82" s="44"/>
      <c r="Q82" s="44"/>
      <c r="R82" s="44"/>
    </row>
    <row r="83" spans="1:18" s="5" customFormat="1" ht="38.25" x14ac:dyDescent="0.2">
      <c r="B83" s="11" t="s">
        <v>163</v>
      </c>
      <c r="C83" s="318" t="s">
        <v>418</v>
      </c>
      <c r="D83" s="336" t="s">
        <v>399</v>
      </c>
      <c r="E83" s="125"/>
      <c r="F83" s="187"/>
      <c r="G83" s="188"/>
      <c r="H83" s="188"/>
      <c r="I83" s="188"/>
      <c r="J83" s="188"/>
      <c r="K83" s="188"/>
      <c r="L83" s="293" t="s">
        <v>437</v>
      </c>
      <c r="M83" s="294" t="s">
        <v>468</v>
      </c>
      <c r="N83" s="292" t="s">
        <v>481</v>
      </c>
      <c r="O83" s="44"/>
      <c r="P83" s="44"/>
      <c r="Q83" s="44"/>
      <c r="R83" s="44"/>
    </row>
    <row r="84" spans="1:18" s="5" customFormat="1" ht="24" customHeight="1" x14ac:dyDescent="0.2">
      <c r="A84" s="2"/>
      <c r="B84" s="76" t="s">
        <v>165</v>
      </c>
      <c r="C84" s="13"/>
      <c r="D84" s="64"/>
      <c r="E84" s="64"/>
      <c r="F84" s="187"/>
      <c r="G84" s="188"/>
      <c r="H84" s="188"/>
      <c r="I84" s="188"/>
      <c r="J84" s="188"/>
      <c r="K84" s="188"/>
      <c r="L84" s="309"/>
      <c r="M84" s="310"/>
      <c r="N84" s="310"/>
      <c r="O84" s="44"/>
      <c r="P84" s="44"/>
      <c r="Q84" s="44"/>
      <c r="R84" s="44"/>
    </row>
    <row r="85" spans="1:18" s="5" customFormat="1" ht="25.5" x14ac:dyDescent="0.2">
      <c r="A85" s="2"/>
      <c r="B85" s="14" t="s">
        <v>166</v>
      </c>
      <c r="C85" s="42" t="s">
        <v>433</v>
      </c>
      <c r="D85" s="65" t="s">
        <v>399</v>
      </c>
      <c r="E85" s="125"/>
      <c r="F85" s="187"/>
      <c r="G85" s="188"/>
      <c r="H85" s="188"/>
      <c r="I85" s="188"/>
      <c r="J85" s="188"/>
      <c r="K85" s="188"/>
      <c r="L85" s="293" t="s">
        <v>438</v>
      </c>
      <c r="M85" s="294"/>
      <c r="N85" s="292"/>
      <c r="O85" s="44"/>
      <c r="P85" s="44"/>
      <c r="Q85" s="44"/>
      <c r="R85" s="44"/>
    </row>
    <row r="86" spans="1:18" s="5" customFormat="1" ht="24" customHeight="1" x14ac:dyDescent="0.2">
      <c r="A86" s="2"/>
      <c r="B86" s="16" t="s">
        <v>167</v>
      </c>
      <c r="C86" s="13"/>
      <c r="D86" s="64"/>
      <c r="E86" s="64"/>
      <c r="F86" s="187"/>
      <c r="G86" s="188"/>
      <c r="H86" s="188"/>
      <c r="I86" s="188"/>
      <c r="J86" s="188"/>
      <c r="K86" s="188"/>
      <c r="L86" s="309"/>
      <c r="M86" s="310"/>
      <c r="N86" s="310"/>
      <c r="O86" s="44"/>
      <c r="P86" s="44"/>
      <c r="Q86" s="44"/>
      <c r="R86" s="44"/>
    </row>
    <row r="87" spans="1:18" s="5" customFormat="1" ht="26.25" thickBot="1" x14ac:dyDescent="0.25">
      <c r="A87" s="2"/>
      <c r="B87" s="38" t="s">
        <v>168</v>
      </c>
      <c r="C87" s="41" t="s">
        <v>169</v>
      </c>
      <c r="D87" s="67" t="s">
        <v>402</v>
      </c>
      <c r="E87" s="190"/>
      <c r="F87" s="193"/>
      <c r="G87" s="194"/>
      <c r="H87" s="194"/>
      <c r="I87" s="194"/>
      <c r="J87" s="194"/>
      <c r="K87" s="194"/>
      <c r="L87" s="316" t="s">
        <v>439</v>
      </c>
      <c r="M87" s="317"/>
      <c r="N87" s="292"/>
      <c r="O87" s="44"/>
      <c r="P87" s="44"/>
      <c r="Q87" s="44"/>
      <c r="R87" s="44"/>
    </row>
  </sheetData>
  <sheetProtection algorithmName="SHA-512" hashValue="InmiWVYAKqCEYbjMncF6VEtA5KIbGINvq5FmtW3wRFb4UONRg9tIvkhLn570TRO0tCyWwlSo09csSZFFSQqxZw==" saltValue="CMJC5g7iaOIWECS5RsTdOw=="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x14ac:dyDescent="0.2">
      <c r="B2" s="443" t="s">
        <v>170</v>
      </c>
      <c r="C2" s="443"/>
      <c r="D2" s="443"/>
      <c r="E2" s="328"/>
    </row>
    <row r="3" spans="1:11" ht="20.25" customHeight="1" thickBot="1" x14ac:dyDescent="0.25">
      <c r="B3" s="454" t="s">
        <v>171</v>
      </c>
      <c r="C3" s="454"/>
      <c r="D3" s="454"/>
      <c r="E3" s="329"/>
    </row>
    <row r="4" spans="1:11" ht="18" x14ac:dyDescent="0.2">
      <c r="A4" s="455" t="s">
        <v>75</v>
      </c>
      <c r="B4" s="456"/>
      <c r="C4" s="456"/>
      <c r="D4" s="457"/>
      <c r="E4" s="145"/>
    </row>
    <row r="5" spans="1:11" ht="30.75" customHeight="1" x14ac:dyDescent="0.2">
      <c r="A5" s="6">
        <v>1</v>
      </c>
      <c r="B5" s="458" t="s">
        <v>172</v>
      </c>
      <c r="C5" s="458"/>
      <c r="D5" s="459"/>
      <c r="E5" s="106"/>
    </row>
    <row r="6" spans="1:11" ht="75.75" customHeight="1" thickBot="1" x14ac:dyDescent="0.25">
      <c r="A6" s="26"/>
      <c r="B6" s="452" t="s">
        <v>173</v>
      </c>
      <c r="C6" s="452"/>
      <c r="D6" s="453"/>
      <c r="E6" s="146"/>
    </row>
    <row r="7" spans="1:11" ht="27" customHeight="1" thickBot="1" x14ac:dyDescent="0.25">
      <c r="C7" s="4"/>
      <c r="D7" s="17"/>
      <c r="E7" s="17"/>
    </row>
    <row r="8" spans="1:11" ht="15.75" customHeight="1" thickBot="1" x14ac:dyDescent="0.25">
      <c r="B8" s="68" t="s">
        <v>174</v>
      </c>
      <c r="C8" s="69" t="s">
        <v>80</v>
      </c>
      <c r="D8" s="150" t="s">
        <v>175</v>
      </c>
      <c r="E8" s="143" t="s">
        <v>176</v>
      </c>
      <c r="F8" s="99"/>
      <c r="G8" s="100"/>
      <c r="H8" s="100"/>
      <c r="I8" s="100"/>
      <c r="J8" s="100"/>
      <c r="K8" s="100"/>
    </row>
    <row r="9" spans="1:11" s="5" customFormat="1" ht="15.75" customHeight="1" x14ac:dyDescent="0.2">
      <c r="B9" s="70" t="s">
        <v>177</v>
      </c>
      <c r="C9" s="71"/>
      <c r="D9" s="151" t="s">
        <v>81</v>
      </c>
      <c r="E9" s="163" t="s">
        <v>81</v>
      </c>
      <c r="F9" s="86"/>
      <c r="G9" s="86"/>
      <c r="H9" s="86"/>
      <c r="I9" s="86"/>
      <c r="J9" s="86"/>
      <c r="K9" s="86"/>
    </row>
    <row r="10" spans="1:11" s="5" customFormat="1" ht="15.75" customHeight="1" x14ac:dyDescent="0.2">
      <c r="B10" s="16" t="s">
        <v>178</v>
      </c>
      <c r="C10" s="55"/>
      <c r="D10" s="152"/>
      <c r="E10" s="55"/>
      <c r="F10" s="89"/>
      <c r="G10" s="89"/>
      <c r="H10" s="89"/>
      <c r="I10" s="89"/>
      <c r="J10" s="89"/>
      <c r="K10" s="89"/>
    </row>
    <row r="11" spans="1:11" s="5" customFormat="1" ht="15.75" customHeight="1" x14ac:dyDescent="0.2">
      <c r="B11" s="10" t="s">
        <v>179</v>
      </c>
      <c r="C11" s="9"/>
      <c r="D11" s="153">
        <f>'DEM (Strategic Priorities)'!D11</f>
        <v>0</v>
      </c>
      <c r="E11" s="63"/>
      <c r="F11" s="89">
        <f t="shared" ref="F11:F13" si="0">IF(D11="Yes",1,0)</f>
        <v>0</v>
      </c>
      <c r="G11" s="89" t="str">
        <f>IF(F11&lt;&gt;0,B11,"")</f>
        <v/>
      </c>
      <c r="H11" s="89" t="str">
        <f>IF(G11&lt;&gt;"","-","")</f>
        <v/>
      </c>
      <c r="I11" s="89" t="str">
        <f>IF(G11&lt;&gt;"",CONCATENATE(H11,G11,CHAR(10)),"")</f>
        <v/>
      </c>
      <c r="J11" s="89" t="str">
        <f>CONCATENATE(I11,I12,I13,I15,I16,I17)</f>
        <v xml:space="preserve">-Productividad e Innovación
-Integración Económica
-Cambio Climático y Sostenibilidad Ambiental
</v>
      </c>
      <c r="K11" s="89"/>
    </row>
    <row r="12" spans="1:11" s="5" customFormat="1" ht="22.5" customHeight="1" outlineLevel="1" x14ac:dyDescent="0.2">
      <c r="B12" s="10" t="s">
        <v>180</v>
      </c>
      <c r="C12" s="9"/>
      <c r="D12" s="153" t="str">
        <f>'DEM (Strategic Priorities)'!D12</f>
        <v>Yes</v>
      </c>
      <c r="E12" s="63"/>
      <c r="F12" s="89">
        <f t="shared" si="0"/>
        <v>1</v>
      </c>
      <c r="G12" s="89" t="str">
        <f>IF(F12&lt;&gt;0,B12,"")</f>
        <v>Productividad e Innovación</v>
      </c>
      <c r="H12" s="89" t="str">
        <f>IF(G12&lt;&gt;"","-","")</f>
        <v>-</v>
      </c>
      <c r="I12" s="89" t="str">
        <f>IF(G12&lt;&gt;"",CONCATENATE(H12,G12,CHAR(10)),"")</f>
        <v xml:space="preserve">-Productividad e Innovación
</v>
      </c>
      <c r="J12" s="89"/>
      <c r="K12" s="89"/>
    </row>
    <row r="13" spans="1:11" s="5" customFormat="1" ht="15.75" customHeight="1" x14ac:dyDescent="0.2">
      <c r="B13" s="10" t="s">
        <v>181</v>
      </c>
      <c r="C13" s="9"/>
      <c r="D13" s="153" t="str">
        <f>'DEM (Strategic Priorities)'!D13</f>
        <v>Yes</v>
      </c>
      <c r="E13" s="63"/>
      <c r="F13" s="89">
        <f t="shared" si="0"/>
        <v>1</v>
      </c>
      <c r="G13" s="89" t="str">
        <f>IF(F13&lt;&gt;0,B13,"")</f>
        <v>Integración Económica</v>
      </c>
      <c r="H13" s="89" t="str">
        <f>IF(G13&lt;&gt;"","-","")</f>
        <v>-</v>
      </c>
      <c r="I13" s="89" t="str">
        <f>IF(G13&lt;&gt;"",CONCATENATE(H13,G13,CHAR(10)),"")</f>
        <v xml:space="preserve">-Integración Económica
</v>
      </c>
      <c r="J13" s="89"/>
      <c r="K13" s="89"/>
    </row>
    <row r="14" spans="1:11" s="5" customFormat="1" ht="15.75" customHeight="1" x14ac:dyDescent="0.2">
      <c r="B14" s="16" t="s">
        <v>182</v>
      </c>
      <c r="C14" s="55"/>
      <c r="D14" s="55"/>
      <c r="E14" s="55"/>
      <c r="F14" s="89"/>
      <c r="G14" s="89"/>
      <c r="H14" s="89"/>
      <c r="I14" s="89"/>
      <c r="J14" s="89"/>
      <c r="K14" s="89"/>
    </row>
    <row r="15" spans="1:11" s="5" customFormat="1" ht="21.75" customHeight="1" x14ac:dyDescent="0.2">
      <c r="B15" s="10" t="s">
        <v>183</v>
      </c>
      <c r="C15" s="9"/>
      <c r="D15" s="153" t="str">
        <f>'DEM (Strategic Priorities)'!D15</f>
        <v/>
      </c>
      <c r="E15" s="63"/>
      <c r="F15" s="89">
        <f t="shared" ref="F15:F17" si="1">IF(D15="Yes",1,0)</f>
        <v>0</v>
      </c>
      <c r="G15" s="89" t="str">
        <f t="shared" ref="G15:G17" si="2">IF(F15&lt;&gt;0,B15,"")</f>
        <v/>
      </c>
      <c r="H15" s="89" t="str">
        <f t="shared" ref="H15:H17" si="3">IF(G15&lt;&gt;"","-","")</f>
        <v/>
      </c>
      <c r="I15" s="89" t="str">
        <f t="shared" ref="I15:I17" si="4">IF(G15&lt;&gt;"",CONCATENATE(H15,G15,CHAR(10)),"")</f>
        <v/>
      </c>
      <c r="J15" s="89"/>
      <c r="K15" s="89"/>
    </row>
    <row r="16" spans="1:11" s="5" customFormat="1" ht="21.75" customHeight="1" x14ac:dyDescent="0.2">
      <c r="B16" s="10" t="s">
        <v>184</v>
      </c>
      <c r="C16" s="9"/>
      <c r="D16" s="153" t="str">
        <f>'DEM (Strategic Priorities)'!D18</f>
        <v>Yes</v>
      </c>
      <c r="E16" s="63"/>
      <c r="F16" s="89">
        <f t="shared" si="1"/>
        <v>1</v>
      </c>
      <c r="G16" s="89" t="str">
        <f t="shared" si="2"/>
        <v>Cambio Climático y Sostenibilidad Ambiental</v>
      </c>
      <c r="H16" s="89" t="str">
        <f t="shared" si="3"/>
        <v>-</v>
      </c>
      <c r="I16" s="89" t="str">
        <f t="shared" si="4"/>
        <v xml:space="preserve">-Cambio Climático y Sostenibilidad Ambiental
</v>
      </c>
      <c r="J16" s="89"/>
      <c r="K16" s="89"/>
    </row>
    <row r="17" spans="2:11" s="5" customFormat="1" ht="15.75" customHeight="1" outlineLevel="1" x14ac:dyDescent="0.2">
      <c r="B17" s="10" t="s">
        <v>185</v>
      </c>
      <c r="C17" s="9"/>
      <c r="D17" s="153">
        <f>'DEM (Strategic Priorities)'!D21</f>
        <v>0</v>
      </c>
      <c r="E17" s="63"/>
      <c r="F17" s="89">
        <f t="shared" si="1"/>
        <v>0</v>
      </c>
      <c r="G17" s="89" t="str">
        <f t="shared" si="2"/>
        <v/>
      </c>
      <c r="H17" s="89" t="str">
        <f t="shared" si="3"/>
        <v/>
      </c>
      <c r="I17" s="89" t="str">
        <f t="shared" si="4"/>
        <v/>
      </c>
      <c r="J17" s="89"/>
      <c r="K17" s="89"/>
    </row>
    <row r="18" spans="2:11" s="5" customFormat="1" ht="15.75" customHeight="1" outlineLevel="1" x14ac:dyDescent="0.2">
      <c r="B18" s="16" t="s">
        <v>186</v>
      </c>
      <c r="C18" s="72"/>
      <c r="D18" s="155"/>
      <c r="E18" s="73"/>
      <c r="F18" s="89"/>
      <c r="G18" s="89"/>
      <c r="H18" s="89"/>
      <c r="I18" s="89"/>
      <c r="J18" s="89"/>
      <c r="K18" s="89" t="str">
        <f>CONCATENATE(J19,J20,J21,J22,J23,J24,J25,J26,J27,J28,J29,J30,J31,J32,J33,J34,J35,J36,J37,J38,J39,J40,J41,J42,J43,J44,J45,J46,J47,J48,J49,J50,J51,J52,J53,J54,J55,J56,J57,J58,J59,J60,J61,J62,J63,J64,J65,J66,J67,J68,J69,J70,J71,J72,J73)</f>
        <v xml:space="preserve">-Caminos construidos o mejorados  (km)*
</v>
      </c>
    </row>
    <row r="19" spans="2:11" s="5" customFormat="1" ht="34.5" customHeight="1" outlineLevel="1" x14ac:dyDescent="0.2">
      <c r="B19" s="12" t="s">
        <v>187</v>
      </c>
      <c r="C19" s="43"/>
      <c r="D19" s="154">
        <f>'DEM (Strategic Priorities)'!D23</f>
        <v>0</v>
      </c>
      <c r="E19" s="154">
        <f>'DEM (Strategic Priorities)'!E23</f>
        <v>0</v>
      </c>
      <c r="F19" s="89">
        <f t="shared" ref="F19:F25" si="5">IF(D19="Yes",1,0)</f>
        <v>0</v>
      </c>
      <c r="G19" s="89" t="str">
        <f>IF(F19=1,B19,"")</f>
        <v/>
      </c>
      <c r="H19" s="89" t="str">
        <f t="shared" ref="H19:H43" si="6">IF(G19&lt;&gt;"","-","")</f>
        <v/>
      </c>
      <c r="I19" s="144" t="str">
        <f>IF(E19="Yes","*","")</f>
        <v/>
      </c>
      <c r="J19" s="89" t="str">
        <f t="shared" ref="J19:J22" si="7">IF(G19&lt;&gt;"",CONCATENATE(H19,G19,I19,CHAR(10)),"")</f>
        <v/>
      </c>
      <c r="K19" s="144"/>
    </row>
    <row r="20" spans="2:11" s="5" customFormat="1" ht="24.75" customHeight="1" outlineLevel="1" x14ac:dyDescent="0.2">
      <c r="B20" s="12" t="s">
        <v>188</v>
      </c>
      <c r="C20" s="43"/>
      <c r="D20" s="154">
        <f>'DEM (Strategic Priorities)'!D24</f>
        <v>0</v>
      </c>
      <c r="E20" s="154">
        <f>'DEM (Strategic Priorities)'!E24</f>
        <v>0</v>
      </c>
      <c r="F20" s="89">
        <f t="shared" si="5"/>
        <v>0</v>
      </c>
      <c r="G20" s="89" t="str">
        <f t="shared" ref="G20:G43" si="8">IF(F20=1,B20,"")</f>
        <v/>
      </c>
      <c r="H20" s="89" t="str">
        <f t="shared" si="6"/>
        <v/>
      </c>
      <c r="I20" s="144" t="str">
        <f t="shared" ref="I20:I43" si="9">IF(E20="Yes","*","")</f>
        <v/>
      </c>
      <c r="J20" s="89" t="str">
        <f t="shared" si="7"/>
        <v/>
      </c>
      <c r="K20" s="89"/>
    </row>
    <row r="21" spans="2:11" s="5" customFormat="1" ht="15.75" customHeight="1" outlineLevel="1" x14ac:dyDescent="0.2">
      <c r="B21" s="12" t="s">
        <v>189</v>
      </c>
      <c r="C21" s="43"/>
      <c r="D21" s="154">
        <f>'DEM (Strategic Priorities)'!D25</f>
        <v>0</v>
      </c>
      <c r="E21" s="66">
        <f>'DEM (Strategic Priorities)'!E25</f>
        <v>0</v>
      </c>
      <c r="F21" s="89">
        <f>IF(E21="Yes",1,0)</f>
        <v>0</v>
      </c>
      <c r="G21" s="89" t="str">
        <f t="shared" si="8"/>
        <v/>
      </c>
      <c r="H21" s="89" t="str">
        <f t="shared" si="6"/>
        <v/>
      </c>
      <c r="I21" s="144" t="str">
        <f t="shared" si="9"/>
        <v/>
      </c>
      <c r="J21" s="89" t="str">
        <f t="shared" si="7"/>
        <v/>
      </c>
      <c r="K21" s="89"/>
    </row>
    <row r="22" spans="2:11" s="5" customFormat="1" ht="15.75" customHeight="1" outlineLevel="1" x14ac:dyDescent="0.2">
      <c r="B22" s="12" t="s">
        <v>190</v>
      </c>
      <c r="C22" s="43"/>
      <c r="D22" s="154">
        <f>'DEM (Strategic Priorities)'!D26</f>
        <v>0</v>
      </c>
      <c r="E22" s="66">
        <f>'DEM (Strategic Priorities)'!E26</f>
        <v>0</v>
      </c>
      <c r="F22" s="89">
        <f t="shared" ref="F22:F23" si="10">IF(E22="Yes",1,0)</f>
        <v>0</v>
      </c>
      <c r="G22" s="89" t="str">
        <f t="shared" si="8"/>
        <v/>
      </c>
      <c r="H22" s="89" t="str">
        <f t="shared" si="6"/>
        <v/>
      </c>
      <c r="I22" s="144" t="str">
        <f t="shared" si="9"/>
        <v/>
      </c>
      <c r="J22" s="89" t="str">
        <f t="shared" si="7"/>
        <v/>
      </c>
      <c r="K22" s="89"/>
    </row>
    <row r="23" spans="2:11" s="5" customFormat="1" ht="15.75" customHeight="1" outlineLevel="1" x14ac:dyDescent="0.2">
      <c r="B23" s="12" t="s">
        <v>191</v>
      </c>
      <c r="C23" s="43"/>
      <c r="D23" s="154">
        <f>'DEM (Strategic Priorities)'!D27</f>
        <v>0</v>
      </c>
      <c r="E23" s="66">
        <f>'DEM (Strategic Priorities)'!E27</f>
        <v>0</v>
      </c>
      <c r="F23" s="89">
        <f t="shared" si="10"/>
        <v>0</v>
      </c>
      <c r="G23" s="89" t="str">
        <f t="shared" si="8"/>
        <v/>
      </c>
      <c r="H23" s="89" t="str">
        <f t="shared" si="6"/>
        <v/>
      </c>
      <c r="I23" s="144" t="str">
        <f t="shared" si="9"/>
        <v/>
      </c>
      <c r="J23" s="89" t="str">
        <f>IF(G23&lt;&gt;"",CONCATENATE(H23,G23,I23,CHAR(10)),"")</f>
        <v/>
      </c>
      <c r="K23" s="89"/>
    </row>
    <row r="24" spans="2:11" s="5" customFormat="1" ht="15.75" customHeight="1" outlineLevel="1" x14ac:dyDescent="0.2">
      <c r="B24" s="12" t="s">
        <v>192</v>
      </c>
      <c r="C24" s="43"/>
      <c r="D24" s="154">
        <f>'DEM (Strategic Priorities)'!D28</f>
        <v>0</v>
      </c>
      <c r="E24" s="66">
        <f>'DEM (Strategic Priorities)'!E28</f>
        <v>0</v>
      </c>
      <c r="F24" s="89">
        <f t="shared" si="5"/>
        <v>0</v>
      </c>
      <c r="G24" s="89" t="str">
        <f t="shared" si="8"/>
        <v/>
      </c>
      <c r="H24" s="89" t="str">
        <f t="shared" si="6"/>
        <v/>
      </c>
      <c r="I24" s="144" t="str">
        <f t="shared" si="9"/>
        <v/>
      </c>
      <c r="J24" s="89" t="str">
        <f t="shared" ref="J24:J43" si="11">IF(G24&lt;&gt;"",CONCATENATE(H24,G24,I24,CHAR(10)),"")</f>
        <v/>
      </c>
      <c r="K24" s="89"/>
    </row>
    <row r="25" spans="2:11" s="5" customFormat="1" ht="15.75" customHeight="1" outlineLevel="1" x14ac:dyDescent="0.2">
      <c r="B25" s="12" t="s">
        <v>193</v>
      </c>
      <c r="C25" s="43"/>
      <c r="D25" s="154">
        <f>'DEM (Strategic Priorities)'!D29</f>
        <v>0</v>
      </c>
      <c r="E25" s="66">
        <f>'DEM (Strategic Priorities)'!E29</f>
        <v>0</v>
      </c>
      <c r="F25" s="89">
        <f t="shared" si="5"/>
        <v>0</v>
      </c>
      <c r="G25" s="89" t="str">
        <f t="shared" si="8"/>
        <v/>
      </c>
      <c r="H25" s="89" t="str">
        <f t="shared" si="6"/>
        <v/>
      </c>
      <c r="I25" s="144" t="str">
        <f t="shared" si="9"/>
        <v/>
      </c>
      <c r="J25" s="89" t="str">
        <f t="shared" si="11"/>
        <v/>
      </c>
      <c r="K25" s="89"/>
    </row>
    <row r="26" spans="2:11" s="5" customFormat="1" ht="30" customHeight="1" outlineLevel="1" x14ac:dyDescent="0.2">
      <c r="B26" s="12" t="s">
        <v>194</v>
      </c>
      <c r="C26" s="43"/>
      <c r="D26" s="156">
        <f>'DEM (Strategic Priorities)'!D30</f>
        <v>0</v>
      </c>
      <c r="E26" s="66">
        <f>'DEM (Strategic Priorities)'!E30</f>
        <v>0</v>
      </c>
      <c r="F26" s="89">
        <f t="shared" ref="F26:F43" si="12">IF(E26="Yes",1,0)</f>
        <v>0</v>
      </c>
      <c r="G26" s="89" t="str">
        <f t="shared" si="8"/>
        <v/>
      </c>
      <c r="H26" s="89" t="str">
        <f t="shared" si="6"/>
        <v/>
      </c>
      <c r="I26" s="144" t="str">
        <f t="shared" si="9"/>
        <v/>
      </c>
      <c r="J26" s="89" t="str">
        <f t="shared" si="11"/>
        <v/>
      </c>
      <c r="K26" s="89"/>
    </row>
    <row r="27" spans="2:11" s="5" customFormat="1" ht="15.75" customHeight="1" outlineLevel="1" x14ac:dyDescent="0.2">
      <c r="B27" s="12" t="s">
        <v>195</v>
      </c>
      <c r="C27" s="43"/>
      <c r="D27" s="156">
        <f>'DEM (Strategic Priorities)'!D31</f>
        <v>0</v>
      </c>
      <c r="E27" s="66">
        <f>'DEM (Strategic Priorities)'!E31</f>
        <v>0</v>
      </c>
      <c r="F27" s="89">
        <f t="shared" si="12"/>
        <v>0</v>
      </c>
      <c r="G27" s="89" t="str">
        <f t="shared" si="8"/>
        <v/>
      </c>
      <c r="H27" s="89" t="str">
        <f t="shared" si="6"/>
        <v/>
      </c>
      <c r="I27" s="144" t="str">
        <f t="shared" si="9"/>
        <v/>
      </c>
      <c r="J27" s="89" t="str">
        <f t="shared" si="11"/>
        <v/>
      </c>
      <c r="K27" s="89"/>
    </row>
    <row r="28" spans="2:11" s="5" customFormat="1" ht="15.75" customHeight="1" outlineLevel="1" x14ac:dyDescent="0.2">
      <c r="B28" s="12" t="s">
        <v>196</v>
      </c>
      <c r="C28" s="43"/>
      <c r="D28" s="156">
        <f>'DEM (Strategic Priorities)'!D32</f>
        <v>0</v>
      </c>
      <c r="E28" s="66">
        <f>'DEM (Strategic Priorities)'!E32</f>
        <v>0</v>
      </c>
      <c r="F28" s="89">
        <f t="shared" si="12"/>
        <v>0</v>
      </c>
      <c r="G28" s="89" t="str">
        <f t="shared" si="8"/>
        <v/>
      </c>
      <c r="H28" s="89" t="str">
        <f t="shared" si="6"/>
        <v/>
      </c>
      <c r="I28" s="144" t="str">
        <f t="shared" si="9"/>
        <v/>
      </c>
      <c r="J28" s="89" t="str">
        <f t="shared" si="11"/>
        <v/>
      </c>
      <c r="K28" s="89"/>
    </row>
    <row r="29" spans="2:11" s="5" customFormat="1" ht="15.75" customHeight="1" outlineLevel="1" x14ac:dyDescent="0.2">
      <c r="B29" s="12" t="s">
        <v>197</v>
      </c>
      <c r="C29" s="43"/>
      <c r="D29" s="156">
        <f>'DEM (Strategic Priorities)'!D33</f>
        <v>0</v>
      </c>
      <c r="E29" s="66">
        <f>'DEM (Strategic Priorities)'!E33</f>
        <v>0</v>
      </c>
      <c r="F29" s="89">
        <f t="shared" si="12"/>
        <v>0</v>
      </c>
      <c r="G29" s="89" t="str">
        <f t="shared" si="8"/>
        <v/>
      </c>
      <c r="H29" s="89" t="str">
        <f t="shared" si="6"/>
        <v/>
      </c>
      <c r="I29" s="144" t="str">
        <f t="shared" si="9"/>
        <v/>
      </c>
      <c r="J29" s="89" t="str">
        <f t="shared" si="11"/>
        <v/>
      </c>
      <c r="K29" s="89"/>
    </row>
    <row r="30" spans="2:11" s="5" customFormat="1" ht="27" customHeight="1" outlineLevel="1" x14ac:dyDescent="0.2">
      <c r="B30" s="12" t="s">
        <v>198</v>
      </c>
      <c r="C30" s="43"/>
      <c r="D30" s="156">
        <f>'DEM (Strategic Priorities)'!D34</f>
        <v>0</v>
      </c>
      <c r="E30" s="66">
        <f>'DEM (Strategic Priorities)'!E34</f>
        <v>0</v>
      </c>
      <c r="F30" s="89">
        <f t="shared" si="12"/>
        <v>0</v>
      </c>
      <c r="G30" s="89" t="str">
        <f t="shared" si="8"/>
        <v/>
      </c>
      <c r="H30" s="89" t="str">
        <f t="shared" si="6"/>
        <v/>
      </c>
      <c r="I30" s="144" t="str">
        <f t="shared" si="9"/>
        <v/>
      </c>
      <c r="J30" s="89" t="str">
        <f t="shared" si="11"/>
        <v/>
      </c>
      <c r="K30" s="89"/>
    </row>
    <row r="31" spans="2:11" s="5" customFormat="1" ht="15.75" customHeight="1" outlineLevel="1" x14ac:dyDescent="0.2">
      <c r="B31" s="12" t="s">
        <v>199</v>
      </c>
      <c r="C31" s="43"/>
      <c r="D31" s="156">
        <f>'DEM (Strategic Priorities)'!D35</f>
        <v>0</v>
      </c>
      <c r="E31" s="66">
        <f>'DEM (Strategic Priorities)'!E35</f>
        <v>0</v>
      </c>
      <c r="F31" s="89">
        <f t="shared" si="12"/>
        <v>0</v>
      </c>
      <c r="G31" s="89" t="str">
        <f t="shared" si="8"/>
        <v/>
      </c>
      <c r="H31" s="89" t="str">
        <f t="shared" si="6"/>
        <v/>
      </c>
      <c r="I31" s="144" t="str">
        <f t="shared" si="9"/>
        <v/>
      </c>
      <c r="J31" s="89" t="str">
        <f t="shared" si="11"/>
        <v/>
      </c>
      <c r="K31" s="89"/>
    </row>
    <row r="32" spans="2:11" s="5" customFormat="1" ht="15.75" customHeight="1" outlineLevel="1" x14ac:dyDescent="0.2">
      <c r="B32" s="12" t="s">
        <v>200</v>
      </c>
      <c r="C32" s="43"/>
      <c r="D32" s="156">
        <f>'DEM (Strategic Priorities)'!D36</f>
        <v>0</v>
      </c>
      <c r="E32" s="66">
        <f>'DEM (Strategic Priorities)'!E36</f>
        <v>0</v>
      </c>
      <c r="F32" s="89">
        <f t="shared" si="12"/>
        <v>0</v>
      </c>
      <c r="G32" s="89" t="str">
        <f t="shared" si="8"/>
        <v/>
      </c>
      <c r="H32" s="89" t="str">
        <f t="shared" si="6"/>
        <v/>
      </c>
      <c r="I32" s="144" t="str">
        <f t="shared" si="9"/>
        <v/>
      </c>
      <c r="J32" s="89" t="str">
        <f t="shared" si="11"/>
        <v/>
      </c>
      <c r="K32" s="89"/>
    </row>
    <row r="33" spans="1:11" s="5" customFormat="1" ht="15.75" customHeight="1" outlineLevel="1" x14ac:dyDescent="0.2">
      <c r="B33" s="12" t="s">
        <v>201</v>
      </c>
      <c r="C33" s="43"/>
      <c r="D33" s="156">
        <f>'DEM (Strategic Priorities)'!D37</f>
        <v>0</v>
      </c>
      <c r="E33" s="66">
        <f>'DEM (Strategic Priorities)'!E37</f>
        <v>0</v>
      </c>
      <c r="F33" s="89">
        <f t="shared" si="12"/>
        <v>0</v>
      </c>
      <c r="G33" s="89" t="str">
        <f t="shared" si="8"/>
        <v/>
      </c>
      <c r="H33" s="89" t="str">
        <f t="shared" si="6"/>
        <v/>
      </c>
      <c r="I33" s="144" t="str">
        <f t="shared" si="9"/>
        <v/>
      </c>
      <c r="J33" s="89" t="str">
        <f t="shared" si="11"/>
        <v/>
      </c>
      <c r="K33" s="89"/>
    </row>
    <row r="34" spans="1:11" s="5" customFormat="1" ht="15.75" customHeight="1" outlineLevel="1" x14ac:dyDescent="0.2">
      <c r="B34" s="12" t="s">
        <v>202</v>
      </c>
      <c r="C34" s="43"/>
      <c r="D34" s="156">
        <f>'DEM (Strategic Priorities)'!D38</f>
        <v>0</v>
      </c>
      <c r="E34" s="66">
        <f>'DEM (Strategic Priorities)'!E38</f>
        <v>0</v>
      </c>
      <c r="F34" s="89">
        <f t="shared" si="12"/>
        <v>0</v>
      </c>
      <c r="G34" s="89" t="str">
        <f t="shared" si="8"/>
        <v/>
      </c>
      <c r="H34" s="89" t="str">
        <f t="shared" si="6"/>
        <v/>
      </c>
      <c r="I34" s="144" t="str">
        <f t="shared" si="9"/>
        <v/>
      </c>
      <c r="J34" s="89" t="str">
        <f t="shared" si="11"/>
        <v/>
      </c>
      <c r="K34" s="89"/>
    </row>
    <row r="35" spans="1:11" s="5" customFormat="1" ht="15.75" customHeight="1" x14ac:dyDescent="0.2">
      <c r="B35" s="12" t="s">
        <v>203</v>
      </c>
      <c r="C35" s="43"/>
      <c r="D35" s="156">
        <f>'DEM (Strategic Priorities)'!D39</f>
        <v>0</v>
      </c>
      <c r="E35" s="66">
        <f>'DEM (Strategic Priorities)'!E39</f>
        <v>0</v>
      </c>
      <c r="F35" s="89">
        <f t="shared" si="12"/>
        <v>0</v>
      </c>
      <c r="G35" s="89" t="str">
        <f t="shared" si="8"/>
        <v/>
      </c>
      <c r="H35" s="89" t="str">
        <f t="shared" si="6"/>
        <v/>
      </c>
      <c r="I35" s="144" t="str">
        <f t="shared" si="9"/>
        <v/>
      </c>
      <c r="J35" s="89" t="str">
        <f t="shared" si="11"/>
        <v/>
      </c>
      <c r="K35" s="89"/>
    </row>
    <row r="36" spans="1:11" s="5" customFormat="1" ht="15.75" customHeight="1" outlineLevel="1" x14ac:dyDescent="0.2">
      <c r="B36" s="12" t="s">
        <v>204</v>
      </c>
      <c r="C36" s="43"/>
      <c r="D36" s="156">
        <f>'DEM (Strategic Priorities)'!D40</f>
        <v>0</v>
      </c>
      <c r="E36" s="66">
        <f>'DEM (Strategic Priorities)'!E40</f>
        <v>0</v>
      </c>
      <c r="F36" s="89">
        <f t="shared" si="12"/>
        <v>0</v>
      </c>
      <c r="G36" s="89" t="str">
        <f t="shared" si="8"/>
        <v/>
      </c>
      <c r="H36" s="89" t="str">
        <f t="shared" si="6"/>
        <v/>
      </c>
      <c r="I36" s="144" t="str">
        <f t="shared" si="9"/>
        <v/>
      </c>
      <c r="J36" s="89" t="str">
        <f t="shared" si="11"/>
        <v/>
      </c>
      <c r="K36" s="89"/>
    </row>
    <row r="37" spans="1:11" s="5" customFormat="1" ht="27.75" customHeight="1" outlineLevel="1" x14ac:dyDescent="0.2">
      <c r="B37" s="12" t="s">
        <v>205</v>
      </c>
      <c r="C37" s="43"/>
      <c r="D37" s="156">
        <f>'DEM (Strategic Priorities)'!D41</f>
        <v>0</v>
      </c>
      <c r="E37" s="66">
        <f>'DEM (Strategic Priorities)'!E41</f>
        <v>0</v>
      </c>
      <c r="F37" s="89">
        <f t="shared" si="12"/>
        <v>0</v>
      </c>
      <c r="G37" s="89" t="str">
        <f t="shared" si="8"/>
        <v/>
      </c>
      <c r="H37" s="89" t="str">
        <f t="shared" si="6"/>
        <v/>
      </c>
      <c r="I37" s="144" t="str">
        <f t="shared" si="9"/>
        <v/>
      </c>
      <c r="J37" s="89" t="str">
        <f t="shared" si="11"/>
        <v/>
      </c>
      <c r="K37" s="89"/>
    </row>
    <row r="38" spans="1:11" s="5" customFormat="1" ht="27" customHeight="1" outlineLevel="1" x14ac:dyDescent="0.2">
      <c r="B38" s="12" t="s">
        <v>206</v>
      </c>
      <c r="C38" s="43"/>
      <c r="D38" s="156">
        <f>'DEM (Strategic Priorities)'!D42</f>
        <v>0</v>
      </c>
      <c r="E38" s="66">
        <f>'DEM (Strategic Priorities)'!E42</f>
        <v>0</v>
      </c>
      <c r="F38" s="89">
        <f t="shared" si="12"/>
        <v>0</v>
      </c>
      <c r="G38" s="89" t="str">
        <f t="shared" si="8"/>
        <v/>
      </c>
      <c r="H38" s="89" t="str">
        <f t="shared" si="6"/>
        <v/>
      </c>
      <c r="I38" s="144" t="str">
        <f t="shared" si="9"/>
        <v/>
      </c>
      <c r="J38" s="89" t="str">
        <f t="shared" si="11"/>
        <v/>
      </c>
      <c r="K38" s="89"/>
    </row>
    <row r="39" spans="1:11" s="5" customFormat="1" ht="15.75" customHeight="1" outlineLevel="1" x14ac:dyDescent="0.2">
      <c r="B39" s="12" t="s">
        <v>207</v>
      </c>
      <c r="C39" s="43"/>
      <c r="D39" s="156">
        <f>'DEM (Strategic Priorities)'!D43</f>
        <v>0</v>
      </c>
      <c r="E39" s="66" t="str">
        <f>'DEM (Strategic Priorities)'!E43</f>
        <v>Yes</v>
      </c>
      <c r="F39" s="89">
        <f t="shared" si="12"/>
        <v>1</v>
      </c>
      <c r="G39" s="89" t="str">
        <f t="shared" si="8"/>
        <v>Caminos construidos o mejorados  (km)</v>
      </c>
      <c r="H39" s="89" t="str">
        <f t="shared" si="6"/>
        <v>-</v>
      </c>
      <c r="I39" s="144" t="str">
        <f t="shared" si="9"/>
        <v>*</v>
      </c>
      <c r="J39" s="89" t="str">
        <f t="shared" si="11"/>
        <v xml:space="preserve">-Caminos construidos o mejorados  (km)*
</v>
      </c>
      <c r="K39" s="89"/>
    </row>
    <row r="40" spans="1:11" s="5" customFormat="1" ht="28.5" customHeight="1" outlineLevel="1" x14ac:dyDescent="0.2">
      <c r="B40" s="12" t="s">
        <v>208</v>
      </c>
      <c r="C40" s="43"/>
      <c r="D40" s="156">
        <f>'DEM (Strategic Priorities)'!D44</f>
        <v>0</v>
      </c>
      <c r="E40" s="66">
        <f>'DEM (Strategic Priorities)'!E44</f>
        <v>0</v>
      </c>
      <c r="F40" s="89">
        <f t="shared" si="12"/>
        <v>0</v>
      </c>
      <c r="G40" s="89" t="str">
        <f t="shared" si="8"/>
        <v/>
      </c>
      <c r="H40" s="89" t="str">
        <f t="shared" si="6"/>
        <v/>
      </c>
      <c r="I40" s="144" t="str">
        <f t="shared" si="9"/>
        <v/>
      </c>
      <c r="J40" s="89" t="str">
        <f t="shared" si="11"/>
        <v/>
      </c>
      <c r="K40" s="89"/>
    </row>
    <row r="41" spans="1:11" ht="15.75" customHeight="1" x14ac:dyDescent="0.2">
      <c r="A41" s="5"/>
      <c r="B41" s="12" t="s">
        <v>209</v>
      </c>
      <c r="C41" s="43"/>
      <c r="D41" s="156">
        <f>'DEM (Strategic Priorities)'!D45</f>
        <v>0</v>
      </c>
      <c r="E41" s="66">
        <f>'DEM (Strategic Priorities)'!E45</f>
        <v>0</v>
      </c>
      <c r="F41" s="89">
        <f t="shared" si="12"/>
        <v>0</v>
      </c>
      <c r="G41" s="89" t="str">
        <f t="shared" si="8"/>
        <v/>
      </c>
      <c r="H41" s="89" t="str">
        <f t="shared" si="6"/>
        <v/>
      </c>
      <c r="I41" s="144" t="str">
        <f t="shared" si="9"/>
        <v/>
      </c>
      <c r="J41" s="89" t="str">
        <f t="shared" si="11"/>
        <v/>
      </c>
      <c r="K41" s="89"/>
    </row>
    <row r="42" spans="1:11" ht="15.75" customHeight="1" x14ac:dyDescent="0.2">
      <c r="B42" s="12" t="s">
        <v>210</v>
      </c>
      <c r="C42" s="43"/>
      <c r="D42" s="156">
        <f>'DEM (Strategic Priorities)'!D46</f>
        <v>0</v>
      </c>
      <c r="E42" s="66">
        <f>'DEM (Strategic Priorities)'!E46</f>
        <v>0</v>
      </c>
      <c r="F42" s="89">
        <f t="shared" si="12"/>
        <v>0</v>
      </c>
      <c r="G42" s="89" t="str">
        <f t="shared" si="8"/>
        <v/>
      </c>
      <c r="H42" s="89" t="str">
        <f t="shared" si="6"/>
        <v/>
      </c>
      <c r="I42" s="144" t="str">
        <f t="shared" si="9"/>
        <v/>
      </c>
      <c r="J42" s="89" t="str">
        <f t="shared" si="11"/>
        <v/>
      </c>
      <c r="K42" s="89"/>
    </row>
    <row r="43" spans="1:11" s="5" customFormat="1" ht="27.75" customHeight="1" x14ac:dyDescent="0.2">
      <c r="A43" s="2"/>
      <c r="B43" s="12" t="s">
        <v>211</v>
      </c>
      <c r="C43" s="43"/>
      <c r="D43" s="156">
        <f>'DEM (Strategic Priorities)'!D47</f>
        <v>0</v>
      </c>
      <c r="E43" s="66">
        <f>'DEM (Strategic Priorities)'!E47</f>
        <v>0</v>
      </c>
      <c r="F43" s="89">
        <f t="shared" si="12"/>
        <v>0</v>
      </c>
      <c r="G43" s="89" t="str">
        <f t="shared" si="8"/>
        <v/>
      </c>
      <c r="H43" s="89" t="str">
        <f t="shared" si="6"/>
        <v/>
      </c>
      <c r="I43" s="144" t="str">
        <f t="shared" si="9"/>
        <v/>
      </c>
      <c r="J43" s="89" t="str">
        <f t="shared" si="11"/>
        <v/>
      </c>
      <c r="K43" s="89"/>
    </row>
    <row r="44" spans="1:11" s="5" customFormat="1" ht="15.75" customHeight="1" x14ac:dyDescent="0.2">
      <c r="A44" s="2"/>
      <c r="B44" s="203" t="s">
        <v>212</v>
      </c>
      <c r="C44" s="43"/>
      <c r="D44" s="156">
        <f>'DEM (Strategic Priorities)'!D49</f>
        <v>0</v>
      </c>
      <c r="E44" s="66">
        <f>'DEM (Strategic Priorities)'!E49</f>
        <v>0</v>
      </c>
      <c r="F44" s="89">
        <f t="shared" ref="F44:F73" si="13">IF(E44="Yes",1,0)</f>
        <v>0</v>
      </c>
      <c r="G44" s="89" t="str">
        <f t="shared" ref="G44:G73" si="14">IF(F44=1,B44,"")</f>
        <v/>
      </c>
      <c r="H44" s="89" t="str">
        <f t="shared" ref="H44:H73" si="15">IF(G44&lt;&gt;"","-","")</f>
        <v/>
      </c>
      <c r="I44" s="144" t="str">
        <f t="shared" ref="I44:I73" si="16">IF(E44="Yes","*","")</f>
        <v/>
      </c>
      <c r="J44" s="89" t="str">
        <f t="shared" ref="J44:J73" si="17">IF(G44&lt;&gt;"",CONCATENATE(H44,G44,I44,CHAR(10)),"")</f>
        <v/>
      </c>
      <c r="K44" s="89"/>
    </row>
    <row r="45" spans="1:11" s="5" customFormat="1" ht="15.75" customHeight="1" x14ac:dyDescent="0.2">
      <c r="A45" s="2"/>
      <c r="B45" s="12" t="s">
        <v>213</v>
      </c>
      <c r="C45" s="43"/>
      <c r="D45" s="156">
        <f>'DEM (Strategic Priorities)'!D50</f>
        <v>0</v>
      </c>
      <c r="E45" s="66">
        <f>'DEM (Strategic Priorities)'!E50</f>
        <v>0</v>
      </c>
      <c r="F45" s="89">
        <f t="shared" si="13"/>
        <v>0</v>
      </c>
      <c r="G45" s="89" t="str">
        <f t="shared" si="14"/>
        <v/>
      </c>
      <c r="H45" s="89" t="str">
        <f t="shared" si="15"/>
        <v/>
      </c>
      <c r="I45" s="144" t="str">
        <f t="shared" si="16"/>
        <v/>
      </c>
      <c r="J45" s="89" t="str">
        <f t="shared" si="17"/>
        <v/>
      </c>
      <c r="K45" s="89"/>
    </row>
    <row r="46" spans="1:11" s="5" customFormat="1" ht="15.75" customHeight="1" x14ac:dyDescent="0.2">
      <c r="A46" s="2"/>
      <c r="B46" s="12" t="s">
        <v>214</v>
      </c>
      <c r="C46" s="43"/>
      <c r="D46" s="156">
        <f>'DEM (Strategic Priorities)'!D51</f>
        <v>0</v>
      </c>
      <c r="E46" s="66">
        <f>'DEM (Strategic Priorities)'!E51</f>
        <v>0</v>
      </c>
      <c r="F46" s="89">
        <f t="shared" si="13"/>
        <v>0</v>
      </c>
      <c r="G46" s="89" t="str">
        <f t="shared" si="14"/>
        <v/>
      </c>
      <c r="H46" s="89" t="str">
        <f t="shared" si="15"/>
        <v/>
      </c>
      <c r="I46" s="144" t="str">
        <f t="shared" si="16"/>
        <v/>
      </c>
      <c r="J46" s="89" t="str">
        <f t="shared" si="17"/>
        <v/>
      </c>
      <c r="K46" s="89"/>
    </row>
    <row r="47" spans="1:11" s="5" customFormat="1" ht="15.75" customHeight="1" x14ac:dyDescent="0.2">
      <c r="A47" s="2"/>
      <c r="B47" s="12" t="s">
        <v>215</v>
      </c>
      <c r="C47" s="43"/>
      <c r="D47" s="156">
        <f>'DEM (Strategic Priorities)'!D52</f>
        <v>0</v>
      </c>
      <c r="E47" s="66">
        <f>'DEM (Strategic Priorities)'!E52</f>
        <v>0</v>
      </c>
      <c r="F47" s="89">
        <f t="shared" si="13"/>
        <v>0</v>
      </c>
      <c r="G47" s="89" t="str">
        <f t="shared" si="14"/>
        <v/>
      </c>
      <c r="H47" s="89" t="str">
        <f t="shared" si="15"/>
        <v/>
      </c>
      <c r="I47" s="144" t="str">
        <f t="shared" si="16"/>
        <v/>
      </c>
      <c r="J47" s="89" t="str">
        <f t="shared" si="17"/>
        <v/>
      </c>
      <c r="K47" s="89"/>
    </row>
    <row r="48" spans="1:11" s="5" customFormat="1" ht="15.75" customHeight="1" x14ac:dyDescent="0.2">
      <c r="A48" s="2"/>
      <c r="B48" s="12" t="s">
        <v>216</v>
      </c>
      <c r="C48" s="43"/>
      <c r="D48" s="156">
        <f>'DEM (Strategic Priorities)'!D53</f>
        <v>0</v>
      </c>
      <c r="E48" s="66">
        <f>'DEM (Strategic Priorities)'!E53</f>
        <v>0</v>
      </c>
      <c r="F48" s="89">
        <f t="shared" si="13"/>
        <v>0</v>
      </c>
      <c r="G48" s="89" t="str">
        <f t="shared" si="14"/>
        <v/>
      </c>
      <c r="H48" s="89" t="str">
        <f t="shared" si="15"/>
        <v/>
      </c>
      <c r="I48" s="144" t="str">
        <f t="shared" si="16"/>
        <v/>
      </c>
      <c r="J48" s="89" t="str">
        <f t="shared" si="17"/>
        <v/>
      </c>
      <c r="K48" s="89"/>
    </row>
    <row r="49" spans="1:11" s="5" customFormat="1" ht="15.75" customHeight="1" x14ac:dyDescent="0.2">
      <c r="A49" s="2"/>
      <c r="B49" s="12" t="s">
        <v>217</v>
      </c>
      <c r="C49" s="43"/>
      <c r="D49" s="156">
        <f>'DEM (Strategic Priorities)'!D54</f>
        <v>0</v>
      </c>
      <c r="E49" s="66">
        <f>'DEM (Strategic Priorities)'!E54</f>
        <v>0</v>
      </c>
      <c r="F49" s="89">
        <f t="shared" si="13"/>
        <v>0</v>
      </c>
      <c r="G49" s="89" t="str">
        <f t="shared" si="14"/>
        <v/>
      </c>
      <c r="H49" s="89" t="str">
        <f t="shared" si="15"/>
        <v/>
      </c>
      <c r="I49" s="144" t="str">
        <f t="shared" si="16"/>
        <v/>
      </c>
      <c r="J49" s="89" t="str">
        <f t="shared" si="17"/>
        <v/>
      </c>
      <c r="K49" s="89"/>
    </row>
    <row r="50" spans="1:11" s="5" customFormat="1" ht="15.75" customHeight="1" x14ac:dyDescent="0.2">
      <c r="A50" s="2"/>
      <c r="B50" s="12" t="s">
        <v>218</v>
      </c>
      <c r="C50" s="43"/>
      <c r="D50" s="156">
        <f>'DEM (Strategic Priorities)'!D55</f>
        <v>0</v>
      </c>
      <c r="E50" s="66">
        <f>'DEM (Strategic Priorities)'!E55</f>
        <v>0</v>
      </c>
      <c r="F50" s="89">
        <f t="shared" si="13"/>
        <v>0</v>
      </c>
      <c r="G50" s="89" t="str">
        <f t="shared" si="14"/>
        <v/>
      </c>
      <c r="H50" s="89" t="str">
        <f t="shared" si="15"/>
        <v/>
      </c>
      <c r="I50" s="144" t="str">
        <f t="shared" si="16"/>
        <v/>
      </c>
      <c r="J50" s="89" t="str">
        <f t="shared" si="17"/>
        <v/>
      </c>
      <c r="K50" s="89"/>
    </row>
    <row r="51" spans="1:11" s="5" customFormat="1" ht="15.75" customHeight="1" x14ac:dyDescent="0.2">
      <c r="A51" s="2"/>
      <c r="B51" s="12" t="s">
        <v>219</v>
      </c>
      <c r="C51" s="43"/>
      <c r="D51" s="156">
        <f>'DEM (Strategic Priorities)'!D56</f>
        <v>0</v>
      </c>
      <c r="E51" s="66">
        <f>'DEM (Strategic Priorities)'!E56</f>
        <v>0</v>
      </c>
      <c r="F51" s="89">
        <f t="shared" si="13"/>
        <v>0</v>
      </c>
      <c r="G51" s="89" t="str">
        <f t="shared" si="14"/>
        <v/>
      </c>
      <c r="H51" s="89" t="str">
        <f t="shared" si="15"/>
        <v/>
      </c>
      <c r="I51" s="144" t="str">
        <f t="shared" si="16"/>
        <v/>
      </c>
      <c r="J51" s="89" t="str">
        <f t="shared" si="17"/>
        <v/>
      </c>
      <c r="K51" s="89"/>
    </row>
    <row r="52" spans="1:11" s="5" customFormat="1" ht="15.75" customHeight="1" x14ac:dyDescent="0.2">
      <c r="A52" s="2"/>
      <c r="B52" s="12" t="s">
        <v>220</v>
      </c>
      <c r="C52" s="43"/>
      <c r="D52" s="156">
        <f>'DEM (Strategic Priorities)'!D57</f>
        <v>0</v>
      </c>
      <c r="E52" s="66">
        <f>'DEM (Strategic Priorities)'!E57</f>
        <v>0</v>
      </c>
      <c r="F52" s="89">
        <f t="shared" si="13"/>
        <v>0</v>
      </c>
      <c r="G52" s="89" t="str">
        <f t="shared" si="14"/>
        <v/>
      </c>
      <c r="H52" s="89" t="str">
        <f t="shared" si="15"/>
        <v/>
      </c>
      <c r="I52" s="144" t="str">
        <f t="shared" si="16"/>
        <v/>
      </c>
      <c r="J52" s="89" t="str">
        <f t="shared" si="17"/>
        <v/>
      </c>
      <c r="K52" s="89"/>
    </row>
    <row r="53" spans="1:11" s="5" customFormat="1" ht="15.75" customHeight="1" x14ac:dyDescent="0.2">
      <c r="A53" s="2"/>
      <c r="B53" s="12" t="s">
        <v>221</v>
      </c>
      <c r="C53" s="43"/>
      <c r="D53" s="156">
        <f>'DEM (Strategic Priorities)'!D58</f>
        <v>0</v>
      </c>
      <c r="E53" s="66">
        <f>'DEM (Strategic Priorities)'!E58</f>
        <v>0</v>
      </c>
      <c r="F53" s="89">
        <f t="shared" si="13"/>
        <v>0</v>
      </c>
      <c r="G53" s="89" t="str">
        <f t="shared" si="14"/>
        <v/>
      </c>
      <c r="H53" s="89" t="str">
        <f t="shared" si="15"/>
        <v/>
      </c>
      <c r="I53" s="144" t="str">
        <f t="shared" si="16"/>
        <v/>
      </c>
      <c r="J53" s="89" t="str">
        <f t="shared" si="17"/>
        <v/>
      </c>
      <c r="K53" s="89"/>
    </row>
    <row r="54" spans="1:11" s="5" customFormat="1" ht="15.75" customHeight="1" x14ac:dyDescent="0.2">
      <c r="A54" s="2"/>
      <c r="B54" s="12" t="s">
        <v>222</v>
      </c>
      <c r="C54" s="43"/>
      <c r="D54" s="156">
        <f>'DEM (Strategic Priorities)'!D59</f>
        <v>0</v>
      </c>
      <c r="E54" s="66">
        <f>'DEM (Strategic Priorities)'!E59</f>
        <v>0</v>
      </c>
      <c r="F54" s="89">
        <f t="shared" si="13"/>
        <v>0</v>
      </c>
      <c r="G54" s="89" t="str">
        <f t="shared" si="14"/>
        <v/>
      </c>
      <c r="H54" s="89" t="str">
        <f t="shared" si="15"/>
        <v/>
      </c>
      <c r="I54" s="144" t="str">
        <f t="shared" si="16"/>
        <v/>
      </c>
      <c r="J54" s="89" t="str">
        <f t="shared" si="17"/>
        <v/>
      </c>
      <c r="K54" s="89"/>
    </row>
    <row r="55" spans="1:11" s="5" customFormat="1" ht="15.75" customHeight="1" x14ac:dyDescent="0.2">
      <c r="A55" s="2"/>
      <c r="B55" s="12" t="s">
        <v>223</v>
      </c>
      <c r="C55" s="43"/>
      <c r="D55" s="156">
        <f>'DEM (Strategic Priorities)'!D60</f>
        <v>0</v>
      </c>
      <c r="E55" s="66">
        <f>'DEM (Strategic Priorities)'!E60</f>
        <v>0</v>
      </c>
      <c r="F55" s="89">
        <f t="shared" si="13"/>
        <v>0</v>
      </c>
      <c r="G55" s="89" t="str">
        <f t="shared" si="14"/>
        <v/>
      </c>
      <c r="H55" s="89" t="str">
        <f t="shared" si="15"/>
        <v/>
      </c>
      <c r="I55" s="144" t="str">
        <f t="shared" si="16"/>
        <v/>
      </c>
      <c r="J55" s="89" t="str">
        <f t="shared" si="17"/>
        <v/>
      </c>
      <c r="K55" s="89"/>
    </row>
    <row r="56" spans="1:11" s="5" customFormat="1" ht="15.75" customHeight="1" x14ac:dyDescent="0.2">
      <c r="A56" s="2"/>
      <c r="B56" s="12" t="s">
        <v>224</v>
      </c>
      <c r="C56" s="43"/>
      <c r="D56" s="156">
        <f>'DEM (Strategic Priorities)'!D61</f>
        <v>0</v>
      </c>
      <c r="E56" s="66">
        <f>'DEM (Strategic Priorities)'!E61</f>
        <v>0</v>
      </c>
      <c r="F56" s="89">
        <f t="shared" si="13"/>
        <v>0</v>
      </c>
      <c r="G56" s="89" t="str">
        <f t="shared" si="14"/>
        <v/>
      </c>
      <c r="H56" s="89" t="str">
        <f t="shared" si="15"/>
        <v/>
      </c>
      <c r="I56" s="144" t="str">
        <f t="shared" si="16"/>
        <v/>
      </c>
      <c r="J56" s="89" t="str">
        <f t="shared" si="17"/>
        <v/>
      </c>
      <c r="K56" s="89"/>
    </row>
    <row r="57" spans="1:11" s="5" customFormat="1" ht="25.5" x14ac:dyDescent="0.2">
      <c r="A57" s="2"/>
      <c r="B57" s="12" t="s">
        <v>225</v>
      </c>
      <c r="C57" s="43"/>
      <c r="D57" s="156">
        <f>'DEM (Strategic Priorities)'!D62</f>
        <v>0</v>
      </c>
      <c r="E57" s="66">
        <f>'DEM (Strategic Priorities)'!E62</f>
        <v>0</v>
      </c>
      <c r="F57" s="89">
        <f t="shared" si="13"/>
        <v>0</v>
      </c>
      <c r="G57" s="89" t="str">
        <f t="shared" si="14"/>
        <v/>
      </c>
      <c r="H57" s="89" t="str">
        <f t="shared" si="15"/>
        <v/>
      </c>
      <c r="I57" s="144" t="str">
        <f t="shared" si="16"/>
        <v/>
      </c>
      <c r="J57" s="89" t="str">
        <f t="shared" si="17"/>
        <v/>
      </c>
      <c r="K57" s="89"/>
    </row>
    <row r="58" spans="1:11" s="5" customFormat="1" x14ac:dyDescent="0.2">
      <c r="A58" s="2"/>
      <c r="B58" s="12" t="s">
        <v>226</v>
      </c>
      <c r="C58" s="43"/>
      <c r="D58" s="156">
        <f>'DEM (Strategic Priorities)'!D63</f>
        <v>0</v>
      </c>
      <c r="E58" s="66">
        <f>'DEM (Strategic Priorities)'!E63</f>
        <v>0</v>
      </c>
      <c r="F58" s="89">
        <f t="shared" si="13"/>
        <v>0</v>
      </c>
      <c r="G58" s="89" t="str">
        <f t="shared" si="14"/>
        <v/>
      </c>
      <c r="H58" s="89" t="str">
        <f t="shared" si="15"/>
        <v/>
      </c>
      <c r="I58" s="144" t="str">
        <f t="shared" si="16"/>
        <v/>
      </c>
      <c r="J58" s="89" t="str">
        <f t="shared" si="17"/>
        <v/>
      </c>
      <c r="K58" s="89"/>
    </row>
    <row r="59" spans="1:11" s="5" customFormat="1" ht="25.5" x14ac:dyDescent="0.2">
      <c r="A59" s="2"/>
      <c r="B59" s="12" t="s">
        <v>227</v>
      </c>
      <c r="C59" s="43"/>
      <c r="D59" s="156">
        <f>'DEM (Strategic Priorities)'!D64</f>
        <v>0</v>
      </c>
      <c r="E59" s="66">
        <f>'DEM (Strategic Priorities)'!E64</f>
        <v>0</v>
      </c>
      <c r="F59" s="89">
        <f t="shared" si="13"/>
        <v>0</v>
      </c>
      <c r="G59" s="89" t="str">
        <f t="shared" si="14"/>
        <v/>
      </c>
      <c r="H59" s="89" t="str">
        <f t="shared" si="15"/>
        <v/>
      </c>
      <c r="I59" s="144" t="str">
        <f t="shared" si="16"/>
        <v/>
      </c>
      <c r="J59" s="89" t="str">
        <f t="shared" si="17"/>
        <v/>
      </c>
      <c r="K59" s="89"/>
    </row>
    <row r="60" spans="1:11" s="5" customFormat="1" x14ac:dyDescent="0.2">
      <c r="A60" s="2"/>
      <c r="B60" s="213" t="s">
        <v>228</v>
      </c>
      <c r="C60" s="215"/>
      <c r="D60" s="216">
        <f>'DEM (Strategic Priorities)'!D65</f>
        <v>0</v>
      </c>
      <c r="E60" s="217">
        <f>'DEM (Strategic Priorities)'!E65</f>
        <v>0</v>
      </c>
      <c r="F60" s="89">
        <f t="shared" ref="F60" si="18">IF(E60="Yes",1,0)</f>
        <v>0</v>
      </c>
      <c r="G60" s="89" t="str">
        <f t="shared" ref="G60" si="19">IF(F60=1,B60,"")</f>
        <v/>
      </c>
      <c r="H60" s="89" t="str">
        <f t="shared" ref="H60" si="20">IF(G60&lt;&gt;"","-","")</f>
        <v/>
      </c>
      <c r="I60" s="144" t="str">
        <f t="shared" ref="I60" si="21">IF(E60="Yes","*","")</f>
        <v/>
      </c>
      <c r="J60" s="89" t="str">
        <f t="shared" ref="J60" si="22">IF(G60&lt;&gt;"",CONCATENATE(H60,G60,I60,CHAR(10)),"")</f>
        <v/>
      </c>
      <c r="K60" s="89"/>
    </row>
    <row r="61" spans="1:11" s="5" customFormat="1" x14ac:dyDescent="0.2">
      <c r="A61" s="2"/>
      <c r="B61" s="12" t="s">
        <v>229</v>
      </c>
      <c r="C61" s="43"/>
      <c r="D61" s="156">
        <f>'DEM (Strategic Priorities)'!D66</f>
        <v>0</v>
      </c>
      <c r="E61" s="66">
        <f>'DEM (Strategic Priorities)'!E66</f>
        <v>0</v>
      </c>
      <c r="F61" s="89">
        <f t="shared" si="13"/>
        <v>0</v>
      </c>
      <c r="G61" s="89" t="str">
        <f t="shared" si="14"/>
        <v/>
      </c>
      <c r="H61" s="89" t="str">
        <f t="shared" si="15"/>
        <v/>
      </c>
      <c r="I61" s="144" t="str">
        <f t="shared" si="16"/>
        <v/>
      </c>
      <c r="J61" s="89" t="str">
        <f t="shared" si="17"/>
        <v/>
      </c>
      <c r="K61" s="89"/>
    </row>
    <row r="62" spans="1:11" s="5" customFormat="1" ht="25.5" x14ac:dyDescent="0.2">
      <c r="A62" s="2"/>
      <c r="B62" s="12" t="s">
        <v>230</v>
      </c>
      <c r="C62" s="43"/>
      <c r="D62" s="156">
        <f>'DEM (Strategic Priorities)'!D67</f>
        <v>0</v>
      </c>
      <c r="E62" s="66">
        <f>'DEM (Strategic Priorities)'!E67</f>
        <v>0</v>
      </c>
      <c r="F62" s="89">
        <f t="shared" si="13"/>
        <v>0</v>
      </c>
      <c r="G62" s="89" t="str">
        <f t="shared" si="14"/>
        <v/>
      </c>
      <c r="H62" s="89" t="str">
        <f t="shared" si="15"/>
        <v/>
      </c>
      <c r="I62" s="144" t="str">
        <f t="shared" si="16"/>
        <v/>
      </c>
      <c r="J62" s="89" t="str">
        <f t="shared" si="17"/>
        <v/>
      </c>
      <c r="K62" s="89"/>
    </row>
    <row r="63" spans="1:11" s="5" customFormat="1" x14ac:dyDescent="0.2">
      <c r="A63" s="2"/>
      <c r="B63" s="213" t="s">
        <v>231</v>
      </c>
      <c r="C63" s="215"/>
      <c r="D63" s="216">
        <f>'DEM (Strategic Priorities)'!D68</f>
        <v>0</v>
      </c>
      <c r="E63" s="217">
        <f>'DEM (Strategic Priorities)'!E68</f>
        <v>0</v>
      </c>
      <c r="F63" s="89">
        <f t="shared" ref="F63" si="23">IF(E63="Yes",1,0)</f>
        <v>0</v>
      </c>
      <c r="G63" s="89" t="str">
        <f t="shared" ref="G63" si="24">IF(F63=1,B63,"")</f>
        <v/>
      </c>
      <c r="H63" s="89" t="str">
        <f t="shared" ref="H63" si="25">IF(G63&lt;&gt;"","-","")</f>
        <v/>
      </c>
      <c r="I63" s="144" t="str">
        <f t="shared" ref="I63" si="26">IF(E63="Yes","*","")</f>
        <v/>
      </c>
      <c r="J63" s="89" t="str">
        <f t="shared" ref="J63" si="27">IF(G63&lt;&gt;"",CONCATENATE(H63,G63,I63,CHAR(10)),"")</f>
        <v/>
      </c>
      <c r="K63" s="89"/>
    </row>
    <row r="64" spans="1:11" s="5" customFormat="1" ht="15.75" customHeight="1" x14ac:dyDescent="0.2">
      <c r="A64" s="2"/>
      <c r="B64" s="12" t="s">
        <v>232</v>
      </c>
      <c r="C64" s="43"/>
      <c r="D64" s="156">
        <f>'DEM (Strategic Priorities)'!D69</f>
        <v>0</v>
      </c>
      <c r="E64" s="66">
        <f>'DEM (Strategic Priorities)'!E69</f>
        <v>0</v>
      </c>
      <c r="F64" s="89">
        <f t="shared" si="13"/>
        <v>0</v>
      </c>
      <c r="G64" s="89" t="str">
        <f t="shared" si="14"/>
        <v/>
      </c>
      <c r="H64" s="89" t="str">
        <f t="shared" si="15"/>
        <v/>
      </c>
      <c r="I64" s="144" t="str">
        <f t="shared" si="16"/>
        <v/>
      </c>
      <c r="J64" s="89" t="str">
        <f t="shared" si="17"/>
        <v/>
      </c>
      <c r="K64" s="89"/>
    </row>
    <row r="65" spans="1:11" s="5" customFormat="1" ht="15.75" customHeight="1" x14ac:dyDescent="0.2">
      <c r="A65" s="2"/>
      <c r="B65" s="12" t="s">
        <v>233</v>
      </c>
      <c r="C65" s="43"/>
      <c r="D65" s="156">
        <f>'DEM (Strategic Priorities)'!D70</f>
        <v>0</v>
      </c>
      <c r="E65" s="66">
        <f>'DEM (Strategic Priorities)'!E70</f>
        <v>0</v>
      </c>
      <c r="F65" s="89">
        <f t="shared" si="13"/>
        <v>0</v>
      </c>
      <c r="G65" s="89" t="str">
        <f t="shared" si="14"/>
        <v/>
      </c>
      <c r="H65" s="89" t="str">
        <f t="shared" si="15"/>
        <v/>
      </c>
      <c r="I65" s="144" t="str">
        <f t="shared" si="16"/>
        <v/>
      </c>
      <c r="J65" s="89" t="str">
        <f t="shared" si="17"/>
        <v/>
      </c>
      <c r="K65" s="89"/>
    </row>
    <row r="66" spans="1:11" s="5" customFormat="1" ht="15.75" customHeight="1" x14ac:dyDescent="0.2">
      <c r="A66" s="2"/>
      <c r="B66" s="12" t="s">
        <v>234</v>
      </c>
      <c r="C66" s="43"/>
      <c r="D66" s="156">
        <f>'DEM (Strategic Priorities)'!D71</f>
        <v>0</v>
      </c>
      <c r="E66" s="66">
        <f>'DEM (Strategic Priorities)'!E71</f>
        <v>0</v>
      </c>
      <c r="F66" s="89">
        <f t="shared" si="13"/>
        <v>0</v>
      </c>
      <c r="G66" s="89" t="str">
        <f t="shared" si="14"/>
        <v/>
      </c>
      <c r="H66" s="89" t="str">
        <f t="shared" si="15"/>
        <v/>
      </c>
      <c r="I66" s="144" t="str">
        <f t="shared" si="16"/>
        <v/>
      </c>
      <c r="J66" s="89" t="str">
        <f t="shared" si="17"/>
        <v/>
      </c>
      <c r="K66" s="89"/>
    </row>
    <row r="67" spans="1:11" s="5" customFormat="1" ht="15.75" customHeight="1" x14ac:dyDescent="0.2">
      <c r="A67" s="2"/>
      <c r="B67" s="213" t="s">
        <v>235</v>
      </c>
      <c r="C67" s="215"/>
      <c r="D67" s="216">
        <f>'DEM (Strategic Priorities)'!D72</f>
        <v>0</v>
      </c>
      <c r="E67" s="217">
        <f>'DEM (Strategic Priorities)'!E72</f>
        <v>0</v>
      </c>
      <c r="F67" s="89">
        <f t="shared" si="13"/>
        <v>0</v>
      </c>
      <c r="G67" s="89" t="str">
        <f t="shared" si="14"/>
        <v/>
      </c>
      <c r="H67" s="89" t="str">
        <f t="shared" si="15"/>
        <v/>
      </c>
      <c r="I67" s="144" t="str">
        <f t="shared" si="16"/>
        <v/>
      </c>
      <c r="J67" s="89" t="str">
        <f t="shared" si="17"/>
        <v/>
      </c>
      <c r="K67" s="89"/>
    </row>
    <row r="68" spans="1:11" s="5" customFormat="1" ht="15.75" customHeight="1" x14ac:dyDescent="0.2">
      <c r="A68" s="2"/>
      <c r="B68" s="213" t="s">
        <v>236</v>
      </c>
      <c r="C68" s="215"/>
      <c r="D68" s="216">
        <f>'DEM (Strategic Priorities)'!D73</f>
        <v>0</v>
      </c>
      <c r="E68" s="217">
        <f>'DEM (Strategic Priorities)'!E73</f>
        <v>0</v>
      </c>
      <c r="F68" s="89">
        <f t="shared" ref="F68:F72" si="28">IF(E68="Yes",1,0)</f>
        <v>0</v>
      </c>
      <c r="G68" s="89" t="str">
        <f t="shared" ref="G68:G72" si="29">IF(F68=1,B68,"")</f>
        <v/>
      </c>
      <c r="H68" s="89" t="str">
        <f t="shared" ref="H68:H72" si="30">IF(G68&lt;&gt;"","-","")</f>
        <v/>
      </c>
      <c r="I68" s="144" t="str">
        <f t="shared" ref="I68:I72" si="31">IF(E68="Yes","*","")</f>
        <v/>
      </c>
      <c r="J68" s="89" t="str">
        <f t="shared" ref="J68:J72" si="32">IF(G68&lt;&gt;"",CONCATENATE(H68,G68,I68,CHAR(10)),"")</f>
        <v/>
      </c>
      <c r="K68" s="89"/>
    </row>
    <row r="69" spans="1:11" s="5" customFormat="1" ht="15.75" customHeight="1" x14ac:dyDescent="0.2">
      <c r="A69" s="2"/>
      <c r="B69" s="213" t="s">
        <v>237</v>
      </c>
      <c r="C69" s="215"/>
      <c r="D69" s="216">
        <f>'DEM (Strategic Priorities)'!D74</f>
        <v>0</v>
      </c>
      <c r="E69" s="217">
        <f>'DEM (Strategic Priorities)'!E74</f>
        <v>0</v>
      </c>
      <c r="F69" s="89">
        <f t="shared" si="28"/>
        <v>0</v>
      </c>
      <c r="G69" s="89" t="str">
        <f t="shared" si="29"/>
        <v/>
      </c>
      <c r="H69" s="89" t="str">
        <f t="shared" si="30"/>
        <v/>
      </c>
      <c r="I69" s="144" t="str">
        <f t="shared" si="31"/>
        <v/>
      </c>
      <c r="J69" s="89" t="str">
        <f t="shared" si="32"/>
        <v/>
      </c>
      <c r="K69" s="89"/>
    </row>
    <row r="70" spans="1:11" s="5" customFormat="1" ht="15.75" customHeight="1" x14ac:dyDescent="0.2">
      <c r="A70" s="2"/>
      <c r="B70" s="213" t="s">
        <v>238</v>
      </c>
      <c r="C70" s="215"/>
      <c r="D70" s="216">
        <f>'DEM (Strategic Priorities)'!D75</f>
        <v>0</v>
      </c>
      <c r="E70" s="217">
        <f>'DEM (Strategic Priorities)'!E75</f>
        <v>0</v>
      </c>
      <c r="F70" s="89">
        <f t="shared" si="28"/>
        <v>0</v>
      </c>
      <c r="G70" s="89" t="str">
        <f t="shared" si="29"/>
        <v/>
      </c>
      <c r="H70" s="89" t="str">
        <f t="shared" si="30"/>
        <v/>
      </c>
      <c r="I70" s="144" t="str">
        <f t="shared" si="31"/>
        <v/>
      </c>
      <c r="J70" s="89" t="str">
        <f t="shared" si="32"/>
        <v/>
      </c>
      <c r="K70" s="89"/>
    </row>
    <row r="71" spans="1:11" s="5" customFormat="1" ht="15.75" customHeight="1" x14ac:dyDescent="0.2">
      <c r="A71" s="2"/>
      <c r="B71" s="213" t="s">
        <v>239</v>
      </c>
      <c r="C71" s="215"/>
      <c r="D71" s="216">
        <f>'DEM (Strategic Priorities)'!D76</f>
        <v>0</v>
      </c>
      <c r="E71" s="217">
        <f>'DEM (Strategic Priorities)'!E76</f>
        <v>0</v>
      </c>
      <c r="F71" s="89">
        <f t="shared" si="28"/>
        <v>0</v>
      </c>
      <c r="G71" s="89" t="str">
        <f t="shared" si="29"/>
        <v/>
      </c>
      <c r="H71" s="89" t="str">
        <f t="shared" si="30"/>
        <v/>
      </c>
      <c r="I71" s="144" t="str">
        <f t="shared" si="31"/>
        <v/>
      </c>
      <c r="J71" s="89" t="str">
        <f t="shared" si="32"/>
        <v/>
      </c>
      <c r="K71" s="89"/>
    </row>
    <row r="72" spans="1:11" s="5" customFormat="1" ht="15.75" customHeight="1" x14ac:dyDescent="0.2">
      <c r="A72" s="2"/>
      <c r="B72" s="213" t="s">
        <v>240</v>
      </c>
      <c r="C72" s="215"/>
      <c r="D72" s="216">
        <f>'DEM (Strategic Priorities)'!D77</f>
        <v>0</v>
      </c>
      <c r="E72" s="217">
        <f>'DEM (Strategic Priorities)'!E77</f>
        <v>0</v>
      </c>
      <c r="F72" s="89">
        <f t="shared" si="28"/>
        <v>0</v>
      </c>
      <c r="G72" s="89" t="str">
        <f t="shared" si="29"/>
        <v/>
      </c>
      <c r="H72" s="89" t="str">
        <f t="shared" si="30"/>
        <v/>
      </c>
      <c r="I72" s="144" t="str">
        <f t="shared" si="31"/>
        <v/>
      </c>
      <c r="J72" s="89" t="str">
        <f t="shared" si="32"/>
        <v/>
      </c>
      <c r="K72" s="89"/>
    </row>
    <row r="73" spans="1:11" s="5" customFormat="1" ht="15.75" customHeight="1" x14ac:dyDescent="0.2">
      <c r="A73" s="2"/>
      <c r="B73" s="12" t="s">
        <v>241</v>
      </c>
      <c r="C73" s="43"/>
      <c r="D73" s="156">
        <f>'DEM (Strategic Priorities)'!D78</f>
        <v>0</v>
      </c>
      <c r="E73" s="66">
        <f>'DEM (Strategic Priorities)'!E78</f>
        <v>0</v>
      </c>
      <c r="F73" s="89">
        <f t="shared" si="13"/>
        <v>0</v>
      </c>
      <c r="G73" s="89" t="str">
        <f t="shared" si="14"/>
        <v/>
      </c>
      <c r="H73" s="89" t="str">
        <f t="shared" si="15"/>
        <v/>
      </c>
      <c r="I73" s="144" t="str">
        <f t="shared" si="16"/>
        <v/>
      </c>
      <c r="J73" s="89" t="str">
        <f t="shared" si="17"/>
        <v/>
      </c>
      <c r="K73" s="89"/>
    </row>
    <row r="74" spans="1:11" s="5" customFormat="1" ht="35.25" customHeight="1" thickBot="1" x14ac:dyDescent="0.25">
      <c r="A74" s="2"/>
      <c r="B74" s="19"/>
      <c r="C74" s="3"/>
      <c r="D74" s="331"/>
      <c r="E74" s="331"/>
      <c r="F74" s="86"/>
      <c r="G74" s="87"/>
      <c r="H74" s="87"/>
      <c r="I74" s="87"/>
      <c r="J74" s="87"/>
      <c r="K74" s="87"/>
    </row>
    <row r="75" spans="1:11" s="5" customFormat="1" ht="43.5" customHeight="1" x14ac:dyDescent="0.2">
      <c r="B75" s="15" t="s">
        <v>242</v>
      </c>
      <c r="C75" s="74"/>
      <c r="D75" s="163"/>
      <c r="E75" s="148"/>
      <c r="F75" s="86"/>
      <c r="G75" s="87"/>
      <c r="H75" s="87"/>
      <c r="I75" s="87"/>
      <c r="J75" s="87"/>
      <c r="K75" s="87"/>
    </row>
    <row r="76" spans="1:11" s="5" customFormat="1" ht="24" customHeight="1" x14ac:dyDescent="0.2">
      <c r="B76" s="16" t="s">
        <v>160</v>
      </c>
      <c r="C76" s="13"/>
      <c r="D76" s="64"/>
      <c r="E76" s="149"/>
      <c r="F76" s="86"/>
      <c r="G76" s="87"/>
      <c r="H76" s="87"/>
      <c r="I76" s="87"/>
      <c r="J76" s="87"/>
      <c r="K76" s="87"/>
    </row>
    <row r="77" spans="1:11" s="5" customFormat="1" ht="28.5" customHeight="1" x14ac:dyDescent="0.2">
      <c r="A77" s="2"/>
      <c r="B77" s="11" t="s">
        <v>243</v>
      </c>
      <c r="C77" s="42" t="s">
        <v>162</v>
      </c>
      <c r="D77" s="65"/>
      <c r="E77" s="147"/>
      <c r="F77" s="86"/>
      <c r="G77" s="87"/>
      <c r="H77" s="87"/>
      <c r="I77" s="87"/>
      <c r="J77" s="87"/>
      <c r="K77" s="87"/>
    </row>
    <row r="78" spans="1:11" s="5" customFormat="1" ht="24" customHeight="1" x14ac:dyDescent="0.2">
      <c r="A78" s="2"/>
      <c r="B78" s="11" t="s">
        <v>244</v>
      </c>
      <c r="C78" s="42" t="s">
        <v>164</v>
      </c>
      <c r="D78" s="65"/>
      <c r="E78" s="147"/>
      <c r="F78" s="86"/>
      <c r="G78" s="87"/>
      <c r="H78" s="87"/>
      <c r="I78" s="87"/>
      <c r="J78" s="87"/>
      <c r="K78" s="87"/>
    </row>
    <row r="79" spans="1:11" s="5" customFormat="1" ht="28.5" customHeight="1" x14ac:dyDescent="0.2">
      <c r="A79" s="2"/>
      <c r="B79" s="76" t="s">
        <v>165</v>
      </c>
      <c r="C79" s="13"/>
      <c r="D79" s="64"/>
      <c r="E79" s="149"/>
      <c r="F79" s="86"/>
      <c r="G79" s="87"/>
      <c r="H79" s="87"/>
      <c r="I79" s="87"/>
      <c r="J79" s="87"/>
      <c r="K79" s="87"/>
    </row>
    <row r="80" spans="1:11" ht="25.5" x14ac:dyDescent="0.2">
      <c r="B80" s="14" t="s">
        <v>166</v>
      </c>
      <c r="C80" s="42" t="s">
        <v>245</v>
      </c>
      <c r="D80" s="65"/>
      <c r="E80" s="147"/>
      <c r="F80" s="86"/>
      <c r="G80" s="87"/>
      <c r="H80" s="87"/>
      <c r="I80" s="87"/>
      <c r="J80" s="87"/>
      <c r="K80" s="87"/>
    </row>
    <row r="81" spans="2:11" x14ac:dyDescent="0.2">
      <c r="B81" s="16" t="s">
        <v>246</v>
      </c>
      <c r="C81" s="13"/>
      <c r="D81" s="64"/>
      <c r="E81" s="149"/>
      <c r="F81" s="86"/>
      <c r="G81" s="87"/>
      <c r="H81" s="87"/>
      <c r="I81" s="87"/>
      <c r="J81" s="87"/>
      <c r="K81" s="87"/>
    </row>
    <row r="82" spans="2:11" ht="26.25" thickBot="1" x14ac:dyDescent="0.25">
      <c r="B82" s="38" t="s">
        <v>168</v>
      </c>
      <c r="C82" s="41" t="s">
        <v>169</v>
      </c>
      <c r="D82" s="157"/>
      <c r="E82" s="147"/>
      <c r="F82" s="86"/>
      <c r="G82" s="87"/>
      <c r="H82" s="87"/>
      <c r="I82" s="87"/>
      <c r="J82" s="87"/>
      <c r="K82" s="87"/>
    </row>
    <row r="83" spans="2:11" x14ac:dyDescent="0.2">
      <c r="E83" s="158"/>
    </row>
    <row r="84" spans="2:11" x14ac:dyDescent="0.2">
      <c r="E84" s="159"/>
    </row>
    <row r="85" spans="2:11" x14ac:dyDescent="0.2">
      <c r="E85" s="15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N115"/>
  <sheetViews>
    <sheetView topLeftCell="A18" zoomScale="90" zoomScaleNormal="90" zoomScaleSheetLayoutView="70" workbookViewId="0">
      <selection activeCell="D33" sqref="D33"/>
    </sheetView>
  </sheetViews>
  <sheetFormatPr defaultColWidth="9.140625" defaultRowHeight="12.75" x14ac:dyDescent="0.2"/>
  <cols>
    <col min="1" max="1" width="0.28515625" style="2" customWidth="1"/>
    <col min="2" max="2" width="72.140625" style="4" customWidth="1"/>
    <col min="3" max="3" width="35.42578125" style="4" customWidth="1"/>
    <col min="4" max="4" width="12.42578125" style="18" customWidth="1"/>
    <col min="5" max="5" width="11.5703125" style="238" hidden="1" customWidth="1"/>
    <col min="6" max="6" width="12.85546875" style="279" hidden="1" customWidth="1"/>
    <col min="7" max="7" width="14.7109375" style="8" customWidth="1"/>
    <col min="8" max="8" width="11" style="86" hidden="1" customWidth="1"/>
    <col min="9" max="9" width="62" style="288" customWidth="1"/>
    <col min="10" max="10" width="60.140625" style="288" customWidth="1"/>
    <col min="11" max="11" width="51.140625" style="288" customWidth="1"/>
    <col min="12" max="12" width="68.140625" style="288" customWidth="1"/>
    <col min="13" max="40" width="9.140625" style="45"/>
    <col min="41" max="16384" width="9.140625" style="2"/>
  </cols>
  <sheetData>
    <row r="1" spans="1:40" ht="13.5" thickBot="1" x14ac:dyDescent="0.25">
      <c r="B1" s="281"/>
      <c r="C1" s="282"/>
      <c r="D1" s="283"/>
    </row>
    <row r="2" spans="1:40" ht="18" x14ac:dyDescent="0.2">
      <c r="A2" s="286"/>
      <c r="B2" s="445" t="s">
        <v>73</v>
      </c>
      <c r="C2" s="446"/>
      <c r="D2" s="447"/>
      <c r="E2" s="234"/>
      <c r="F2" s="234"/>
      <c r="G2" s="231"/>
    </row>
    <row r="3" spans="1:40" ht="18.75" thickBot="1" x14ac:dyDescent="0.25">
      <c r="A3" s="287"/>
      <c r="B3" s="471" t="s">
        <v>247</v>
      </c>
      <c r="C3" s="454"/>
      <c r="D3" s="472"/>
      <c r="E3" s="235"/>
      <c r="F3" s="235"/>
      <c r="G3" s="232"/>
    </row>
    <row r="4" spans="1:40" ht="18" x14ac:dyDescent="0.2">
      <c r="A4" s="20" t="s">
        <v>248</v>
      </c>
      <c r="B4" s="284"/>
      <c r="C4" s="145"/>
      <c r="D4" s="285"/>
      <c r="E4" s="280"/>
      <c r="F4" s="280"/>
      <c r="G4" s="145"/>
    </row>
    <row r="5" spans="1:40" ht="23.25" customHeight="1" x14ac:dyDescent="0.2">
      <c r="A5" s="20"/>
      <c r="B5" s="473" t="s">
        <v>249</v>
      </c>
      <c r="C5" s="474"/>
      <c r="D5" s="475"/>
      <c r="E5" s="236"/>
      <c r="F5" s="236"/>
      <c r="G5" s="233"/>
    </row>
    <row r="6" spans="1:40" ht="32.25" customHeight="1" x14ac:dyDescent="0.2">
      <c r="A6" s="6">
        <v>1</v>
      </c>
      <c r="B6" s="476" t="s">
        <v>250</v>
      </c>
      <c r="C6" s="448"/>
      <c r="D6" s="449"/>
      <c r="E6" s="237"/>
      <c r="F6" s="237"/>
      <c r="G6" s="106"/>
    </row>
    <row r="7" spans="1:40" ht="35.25" customHeight="1" thickBot="1" x14ac:dyDescent="0.25">
      <c r="A7" s="26">
        <v>2</v>
      </c>
      <c r="B7" s="477" t="s">
        <v>251</v>
      </c>
      <c r="C7" s="478"/>
      <c r="D7" s="479"/>
      <c r="E7" s="237"/>
      <c r="F7" s="237"/>
      <c r="G7" s="106"/>
    </row>
    <row r="8" spans="1:40" ht="21" customHeight="1" thickBot="1" x14ac:dyDescent="0.25">
      <c r="A8" s="23"/>
      <c r="B8" s="106"/>
      <c r="C8" s="106"/>
      <c r="D8" s="106"/>
      <c r="E8" s="237"/>
      <c r="F8" s="237"/>
      <c r="G8" s="107"/>
    </row>
    <row r="9" spans="1:40" ht="15.75" customHeight="1" x14ac:dyDescent="0.2">
      <c r="B9" s="466" t="s">
        <v>79</v>
      </c>
      <c r="C9" s="468" t="s">
        <v>80</v>
      </c>
      <c r="D9" s="468" t="s">
        <v>252</v>
      </c>
      <c r="F9" s="239"/>
      <c r="G9" s="460" t="s">
        <v>253</v>
      </c>
      <c r="H9" s="239"/>
      <c r="I9" s="462" t="s">
        <v>82</v>
      </c>
      <c r="J9" s="463"/>
      <c r="K9" s="463"/>
      <c r="L9" s="363"/>
    </row>
    <row r="10" spans="1:40" ht="21.75" customHeight="1" x14ac:dyDescent="0.2">
      <c r="B10" s="467"/>
      <c r="C10" s="470"/>
      <c r="D10" s="469"/>
      <c r="E10" s="240"/>
      <c r="F10" s="240"/>
      <c r="G10" s="461"/>
      <c r="H10" s="222"/>
      <c r="I10" s="464"/>
      <c r="J10" s="465"/>
      <c r="K10" s="465"/>
      <c r="L10" s="363"/>
    </row>
    <row r="11" spans="1:40" s="5" customFormat="1" ht="21" customHeight="1" x14ac:dyDescent="0.2">
      <c r="A11" s="2"/>
      <c r="B11" s="171" t="s">
        <v>254</v>
      </c>
      <c r="C11" s="91"/>
      <c r="D11" s="185"/>
      <c r="E11" s="241">
        <v>1</v>
      </c>
      <c r="F11" s="242">
        <v>10</v>
      </c>
      <c r="G11" s="186">
        <f>SUM(G12,G19,G24)</f>
        <v>9.6</v>
      </c>
      <c r="H11" s="222"/>
      <c r="I11" s="307" t="s">
        <v>84</v>
      </c>
      <c r="J11" s="308" t="s">
        <v>255</v>
      </c>
      <c r="K11" s="308" t="s">
        <v>86</v>
      </c>
      <c r="L11" s="364" t="s">
        <v>486</v>
      </c>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row>
    <row r="12" spans="1:40" s="5" customFormat="1" ht="21" customHeight="1" x14ac:dyDescent="0.2">
      <c r="A12" s="2"/>
      <c r="B12" s="112" t="s">
        <v>256</v>
      </c>
      <c r="C12" s="93"/>
      <c r="D12" s="113"/>
      <c r="E12" s="243">
        <v>0.3</v>
      </c>
      <c r="F12" s="244">
        <v>3</v>
      </c>
      <c r="G12" s="114">
        <f>SUM(G13:G18)</f>
        <v>3</v>
      </c>
      <c r="H12" s="222"/>
      <c r="I12" s="289"/>
      <c r="J12" s="290"/>
      <c r="K12" s="290"/>
      <c r="L12" s="365"/>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row>
    <row r="13" spans="1:40" s="5" customFormat="1" ht="63.75" x14ac:dyDescent="0.2">
      <c r="A13" s="2"/>
      <c r="B13" s="27" t="s">
        <v>257</v>
      </c>
      <c r="C13" s="117" t="s">
        <v>422</v>
      </c>
      <c r="D13" s="335" t="s">
        <v>399</v>
      </c>
      <c r="E13" s="245">
        <v>0.15</v>
      </c>
      <c r="F13" s="246">
        <v>0.45</v>
      </c>
      <c r="G13" s="116">
        <f>IF(D13="Yes",F13,0)</f>
        <v>0.45</v>
      </c>
      <c r="H13" s="222"/>
      <c r="I13" s="291" t="s">
        <v>443</v>
      </c>
      <c r="J13" s="292" t="s">
        <v>460</v>
      </c>
      <c r="K13" s="292" t="s">
        <v>473</v>
      </c>
      <c r="L13" s="366"/>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row>
    <row r="14" spans="1:40" s="5" customFormat="1" ht="28.5" x14ac:dyDescent="0.2">
      <c r="A14" s="2"/>
      <c r="B14" s="27" t="s">
        <v>258</v>
      </c>
      <c r="C14" s="117" t="s">
        <v>423</v>
      </c>
      <c r="D14" s="115" t="s">
        <v>399</v>
      </c>
      <c r="E14" s="245">
        <v>0.2</v>
      </c>
      <c r="F14" s="246">
        <v>0.6</v>
      </c>
      <c r="G14" s="116">
        <f t="shared" ref="G14:G17" si="0">IF(D14="Yes",F14,0)</f>
        <v>0.6</v>
      </c>
      <c r="H14" s="222"/>
      <c r="I14" s="291" t="s">
        <v>444</v>
      </c>
      <c r="J14" s="292" t="s">
        <v>471</v>
      </c>
      <c r="K14" s="292"/>
      <c r="L14" s="366"/>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row>
    <row r="15" spans="1:40" ht="63.75" x14ac:dyDescent="0.2">
      <c r="B15" s="27" t="s">
        <v>259</v>
      </c>
      <c r="C15" s="117" t="s">
        <v>422</v>
      </c>
      <c r="D15" s="335" t="s">
        <v>399</v>
      </c>
      <c r="E15" s="245">
        <v>0.15</v>
      </c>
      <c r="F15" s="246">
        <v>0.45</v>
      </c>
      <c r="G15" s="116">
        <f t="shared" si="0"/>
        <v>0.45</v>
      </c>
      <c r="H15" s="223"/>
      <c r="I15" s="291" t="s">
        <v>443</v>
      </c>
      <c r="J15" s="292" t="s">
        <v>460</v>
      </c>
      <c r="K15" s="294" t="s">
        <v>473</v>
      </c>
      <c r="L15" s="313"/>
    </row>
    <row r="16" spans="1:40" ht="15" x14ac:dyDescent="0.2">
      <c r="B16" s="27" t="s">
        <v>260</v>
      </c>
      <c r="C16" s="117" t="s">
        <v>422</v>
      </c>
      <c r="D16" s="115" t="s">
        <v>399</v>
      </c>
      <c r="E16" s="245">
        <v>0.2</v>
      </c>
      <c r="F16" s="246">
        <v>0.6</v>
      </c>
      <c r="G16" s="116">
        <f>IF(D16="Yes",F16,0)</f>
        <v>0.6</v>
      </c>
      <c r="H16" s="222"/>
      <c r="I16" s="293" t="s">
        <v>436</v>
      </c>
      <c r="J16" s="294"/>
      <c r="K16" s="294"/>
      <c r="L16" s="313"/>
    </row>
    <row r="17" spans="1:40" ht="36" customHeight="1" x14ac:dyDescent="0.2">
      <c r="B17" s="27" t="s">
        <v>261</v>
      </c>
      <c r="C17" s="291" t="s">
        <v>470</v>
      </c>
      <c r="D17" s="335" t="s">
        <v>399</v>
      </c>
      <c r="E17" s="245">
        <v>0.2</v>
      </c>
      <c r="F17" s="246">
        <v>0.6</v>
      </c>
      <c r="G17" s="116">
        <f t="shared" si="0"/>
        <v>0.6</v>
      </c>
      <c r="H17" s="222"/>
      <c r="I17" s="291" t="s">
        <v>449</v>
      </c>
      <c r="J17" s="292" t="s">
        <v>460</v>
      </c>
      <c r="K17" s="294" t="s">
        <v>473</v>
      </c>
      <c r="L17" s="313"/>
    </row>
    <row r="18" spans="1:40" ht="30" customHeight="1" x14ac:dyDescent="0.2">
      <c r="B18" s="27" t="s">
        <v>262</v>
      </c>
      <c r="C18" s="117" t="s">
        <v>424</v>
      </c>
      <c r="D18" s="115" t="s">
        <v>399</v>
      </c>
      <c r="E18" s="245">
        <v>0.1</v>
      </c>
      <c r="F18" s="246">
        <v>0.3</v>
      </c>
      <c r="G18" s="116">
        <f>IF(D18="Yes",F18,0)</f>
        <v>0.3</v>
      </c>
      <c r="H18" s="222"/>
      <c r="I18" s="293" t="s">
        <v>436</v>
      </c>
      <c r="J18" s="294"/>
      <c r="K18" s="294"/>
      <c r="L18" s="313"/>
    </row>
    <row r="19" spans="1:40" ht="21" customHeight="1" x14ac:dyDescent="0.2">
      <c r="B19" s="112" t="s">
        <v>263</v>
      </c>
      <c r="C19" s="93"/>
      <c r="D19" s="113"/>
      <c r="E19" s="243">
        <v>0.4</v>
      </c>
      <c r="F19" s="244">
        <v>4</v>
      </c>
      <c r="G19" s="114">
        <f>SUM(G20+H23)</f>
        <v>3.5999999999999996</v>
      </c>
      <c r="H19" s="224">
        <f>IF(AND(G22=0,G21&gt;0),1,IF(AND(G22&gt;0,G21&gt;0),2,IF(AND(G22=0,G21=0),3,0)))</f>
        <v>1</v>
      </c>
      <c r="I19" s="289"/>
      <c r="J19" s="290"/>
      <c r="K19" s="290"/>
      <c r="L19" s="365"/>
    </row>
    <row r="20" spans="1:40" ht="39.75" customHeight="1" x14ac:dyDescent="0.2">
      <c r="B20" s="118" t="s">
        <v>264</v>
      </c>
      <c r="C20" s="117" t="s">
        <v>425</v>
      </c>
      <c r="D20" s="80" t="s">
        <v>399</v>
      </c>
      <c r="E20" s="245">
        <v>0.43</v>
      </c>
      <c r="F20" s="247">
        <v>1.72</v>
      </c>
      <c r="G20" s="218">
        <f>IF(D20="Yes",F20,0)</f>
        <v>1.72</v>
      </c>
      <c r="H20" s="222"/>
      <c r="I20" s="293" t="s">
        <v>436</v>
      </c>
      <c r="J20" s="294"/>
      <c r="K20" s="294"/>
      <c r="L20" s="313"/>
    </row>
    <row r="21" spans="1:40" ht="51" x14ac:dyDescent="0.2">
      <c r="B21" s="118" t="s">
        <v>265</v>
      </c>
      <c r="C21" s="117" t="s">
        <v>426</v>
      </c>
      <c r="D21" s="80" t="s">
        <v>399</v>
      </c>
      <c r="E21" s="245">
        <v>0.47</v>
      </c>
      <c r="F21" s="247">
        <v>1.88</v>
      </c>
      <c r="G21" s="218">
        <f>IF(D21="Yes",F21,0)</f>
        <v>1.88</v>
      </c>
      <c r="H21" s="222"/>
      <c r="I21" s="293" t="s">
        <v>455</v>
      </c>
      <c r="J21" s="294" t="s">
        <v>461</v>
      </c>
      <c r="K21" s="294"/>
      <c r="L21" s="313"/>
    </row>
    <row r="22" spans="1:40" ht="32.25" customHeight="1" x14ac:dyDescent="0.2">
      <c r="B22" s="27" t="s">
        <v>266</v>
      </c>
      <c r="C22" s="117" t="s">
        <v>427</v>
      </c>
      <c r="D22" s="335" t="s">
        <v>402</v>
      </c>
      <c r="E22" s="245">
        <v>0.1</v>
      </c>
      <c r="F22" s="247">
        <f>IF(AND(D21="yes", D22="yes"), 0.4, 0)</f>
        <v>0</v>
      </c>
      <c r="G22" s="218">
        <f>IF(D22="Yes",F22,0)</f>
        <v>0</v>
      </c>
      <c r="H22" s="222"/>
      <c r="I22" s="293" t="s">
        <v>453</v>
      </c>
      <c r="J22" s="294" t="s">
        <v>462</v>
      </c>
      <c r="K22" s="294" t="s">
        <v>474</v>
      </c>
      <c r="L22" s="313"/>
    </row>
    <row r="23" spans="1:40" ht="42.75" x14ac:dyDescent="0.2">
      <c r="B23" s="27" t="s">
        <v>267</v>
      </c>
      <c r="C23" s="40"/>
      <c r="D23" s="80" t="s">
        <v>402</v>
      </c>
      <c r="E23" s="245">
        <v>0.56999999999999995</v>
      </c>
      <c r="F23" s="247">
        <f>IF(AND(G21=0,D23="Yes"),2.28,IF(AND(G21&gt;0,D23="Yes"),2.28,0))</f>
        <v>0</v>
      </c>
      <c r="G23" s="218">
        <f>IF(D23="Yes",F23,0)</f>
        <v>0</v>
      </c>
      <c r="H23" s="224">
        <f>IF(AND(H19=1,G23=0),G21,IF(AND(H19=1,G23&gt;0),G23,IF(H19=2,G21+G22,IF(AND(H19=3,G23&gt;0),2.28,0))))</f>
        <v>1.88</v>
      </c>
      <c r="I23" s="293" t="s">
        <v>439</v>
      </c>
      <c r="J23" s="294"/>
      <c r="K23" s="294"/>
      <c r="L23" s="313"/>
    </row>
    <row r="24" spans="1:40" ht="21" customHeight="1" x14ac:dyDescent="0.2">
      <c r="B24" s="112" t="s">
        <v>268</v>
      </c>
      <c r="C24" s="93"/>
      <c r="D24" s="113"/>
      <c r="E24" s="243">
        <v>0.3</v>
      </c>
      <c r="F24" s="244">
        <v>3</v>
      </c>
      <c r="G24" s="114">
        <f>SUM(G25+G30+G34)</f>
        <v>3</v>
      </c>
      <c r="H24" s="225"/>
      <c r="I24" s="289"/>
      <c r="J24" s="290"/>
      <c r="K24" s="290"/>
      <c r="L24" s="365"/>
    </row>
    <row r="25" spans="1:40" ht="21" customHeight="1" x14ac:dyDescent="0.2">
      <c r="B25" s="119" t="s">
        <v>269</v>
      </c>
      <c r="C25" s="120"/>
      <c r="D25" s="121"/>
      <c r="E25" s="248">
        <v>0.3</v>
      </c>
      <c r="F25" s="249">
        <v>0.9</v>
      </c>
      <c r="G25" s="122">
        <f>G26</f>
        <v>0.9</v>
      </c>
      <c r="H25" s="222"/>
      <c r="I25" s="295"/>
      <c r="J25" s="296"/>
      <c r="K25" s="296"/>
      <c r="L25" s="367"/>
    </row>
    <row r="26" spans="1:40" s="5" customFormat="1" ht="28.5" customHeight="1" x14ac:dyDescent="0.2">
      <c r="B26" s="118" t="s">
        <v>270</v>
      </c>
      <c r="C26" s="117" t="s">
        <v>419</v>
      </c>
      <c r="D26" s="115" t="s">
        <v>399</v>
      </c>
      <c r="E26" s="245">
        <v>1</v>
      </c>
      <c r="F26" s="250">
        <v>0.9</v>
      </c>
      <c r="G26" s="116">
        <f>IF(D26="Yes",F26,0)</f>
        <v>0.9</v>
      </c>
      <c r="H26" s="222"/>
      <c r="I26" s="293" t="s">
        <v>436</v>
      </c>
      <c r="J26" s="297"/>
      <c r="K26" s="297"/>
      <c r="L26" s="368"/>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row>
    <row r="27" spans="1:40" ht="30" x14ac:dyDescent="0.2">
      <c r="B27" s="119" t="s">
        <v>271</v>
      </c>
      <c r="C27" s="123"/>
      <c r="D27" s="123"/>
      <c r="E27" s="251"/>
      <c r="F27" s="251"/>
      <c r="G27" s="124"/>
      <c r="H27" s="222"/>
      <c r="I27" s="295"/>
      <c r="J27" s="296"/>
      <c r="K27" s="296"/>
      <c r="L27" s="367"/>
    </row>
    <row r="28" spans="1:40" ht="28.5" x14ac:dyDescent="0.2">
      <c r="B28" s="118" t="s">
        <v>272</v>
      </c>
      <c r="C28" s="117" t="s">
        <v>428</v>
      </c>
      <c r="D28" s="115" t="s">
        <v>399</v>
      </c>
      <c r="E28" s="162"/>
      <c r="F28" s="162"/>
      <c r="G28" s="126"/>
      <c r="H28" s="226"/>
      <c r="I28" s="293" t="s">
        <v>454</v>
      </c>
      <c r="J28" s="294"/>
      <c r="K28" s="294"/>
      <c r="L28" s="313"/>
    </row>
    <row r="29" spans="1:40" ht="42.75" x14ac:dyDescent="0.2">
      <c r="B29" s="27" t="s">
        <v>273</v>
      </c>
      <c r="C29" s="117" t="s">
        <v>429</v>
      </c>
      <c r="D29" s="335" t="s">
        <v>399</v>
      </c>
      <c r="E29" s="162"/>
      <c r="F29" s="162"/>
      <c r="G29" s="126"/>
      <c r="H29" s="226"/>
      <c r="I29" s="293" t="s">
        <v>445</v>
      </c>
      <c r="J29" s="294" t="s">
        <v>463</v>
      </c>
      <c r="K29" s="294" t="s">
        <v>475</v>
      </c>
      <c r="L29" s="313"/>
    </row>
    <row r="30" spans="1:40" s="5" customFormat="1" ht="21" customHeight="1" x14ac:dyDescent="0.2">
      <c r="A30" s="2"/>
      <c r="B30" s="119" t="s">
        <v>274</v>
      </c>
      <c r="C30" s="120"/>
      <c r="D30" s="121"/>
      <c r="E30" s="248">
        <v>0.35</v>
      </c>
      <c r="F30" s="252">
        <v>1.05</v>
      </c>
      <c r="G30" s="122">
        <f>SUM(G31:G33)</f>
        <v>1.05</v>
      </c>
      <c r="H30" s="222"/>
      <c r="I30" s="295"/>
      <c r="J30" s="296"/>
      <c r="K30" s="296"/>
      <c r="L30" s="367"/>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row>
    <row r="31" spans="1:40" s="5" customFormat="1" ht="51" x14ac:dyDescent="0.2">
      <c r="A31" s="2"/>
      <c r="B31" s="27" t="s">
        <v>275</v>
      </c>
      <c r="C31" s="117" t="s">
        <v>419</v>
      </c>
      <c r="D31" s="80" t="s">
        <v>399</v>
      </c>
      <c r="E31" s="245">
        <v>0.28999999999999998</v>
      </c>
      <c r="F31" s="253">
        <v>0.30449999999999999</v>
      </c>
      <c r="G31" s="116">
        <f>IF(D31="Yes",F31,0)</f>
        <v>0.30449999999999999</v>
      </c>
      <c r="H31" s="222"/>
      <c r="I31" s="291" t="s">
        <v>446</v>
      </c>
      <c r="J31" s="292" t="s">
        <v>464</v>
      </c>
      <c r="K31" s="292" t="s">
        <v>476</v>
      </c>
      <c r="L31" s="366"/>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row>
    <row r="32" spans="1:40" s="5" customFormat="1" ht="28.5" x14ac:dyDescent="0.2">
      <c r="A32" s="2"/>
      <c r="B32" s="27" t="s">
        <v>276</v>
      </c>
      <c r="C32" s="117" t="s">
        <v>419</v>
      </c>
      <c r="D32" s="80" t="s">
        <v>399</v>
      </c>
      <c r="E32" s="245">
        <v>0.47</v>
      </c>
      <c r="F32" s="253">
        <v>0.49349999999999999</v>
      </c>
      <c r="G32" s="116">
        <f>IF(D32="Yes",F32,0)</f>
        <v>0.49349999999999999</v>
      </c>
      <c r="H32" s="222"/>
      <c r="I32" s="291" t="s">
        <v>447</v>
      </c>
      <c r="J32" s="292"/>
      <c r="K32" s="292"/>
      <c r="L32" s="366"/>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row>
    <row r="33" spans="1:40" s="5" customFormat="1" ht="73.5" customHeight="1" thickBot="1" x14ac:dyDescent="0.25">
      <c r="A33" s="2"/>
      <c r="B33" s="173" t="s">
        <v>277</v>
      </c>
      <c r="C33" s="362" t="s">
        <v>429</v>
      </c>
      <c r="D33" s="375" t="s">
        <v>399</v>
      </c>
      <c r="E33" s="245">
        <v>0.24</v>
      </c>
      <c r="F33" s="253">
        <v>0.252</v>
      </c>
      <c r="G33" s="116">
        <f>IF(D33="Yes",F33,0)</f>
        <v>0.252</v>
      </c>
      <c r="H33" s="222"/>
      <c r="I33" s="360" t="s">
        <v>448</v>
      </c>
      <c r="J33" s="361" t="s">
        <v>469</v>
      </c>
      <c r="K33" s="361" t="s">
        <v>477</v>
      </c>
      <c r="L33" s="369" t="s">
        <v>488</v>
      </c>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row>
    <row r="34" spans="1:40" s="5" customFormat="1" ht="21" customHeight="1" x14ac:dyDescent="0.2">
      <c r="A34" s="2"/>
      <c r="B34" s="119" t="s">
        <v>278</v>
      </c>
      <c r="C34" s="120"/>
      <c r="D34" s="121"/>
      <c r="E34" s="254">
        <v>0.35</v>
      </c>
      <c r="F34" s="252">
        <v>1.05</v>
      </c>
      <c r="G34" s="122">
        <f>SUM(G35:G37)</f>
        <v>1.05</v>
      </c>
      <c r="H34" s="222"/>
      <c r="I34" s="295"/>
      <c r="J34" s="296"/>
      <c r="K34" s="296"/>
      <c r="L34" s="367"/>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row>
    <row r="35" spans="1:40" s="5" customFormat="1" ht="34.5" customHeight="1" x14ac:dyDescent="0.2">
      <c r="A35" s="2"/>
      <c r="B35" s="27" t="s">
        <v>279</v>
      </c>
      <c r="C35" s="117" t="s">
        <v>419</v>
      </c>
      <c r="D35" s="80" t="s">
        <v>399</v>
      </c>
      <c r="E35" s="245">
        <v>0.28999999999999998</v>
      </c>
      <c r="F35" s="253">
        <v>0.30449999999999999</v>
      </c>
      <c r="G35" s="116">
        <f>IF(D35="Yes",F35,0)</f>
        <v>0.30449999999999999</v>
      </c>
      <c r="H35" s="222"/>
      <c r="I35" s="291" t="s">
        <v>436</v>
      </c>
      <c r="J35" s="292"/>
      <c r="K35" s="292"/>
      <c r="L35" s="366"/>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row>
    <row r="36" spans="1:40" s="5" customFormat="1" ht="28.5" x14ac:dyDescent="0.2">
      <c r="A36" s="2"/>
      <c r="B36" s="27" t="s">
        <v>280</v>
      </c>
      <c r="C36" s="117" t="s">
        <v>419</v>
      </c>
      <c r="D36" s="80" t="s">
        <v>399</v>
      </c>
      <c r="E36" s="245">
        <v>0.47</v>
      </c>
      <c r="F36" s="253">
        <v>0.49349999999999999</v>
      </c>
      <c r="G36" s="116">
        <f t="shared" ref="G36:G37" si="1">IF(D36="Yes",F36,0)</f>
        <v>0.49349999999999999</v>
      </c>
      <c r="H36" s="222"/>
      <c r="I36" s="291" t="s">
        <v>436</v>
      </c>
      <c r="J36" s="292"/>
      <c r="K36" s="292"/>
      <c r="L36" s="366"/>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row>
    <row r="37" spans="1:40" s="5" customFormat="1" ht="62.25" customHeight="1" thickBot="1" x14ac:dyDescent="0.25">
      <c r="A37" s="2"/>
      <c r="B37" s="173" t="s">
        <v>281</v>
      </c>
      <c r="C37" s="117" t="s">
        <v>419</v>
      </c>
      <c r="D37" s="80" t="s">
        <v>399</v>
      </c>
      <c r="E37" s="245">
        <v>0.24</v>
      </c>
      <c r="F37" s="253">
        <v>0.252</v>
      </c>
      <c r="G37" s="116">
        <f t="shared" si="1"/>
        <v>0.252</v>
      </c>
      <c r="H37" s="222"/>
      <c r="I37" s="291" t="s">
        <v>436</v>
      </c>
      <c r="J37" s="292"/>
      <c r="K37" s="292"/>
      <c r="L37" s="366"/>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row>
    <row r="38" spans="1:40" s="5" customFormat="1" ht="21" customHeight="1" x14ac:dyDescent="0.2">
      <c r="B38" s="197" t="s">
        <v>282</v>
      </c>
      <c r="C38" s="198"/>
      <c r="D38" s="195"/>
      <c r="E38" s="255">
        <v>1</v>
      </c>
      <c r="F38" s="256">
        <v>10</v>
      </c>
      <c r="G38" s="196">
        <f>MAX(G41,G48)</f>
        <v>9</v>
      </c>
      <c r="H38" s="227"/>
      <c r="I38" s="298"/>
      <c r="J38" s="299"/>
      <c r="K38" s="299"/>
      <c r="L38" s="370"/>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row>
    <row r="39" spans="1:40" s="5" customFormat="1" ht="21" customHeight="1" x14ac:dyDescent="0.2">
      <c r="B39" s="127" t="s">
        <v>283</v>
      </c>
      <c r="C39" s="128"/>
      <c r="D39" s="113"/>
      <c r="E39" s="255"/>
      <c r="F39" s="256"/>
      <c r="G39" s="129"/>
      <c r="H39" s="227"/>
      <c r="I39" s="289"/>
      <c r="J39" s="290"/>
      <c r="K39" s="290"/>
      <c r="L39" s="365"/>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row>
    <row r="40" spans="1:40" s="5" customFormat="1" ht="15" x14ac:dyDescent="0.2">
      <c r="B40" s="118" t="s">
        <v>284</v>
      </c>
      <c r="C40" s="117"/>
      <c r="D40" s="115" t="s">
        <v>402</v>
      </c>
      <c r="E40" s="257"/>
      <c r="F40" s="258">
        <f>IF(D40="Yes",1,0)</f>
        <v>0</v>
      </c>
      <c r="G40" s="126"/>
      <c r="H40" s="227"/>
      <c r="I40" s="300" t="s">
        <v>439</v>
      </c>
      <c r="J40" s="300"/>
      <c r="K40" s="300"/>
      <c r="L40" s="371"/>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row>
    <row r="41" spans="1:40" s="5" customFormat="1" ht="21" customHeight="1" x14ac:dyDescent="0.2">
      <c r="B41" s="127" t="s">
        <v>285</v>
      </c>
      <c r="C41" s="219"/>
      <c r="D41" s="113"/>
      <c r="E41" s="259">
        <v>1</v>
      </c>
      <c r="F41" s="260">
        <v>10</v>
      </c>
      <c r="G41" s="129">
        <f>SUM(G42:G46)</f>
        <v>9</v>
      </c>
      <c r="H41" s="228">
        <f>IF(AND(G41&gt;=G48),1,IF(AND(G48&gt;G41),2,0))</f>
        <v>1</v>
      </c>
      <c r="I41" s="289"/>
      <c r="J41" s="290"/>
      <c r="K41" s="290"/>
      <c r="L41" s="365"/>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row>
    <row r="42" spans="1:40" s="5" customFormat="1" ht="27" customHeight="1" x14ac:dyDescent="0.2">
      <c r="B42" s="118" t="s">
        <v>286</v>
      </c>
      <c r="C42" s="334">
        <v>0.224</v>
      </c>
      <c r="D42" s="80" t="s">
        <v>399</v>
      </c>
      <c r="E42" s="261">
        <v>0.3</v>
      </c>
      <c r="F42" s="262">
        <v>3</v>
      </c>
      <c r="G42" s="130">
        <f>IF(D42="Yes",F42,0)</f>
        <v>3</v>
      </c>
      <c r="H42" s="222"/>
      <c r="I42" s="291" t="s">
        <v>436</v>
      </c>
      <c r="J42" s="292"/>
      <c r="K42" s="292"/>
      <c r="L42" s="366"/>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row>
    <row r="43" spans="1:40" s="5" customFormat="1" ht="20.25" customHeight="1" x14ac:dyDescent="0.2">
      <c r="B43" s="118" t="s">
        <v>287</v>
      </c>
      <c r="C43" s="117" t="s">
        <v>420</v>
      </c>
      <c r="D43" s="80" t="s">
        <v>399</v>
      </c>
      <c r="E43" s="261">
        <v>0.3</v>
      </c>
      <c r="F43" s="262">
        <v>3</v>
      </c>
      <c r="G43" s="130">
        <f t="shared" ref="G43:G45" si="2">IF(D43="Yes",F43,0)</f>
        <v>3</v>
      </c>
      <c r="H43" s="222"/>
      <c r="I43" s="291" t="s">
        <v>436</v>
      </c>
      <c r="J43" s="292"/>
      <c r="K43" s="292"/>
      <c r="L43" s="366"/>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row>
    <row r="44" spans="1:40" s="5" customFormat="1" ht="33" customHeight="1" x14ac:dyDescent="0.2">
      <c r="B44" s="27" t="s">
        <v>288</v>
      </c>
      <c r="C44" s="117" t="s">
        <v>420</v>
      </c>
      <c r="D44" s="80" t="s">
        <v>399</v>
      </c>
      <c r="E44" s="261">
        <v>0.1</v>
      </c>
      <c r="F44" s="262">
        <v>1</v>
      </c>
      <c r="G44" s="130">
        <f t="shared" si="2"/>
        <v>1</v>
      </c>
      <c r="H44" s="222"/>
      <c r="I44" s="291" t="s">
        <v>436</v>
      </c>
      <c r="J44" s="292"/>
      <c r="K44" s="292"/>
      <c r="L44" s="366"/>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row>
    <row r="45" spans="1:40" s="5" customFormat="1" ht="51" x14ac:dyDescent="0.2">
      <c r="B45" s="118" t="s">
        <v>289</v>
      </c>
      <c r="C45" s="117" t="s">
        <v>420</v>
      </c>
      <c r="D45" s="80" t="s">
        <v>399</v>
      </c>
      <c r="E45" s="261">
        <v>0.2</v>
      </c>
      <c r="F45" s="262">
        <v>2</v>
      </c>
      <c r="G45" s="130">
        <f t="shared" si="2"/>
        <v>2</v>
      </c>
      <c r="H45" s="222"/>
      <c r="I45" s="291" t="s">
        <v>456</v>
      </c>
      <c r="J45" s="292" t="s">
        <v>465</v>
      </c>
      <c r="K45" s="292" t="s">
        <v>476</v>
      </c>
      <c r="L45" s="366"/>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row>
    <row r="46" spans="1:40" s="5" customFormat="1" ht="187.15" customHeight="1" x14ac:dyDescent="0.2">
      <c r="B46" s="118" t="s">
        <v>290</v>
      </c>
      <c r="C46" s="362" t="s">
        <v>420</v>
      </c>
      <c r="D46" s="335"/>
      <c r="E46" s="261">
        <v>0.1</v>
      </c>
      <c r="F46" s="262">
        <v>1</v>
      </c>
      <c r="G46" s="130">
        <f>IF(D46="Yes",F46,0)</f>
        <v>0</v>
      </c>
      <c r="H46" s="222"/>
      <c r="I46" s="360" t="s">
        <v>457</v>
      </c>
      <c r="J46" s="361" t="s">
        <v>466</v>
      </c>
      <c r="K46" s="361" t="s">
        <v>478</v>
      </c>
      <c r="L46" s="369" t="s">
        <v>487</v>
      </c>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row>
    <row r="48" spans="1:40" s="5" customFormat="1" ht="21" customHeight="1" x14ac:dyDescent="0.2">
      <c r="B48" s="127" t="s">
        <v>291</v>
      </c>
      <c r="C48" s="128"/>
      <c r="D48" s="113"/>
      <c r="E48" s="259">
        <v>1</v>
      </c>
      <c r="F48" s="260">
        <v>10</v>
      </c>
      <c r="G48" s="129">
        <f>SUM(G49:G53)</f>
        <v>0</v>
      </c>
      <c r="H48" s="222"/>
      <c r="I48" s="289"/>
      <c r="J48" s="290"/>
      <c r="K48" s="290"/>
      <c r="L48" s="365"/>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row>
    <row r="49" spans="2:40" s="5" customFormat="1" ht="15" x14ac:dyDescent="0.2">
      <c r="B49" s="118" t="s">
        <v>292</v>
      </c>
      <c r="C49" s="117"/>
      <c r="D49" s="80" t="s">
        <v>402</v>
      </c>
      <c r="E49" s="263">
        <v>0.215</v>
      </c>
      <c r="F49" s="264">
        <v>2.15</v>
      </c>
      <c r="G49" s="130">
        <f>IF(D49="Yes",F49,0)</f>
        <v>0</v>
      </c>
      <c r="H49" s="222"/>
      <c r="I49" s="300" t="s">
        <v>439</v>
      </c>
      <c r="J49" s="292"/>
      <c r="K49" s="292"/>
      <c r="L49" s="366"/>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row>
    <row r="50" spans="2:40" s="5" customFormat="1" ht="15" x14ac:dyDescent="0.2">
      <c r="B50" s="118" t="s">
        <v>293</v>
      </c>
      <c r="C50" s="117"/>
      <c r="D50" s="80" t="s">
        <v>402</v>
      </c>
      <c r="E50" s="263">
        <v>0.33</v>
      </c>
      <c r="F50" s="264">
        <v>3.3</v>
      </c>
      <c r="G50" s="130">
        <f t="shared" ref="G50:G53" si="3">IF(D50="Yes",F50,0)</f>
        <v>0</v>
      </c>
      <c r="H50" s="222"/>
      <c r="I50" s="300" t="s">
        <v>439</v>
      </c>
      <c r="J50" s="292"/>
      <c r="K50" s="292"/>
      <c r="L50" s="366"/>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row>
    <row r="51" spans="2:40" s="5" customFormat="1" ht="28.5" x14ac:dyDescent="0.2">
      <c r="B51" s="118" t="s">
        <v>294</v>
      </c>
      <c r="C51" s="117"/>
      <c r="D51" s="80" t="s">
        <v>402</v>
      </c>
      <c r="E51" s="263">
        <v>0.1</v>
      </c>
      <c r="F51" s="264">
        <v>1</v>
      </c>
      <c r="G51" s="130">
        <f t="shared" si="3"/>
        <v>0</v>
      </c>
      <c r="H51" s="222"/>
      <c r="I51" s="300" t="s">
        <v>439</v>
      </c>
      <c r="J51" s="292"/>
      <c r="K51" s="292"/>
      <c r="L51" s="366"/>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row>
    <row r="52" spans="2:40" s="5" customFormat="1" ht="28.5" x14ac:dyDescent="0.2">
      <c r="B52" s="118" t="s">
        <v>295</v>
      </c>
      <c r="C52" s="117"/>
      <c r="D52" s="80" t="s">
        <v>402</v>
      </c>
      <c r="E52" s="263">
        <v>0.215</v>
      </c>
      <c r="F52" s="264">
        <v>2.15</v>
      </c>
      <c r="G52" s="130">
        <f t="shared" si="3"/>
        <v>0</v>
      </c>
      <c r="H52" s="222"/>
      <c r="I52" s="300" t="s">
        <v>439</v>
      </c>
      <c r="J52" s="292"/>
      <c r="K52" s="292"/>
      <c r="L52" s="366"/>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row>
    <row r="53" spans="2:40" s="5" customFormat="1" ht="29.25" thickBot="1" x14ac:dyDescent="0.25">
      <c r="B53" s="118" t="s">
        <v>296</v>
      </c>
      <c r="C53" s="117"/>
      <c r="D53" s="80" t="s">
        <v>402</v>
      </c>
      <c r="E53" s="263">
        <v>0.14000000000000001</v>
      </c>
      <c r="F53" s="264">
        <v>1.4</v>
      </c>
      <c r="G53" s="130">
        <f t="shared" si="3"/>
        <v>0</v>
      </c>
      <c r="H53" s="222"/>
      <c r="I53" s="300" t="s">
        <v>439</v>
      </c>
      <c r="J53" s="292"/>
      <c r="K53" s="292"/>
      <c r="L53" s="366"/>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row>
    <row r="54" spans="2:40" s="5" customFormat="1" ht="21" customHeight="1" x14ac:dyDescent="0.2">
      <c r="B54" s="108" t="s">
        <v>297</v>
      </c>
      <c r="C54" s="109"/>
      <c r="D54" s="110"/>
      <c r="E54" s="265">
        <v>1</v>
      </c>
      <c r="F54" s="266">
        <v>10</v>
      </c>
      <c r="G54" s="111">
        <f>G61+G55</f>
        <v>8.4499999999999993</v>
      </c>
      <c r="H54" s="229"/>
      <c r="I54" s="301"/>
      <c r="J54" s="302"/>
      <c r="K54" s="302"/>
      <c r="L54" s="370"/>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row>
    <row r="55" spans="2:40" s="5" customFormat="1" ht="21" customHeight="1" x14ac:dyDescent="0.2">
      <c r="B55" s="112" t="s">
        <v>298</v>
      </c>
      <c r="C55" s="113"/>
      <c r="D55" s="113"/>
      <c r="E55" s="267">
        <v>0.25</v>
      </c>
      <c r="F55" s="268">
        <v>2.5</v>
      </c>
      <c r="G55" s="129">
        <f>SUM(G56:G60)</f>
        <v>2.5</v>
      </c>
      <c r="H55" s="222"/>
      <c r="I55" s="289"/>
      <c r="J55" s="290"/>
      <c r="K55" s="290"/>
      <c r="L55" s="365"/>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row>
    <row r="56" spans="2:40" s="5" customFormat="1" ht="15" x14ac:dyDescent="0.2">
      <c r="B56" s="27" t="s">
        <v>299</v>
      </c>
      <c r="C56" s="333" t="s">
        <v>421</v>
      </c>
      <c r="D56" s="80" t="s">
        <v>399</v>
      </c>
      <c r="E56" s="245">
        <v>0.28999999999999998</v>
      </c>
      <c r="F56" s="269">
        <v>0.72499999999999998</v>
      </c>
      <c r="G56" s="116">
        <f>IF(D56="Yes",F56,0)</f>
        <v>0.72499999999999998</v>
      </c>
      <c r="H56" s="222"/>
      <c r="I56" s="291" t="s">
        <v>436</v>
      </c>
      <c r="J56" s="292"/>
      <c r="K56" s="292"/>
      <c r="L56" s="366"/>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row>
    <row r="57" spans="2:40" s="5" customFormat="1" ht="15" x14ac:dyDescent="0.2">
      <c r="B57" s="27" t="s">
        <v>300</v>
      </c>
      <c r="C57" s="333" t="s">
        <v>421</v>
      </c>
      <c r="D57" s="80" t="s">
        <v>399</v>
      </c>
      <c r="E57" s="245">
        <v>0.14000000000000001</v>
      </c>
      <c r="F57" s="269">
        <v>0.35</v>
      </c>
      <c r="G57" s="116">
        <f>IF(D57="Yes",F57,0)</f>
        <v>0.35</v>
      </c>
      <c r="H57" s="222"/>
      <c r="I57" s="291" t="s">
        <v>436</v>
      </c>
      <c r="J57" s="292"/>
      <c r="K57" s="292"/>
      <c r="L57" s="366"/>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row>
    <row r="58" spans="2:40" s="5" customFormat="1" ht="15" x14ac:dyDescent="0.2">
      <c r="B58" s="27" t="s">
        <v>416</v>
      </c>
      <c r="C58" s="333" t="s">
        <v>421</v>
      </c>
      <c r="D58" s="80" t="s">
        <v>399</v>
      </c>
      <c r="E58" s="245">
        <v>0.28999999999999998</v>
      </c>
      <c r="F58" s="269">
        <v>0.72499999999999998</v>
      </c>
      <c r="G58" s="116">
        <f>IF(D58="Yes",F58,0)</f>
        <v>0.72499999999999998</v>
      </c>
      <c r="H58" s="222"/>
      <c r="I58" s="291" t="s">
        <v>436</v>
      </c>
      <c r="J58" s="303"/>
      <c r="K58" s="303"/>
      <c r="L58" s="372"/>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row>
    <row r="59" spans="2:40" s="5" customFormat="1" ht="28.5" x14ac:dyDescent="0.2">
      <c r="B59" s="27" t="s">
        <v>415</v>
      </c>
      <c r="C59" s="333" t="s">
        <v>421</v>
      </c>
      <c r="D59" s="80" t="s">
        <v>399</v>
      </c>
      <c r="E59" s="245">
        <v>0.14000000000000001</v>
      </c>
      <c r="F59" s="269">
        <v>0.35</v>
      </c>
      <c r="G59" s="116">
        <f t="shared" ref="G59:G60" si="4">IF(D59="Yes",F59,0)</f>
        <v>0.35</v>
      </c>
      <c r="H59" s="222"/>
      <c r="I59" s="291" t="s">
        <v>436</v>
      </c>
      <c r="J59" s="292"/>
      <c r="K59" s="292"/>
      <c r="L59" s="366"/>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row>
    <row r="60" spans="2:40" s="5" customFormat="1" ht="15" x14ac:dyDescent="0.2">
      <c r="B60" s="27" t="s">
        <v>301</v>
      </c>
      <c r="C60" s="333" t="s">
        <v>421</v>
      </c>
      <c r="D60" s="80" t="s">
        <v>399</v>
      </c>
      <c r="E60" s="245">
        <v>0.14000000000000001</v>
      </c>
      <c r="F60" s="269">
        <v>0.35</v>
      </c>
      <c r="G60" s="116">
        <f t="shared" si="4"/>
        <v>0.35</v>
      </c>
      <c r="H60" s="222"/>
      <c r="I60" s="291" t="s">
        <v>436</v>
      </c>
      <c r="J60" s="292"/>
      <c r="K60" s="292"/>
      <c r="L60" s="366"/>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row>
    <row r="61" spans="2:40" s="5" customFormat="1" ht="21" customHeight="1" x14ac:dyDescent="0.2">
      <c r="B61" s="112" t="s">
        <v>302</v>
      </c>
      <c r="C61" s="113"/>
      <c r="D61" s="113"/>
      <c r="E61" s="267">
        <v>0.75</v>
      </c>
      <c r="F61" s="268">
        <v>7.5</v>
      </c>
      <c r="G61" s="129">
        <f>MAX(G62,G83)</f>
        <v>5.95</v>
      </c>
      <c r="H61" s="222"/>
      <c r="I61" s="289"/>
      <c r="J61" s="290"/>
      <c r="K61" s="290"/>
      <c r="L61" s="365"/>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row>
    <row r="62" spans="2:40" s="5" customFormat="1" ht="21" customHeight="1" x14ac:dyDescent="0.2">
      <c r="B62" s="119" t="s">
        <v>303</v>
      </c>
      <c r="C62" s="121"/>
      <c r="D62" s="121"/>
      <c r="E62" s="254">
        <v>1</v>
      </c>
      <c r="F62" s="270">
        <v>7.5</v>
      </c>
      <c r="G62" s="132">
        <f>SUM(G69+G76)</f>
        <v>2.0250000000000004</v>
      </c>
      <c r="H62" s="222"/>
      <c r="I62" s="295"/>
      <c r="J62" s="296"/>
      <c r="K62" s="296"/>
      <c r="L62" s="367"/>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row>
    <row r="63" spans="2:40" ht="15" x14ac:dyDescent="0.2">
      <c r="B63" s="133" t="s">
        <v>304</v>
      </c>
      <c r="C63" s="134"/>
      <c r="D63" s="134"/>
      <c r="E63" s="271"/>
      <c r="F63" s="271"/>
      <c r="G63" s="134"/>
      <c r="H63" s="222"/>
      <c r="I63" s="304"/>
      <c r="J63" s="305"/>
      <c r="K63" s="305"/>
      <c r="L63" s="373"/>
    </row>
    <row r="64" spans="2:40" s="5" customFormat="1" ht="28.5" x14ac:dyDescent="0.2">
      <c r="B64" s="118" t="s">
        <v>305</v>
      </c>
      <c r="C64" s="131"/>
      <c r="D64" s="80" t="s">
        <v>402</v>
      </c>
      <c r="E64" s="245"/>
      <c r="F64" s="162"/>
      <c r="G64" s="125"/>
      <c r="H64" s="222"/>
      <c r="I64" s="300" t="s">
        <v>439</v>
      </c>
      <c r="J64" s="292"/>
      <c r="K64" s="292"/>
      <c r="L64" s="366"/>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row>
    <row r="65" spans="2:40" s="5" customFormat="1" ht="28.5" x14ac:dyDescent="0.2">
      <c r="B65" s="118" t="s">
        <v>306</v>
      </c>
      <c r="C65" s="131"/>
      <c r="D65" s="80" t="s">
        <v>402</v>
      </c>
      <c r="E65" s="245"/>
      <c r="F65" s="162"/>
      <c r="G65" s="125"/>
      <c r="H65" s="222"/>
      <c r="I65" s="300" t="s">
        <v>439</v>
      </c>
      <c r="J65" s="292"/>
      <c r="K65" s="292"/>
      <c r="L65" s="366"/>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row>
    <row r="66" spans="2:40" s="5" customFormat="1" ht="28.5" x14ac:dyDescent="0.2">
      <c r="B66" s="118" t="s">
        <v>307</v>
      </c>
      <c r="C66" s="131"/>
      <c r="D66" s="80" t="s">
        <v>402</v>
      </c>
      <c r="E66" s="245"/>
      <c r="F66" s="162"/>
      <c r="G66" s="125"/>
      <c r="H66" s="222"/>
      <c r="I66" s="300" t="s">
        <v>439</v>
      </c>
      <c r="J66" s="292"/>
      <c r="K66" s="292"/>
      <c r="L66" s="366"/>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row>
    <row r="67" spans="2:40" s="5" customFormat="1" ht="15" x14ac:dyDescent="0.2">
      <c r="B67" s="118" t="s">
        <v>308</v>
      </c>
      <c r="C67" s="131"/>
      <c r="D67" s="80" t="s">
        <v>402</v>
      </c>
      <c r="E67" s="245"/>
      <c r="F67" s="162"/>
      <c r="G67" s="125"/>
      <c r="H67" s="222"/>
      <c r="I67" s="300" t="s">
        <v>439</v>
      </c>
      <c r="J67" s="292"/>
      <c r="K67" s="292"/>
      <c r="L67" s="366"/>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row>
    <row r="68" spans="2:40" ht="42.75" x14ac:dyDescent="0.2">
      <c r="B68" s="118" t="s">
        <v>309</v>
      </c>
      <c r="C68" s="131"/>
      <c r="D68" s="80" t="s">
        <v>402</v>
      </c>
      <c r="E68" s="245"/>
      <c r="F68" s="162"/>
      <c r="G68" s="125"/>
      <c r="H68" s="222"/>
      <c r="I68" s="300" t="s">
        <v>439</v>
      </c>
      <c r="J68" s="294"/>
      <c r="K68" s="294"/>
      <c r="L68" s="313"/>
    </row>
    <row r="69" spans="2:40" ht="15.75" customHeight="1" x14ac:dyDescent="0.2">
      <c r="B69" s="212" t="s">
        <v>310</v>
      </c>
      <c r="C69" s="134"/>
      <c r="D69" s="134"/>
      <c r="E69" s="272">
        <v>0.4</v>
      </c>
      <c r="F69" s="273">
        <v>3</v>
      </c>
      <c r="G69" s="135">
        <f>MAX(G70,G71,G72,G73,G74,G75)</f>
        <v>0</v>
      </c>
      <c r="H69" s="222"/>
      <c r="I69" s="304"/>
      <c r="J69" s="305"/>
      <c r="K69" s="305"/>
      <c r="L69" s="373"/>
    </row>
    <row r="70" spans="2:40" ht="15" x14ac:dyDescent="0.2">
      <c r="B70" s="136" t="s">
        <v>311</v>
      </c>
      <c r="C70" s="137"/>
      <c r="D70" s="80" t="s">
        <v>402</v>
      </c>
      <c r="E70" s="245"/>
      <c r="F70" s="269">
        <v>3</v>
      </c>
      <c r="G70" s="116">
        <f t="shared" ref="G70:G75" si="5">IF(D70="Yes",F70,0)</f>
        <v>0</v>
      </c>
      <c r="H70" s="222"/>
      <c r="I70" s="300" t="s">
        <v>439</v>
      </c>
      <c r="J70" s="294"/>
      <c r="K70" s="294"/>
      <c r="L70" s="313"/>
    </row>
    <row r="71" spans="2:40" s="7" customFormat="1" ht="15" x14ac:dyDescent="0.2">
      <c r="B71" s="136" t="s">
        <v>312</v>
      </c>
      <c r="C71" s="137"/>
      <c r="D71" s="80" t="s">
        <v>402</v>
      </c>
      <c r="E71" s="245"/>
      <c r="F71" s="269">
        <v>3</v>
      </c>
      <c r="G71" s="116">
        <f t="shared" si="5"/>
        <v>0</v>
      </c>
      <c r="H71" s="222"/>
      <c r="I71" s="300" t="s">
        <v>439</v>
      </c>
      <c r="J71" s="306"/>
      <c r="K71" s="306"/>
      <c r="L71" s="374"/>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row>
    <row r="72" spans="2:40" s="7" customFormat="1" ht="15" x14ac:dyDescent="0.2">
      <c r="B72" s="138" t="s">
        <v>313</v>
      </c>
      <c r="C72" s="137"/>
      <c r="D72" s="80" t="s">
        <v>402</v>
      </c>
      <c r="E72" s="245"/>
      <c r="F72" s="269">
        <v>3</v>
      </c>
      <c r="G72" s="116">
        <f t="shared" si="5"/>
        <v>0</v>
      </c>
      <c r="H72" s="222"/>
      <c r="I72" s="300" t="s">
        <v>439</v>
      </c>
      <c r="J72" s="306"/>
      <c r="K72" s="306"/>
      <c r="L72" s="374"/>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row>
    <row r="73" spans="2:40" ht="15" x14ac:dyDescent="0.2">
      <c r="B73" s="138" t="s">
        <v>314</v>
      </c>
      <c r="C73" s="137"/>
      <c r="D73" s="80" t="s">
        <v>402</v>
      </c>
      <c r="E73" s="245"/>
      <c r="F73" s="269">
        <v>3</v>
      </c>
      <c r="G73" s="116">
        <f t="shared" si="5"/>
        <v>0</v>
      </c>
      <c r="H73" s="222"/>
      <c r="I73" s="300" t="s">
        <v>439</v>
      </c>
      <c r="J73" s="294"/>
      <c r="K73" s="294"/>
      <c r="L73" s="313"/>
    </row>
    <row r="74" spans="2:40" ht="15" x14ac:dyDescent="0.2">
      <c r="B74" s="138" t="s">
        <v>315</v>
      </c>
      <c r="C74" s="137"/>
      <c r="D74" s="80" t="s">
        <v>402</v>
      </c>
      <c r="E74" s="245"/>
      <c r="F74" s="269">
        <v>3</v>
      </c>
      <c r="G74" s="116">
        <f t="shared" si="5"/>
        <v>0</v>
      </c>
      <c r="H74" s="222"/>
      <c r="I74" s="300" t="s">
        <v>439</v>
      </c>
      <c r="J74" s="294"/>
      <c r="K74" s="294"/>
      <c r="L74" s="313"/>
    </row>
    <row r="75" spans="2:40" ht="15" x14ac:dyDescent="0.2">
      <c r="B75" s="138" t="s">
        <v>316</v>
      </c>
      <c r="C75" s="137"/>
      <c r="D75" s="80" t="s">
        <v>402</v>
      </c>
      <c r="E75" s="245"/>
      <c r="F75" s="269">
        <v>3</v>
      </c>
      <c r="G75" s="116">
        <f t="shared" si="5"/>
        <v>0</v>
      </c>
      <c r="H75" s="222"/>
      <c r="I75" s="300" t="s">
        <v>439</v>
      </c>
      <c r="J75" s="294"/>
      <c r="K75" s="294"/>
      <c r="L75" s="313"/>
    </row>
    <row r="76" spans="2:40" ht="15" x14ac:dyDescent="0.2">
      <c r="B76" s="133" t="s">
        <v>317</v>
      </c>
      <c r="C76" s="134"/>
      <c r="D76" s="134"/>
      <c r="E76" s="272">
        <v>0.6</v>
      </c>
      <c r="F76" s="273">
        <v>4.5</v>
      </c>
      <c r="G76" s="135">
        <f>SUM(G77:G82)</f>
        <v>2.0250000000000004</v>
      </c>
      <c r="H76" s="222"/>
      <c r="I76" s="304"/>
      <c r="J76" s="305"/>
      <c r="K76" s="305"/>
      <c r="L76" s="373"/>
    </row>
    <row r="77" spans="2:40" ht="15" x14ac:dyDescent="0.2">
      <c r="B77" s="118" t="s">
        <v>318</v>
      </c>
      <c r="C77" s="131"/>
      <c r="D77" s="80" t="s">
        <v>399</v>
      </c>
      <c r="E77" s="245">
        <v>0.3</v>
      </c>
      <c r="F77" s="269">
        <v>1.35</v>
      </c>
      <c r="G77" s="116">
        <f t="shared" ref="G77:G82" si="6">IF(D77="Yes",F77,0)</f>
        <v>1.35</v>
      </c>
      <c r="H77" s="222"/>
      <c r="I77" s="293" t="s">
        <v>436</v>
      </c>
      <c r="J77" s="294"/>
      <c r="K77" s="294"/>
      <c r="L77" s="313"/>
    </row>
    <row r="78" spans="2:40" ht="30" customHeight="1" x14ac:dyDescent="0.2">
      <c r="B78" s="138" t="s">
        <v>319</v>
      </c>
      <c r="C78" s="140"/>
      <c r="D78" s="335" t="s">
        <v>402</v>
      </c>
      <c r="E78" s="245">
        <v>0.3</v>
      </c>
      <c r="F78" s="269">
        <v>1.35</v>
      </c>
      <c r="G78" s="116">
        <f t="shared" si="6"/>
        <v>0</v>
      </c>
      <c r="H78" s="222"/>
      <c r="I78" s="293" t="s">
        <v>450</v>
      </c>
      <c r="J78" s="294" t="s">
        <v>467</v>
      </c>
      <c r="K78" s="294" t="s">
        <v>479</v>
      </c>
      <c r="L78" s="313"/>
    </row>
    <row r="79" spans="2:40" ht="22.5" customHeight="1" x14ac:dyDescent="0.2">
      <c r="B79" s="139" t="s">
        <v>320</v>
      </c>
      <c r="C79" s="140"/>
      <c r="D79" s="80" t="s">
        <v>402</v>
      </c>
      <c r="E79" s="245">
        <v>0.15</v>
      </c>
      <c r="F79" s="269">
        <v>0.67500000000000004</v>
      </c>
      <c r="G79" s="116">
        <f t="shared" si="6"/>
        <v>0</v>
      </c>
      <c r="H79" s="222"/>
      <c r="I79" s="293" t="s">
        <v>451</v>
      </c>
      <c r="J79" s="294"/>
      <c r="K79" s="294"/>
      <c r="L79" s="313"/>
    </row>
    <row r="80" spans="2:40" ht="27" customHeight="1" x14ac:dyDescent="0.2">
      <c r="B80" s="118" t="s">
        <v>321</v>
      </c>
      <c r="C80" s="131"/>
      <c r="D80" s="80" t="s">
        <v>402</v>
      </c>
      <c r="E80" s="245">
        <v>0.1</v>
      </c>
      <c r="F80" s="269">
        <v>0.45</v>
      </c>
      <c r="G80" s="116">
        <f t="shared" si="6"/>
        <v>0</v>
      </c>
      <c r="H80" s="222"/>
      <c r="I80" s="293" t="s">
        <v>451</v>
      </c>
      <c r="J80" s="294"/>
      <c r="K80" s="294"/>
      <c r="L80" s="313"/>
    </row>
    <row r="81" spans="2:40" ht="51.75" thickBot="1" x14ac:dyDescent="0.25">
      <c r="B81" s="118" t="s">
        <v>322</v>
      </c>
      <c r="C81" s="131"/>
      <c r="D81" s="335" t="s">
        <v>402</v>
      </c>
      <c r="E81" s="245">
        <v>0</v>
      </c>
      <c r="F81" s="162"/>
      <c r="G81" s="125"/>
      <c r="H81" s="230"/>
      <c r="I81" s="293" t="s">
        <v>452</v>
      </c>
      <c r="J81" s="294" t="s">
        <v>467</v>
      </c>
      <c r="K81" s="292" t="s">
        <v>480</v>
      </c>
      <c r="L81" s="366"/>
    </row>
    <row r="82" spans="2:40" ht="15" x14ac:dyDescent="0.2">
      <c r="B82" s="28" t="s">
        <v>323</v>
      </c>
      <c r="C82" s="131"/>
      <c r="D82" s="80" t="s">
        <v>399</v>
      </c>
      <c r="E82" s="274">
        <v>0.15</v>
      </c>
      <c r="F82" s="275">
        <v>0.67500000000000004</v>
      </c>
      <c r="G82" s="116">
        <f t="shared" si="6"/>
        <v>0.67500000000000004</v>
      </c>
      <c r="I82" s="293" t="s">
        <v>436</v>
      </c>
      <c r="J82" s="294"/>
      <c r="K82" s="294"/>
      <c r="L82" s="313"/>
    </row>
    <row r="83" spans="2:40" s="5" customFormat="1" ht="21" customHeight="1" x14ac:dyDescent="0.2">
      <c r="B83" s="119" t="s">
        <v>324</v>
      </c>
      <c r="C83" s="121"/>
      <c r="D83" s="121"/>
      <c r="E83" s="254">
        <v>1</v>
      </c>
      <c r="F83" s="270">
        <v>6</v>
      </c>
      <c r="G83" s="122">
        <f>SUM(G84+G90)</f>
        <v>5.95</v>
      </c>
      <c r="H83" s="222"/>
      <c r="I83" s="295"/>
      <c r="J83" s="296"/>
      <c r="K83" s="296"/>
      <c r="L83" s="367"/>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row>
    <row r="84" spans="2:40" ht="15.75" customHeight="1" x14ac:dyDescent="0.2">
      <c r="B84" s="212" t="s">
        <v>310</v>
      </c>
      <c r="C84" s="134"/>
      <c r="D84" s="134"/>
      <c r="E84" s="272">
        <v>0.4</v>
      </c>
      <c r="F84" s="276">
        <v>2.4</v>
      </c>
      <c r="G84" s="135">
        <f>MAX(G85:G89)</f>
        <v>2.35</v>
      </c>
      <c r="H84" s="222"/>
      <c r="I84" s="304"/>
      <c r="J84" s="305"/>
      <c r="K84" s="305"/>
      <c r="L84" s="373"/>
    </row>
    <row r="85" spans="2:40" ht="15" x14ac:dyDescent="0.2">
      <c r="B85" s="136" t="s">
        <v>325</v>
      </c>
      <c r="C85" s="137"/>
      <c r="D85" s="80" t="s">
        <v>402</v>
      </c>
      <c r="E85" s="245"/>
      <c r="F85" s="269">
        <v>2.35</v>
      </c>
      <c r="G85" s="116">
        <f>IF(D85="Yes",F85,0)</f>
        <v>0</v>
      </c>
      <c r="H85" s="222"/>
      <c r="I85" s="300" t="s">
        <v>439</v>
      </c>
      <c r="J85" s="294"/>
      <c r="K85" s="294"/>
      <c r="L85" s="313"/>
    </row>
    <row r="86" spans="2:40" s="7" customFormat="1" ht="15" x14ac:dyDescent="0.2">
      <c r="B86" s="136" t="s">
        <v>326</v>
      </c>
      <c r="C86" s="137"/>
      <c r="D86" s="80" t="s">
        <v>399</v>
      </c>
      <c r="E86" s="245"/>
      <c r="F86" s="269">
        <v>2.35</v>
      </c>
      <c r="G86" s="116">
        <f>IF(D86="Yes",F86,0)</f>
        <v>2.35</v>
      </c>
      <c r="H86" s="222"/>
      <c r="I86" s="293" t="s">
        <v>436</v>
      </c>
      <c r="J86" s="306"/>
      <c r="K86" s="306"/>
      <c r="L86" s="374"/>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row>
    <row r="87" spans="2:40" s="7" customFormat="1" ht="28.5" x14ac:dyDescent="0.2">
      <c r="B87" s="138" t="s">
        <v>327</v>
      </c>
      <c r="C87" s="137"/>
      <c r="D87" s="335" t="s">
        <v>399</v>
      </c>
      <c r="E87" s="245"/>
      <c r="F87" s="269">
        <v>0.9</v>
      </c>
      <c r="G87" s="116">
        <f>IF(D87="Yes",F87,0)</f>
        <v>0.9</v>
      </c>
      <c r="H87" s="222"/>
      <c r="I87" s="300" t="s">
        <v>458</v>
      </c>
      <c r="J87" s="292" t="s">
        <v>472</v>
      </c>
      <c r="K87" s="306" t="s">
        <v>473</v>
      </c>
      <c r="L87" s="374"/>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row>
    <row r="88" spans="2:40" ht="15" x14ac:dyDescent="0.2">
      <c r="B88" s="138" t="s">
        <v>328</v>
      </c>
      <c r="C88" s="137"/>
      <c r="D88" s="80" t="s">
        <v>402</v>
      </c>
      <c r="E88" s="245"/>
      <c r="F88" s="269">
        <v>0.9</v>
      </c>
      <c r="G88" s="116">
        <f>IF(D88="Yes",F88,0)</f>
        <v>0</v>
      </c>
      <c r="H88" s="222"/>
      <c r="I88" s="300" t="s">
        <v>439</v>
      </c>
      <c r="J88" s="294"/>
      <c r="K88" s="294"/>
      <c r="L88" s="313"/>
    </row>
    <row r="89" spans="2:40" ht="15" x14ac:dyDescent="0.2">
      <c r="B89" s="138" t="s">
        <v>329</v>
      </c>
      <c r="C89" s="137"/>
      <c r="D89" s="80" t="s">
        <v>402</v>
      </c>
      <c r="E89" s="245"/>
      <c r="F89" s="269">
        <v>0.9</v>
      </c>
      <c r="G89" s="116">
        <f>IF(D89="Yes",F89,0)</f>
        <v>0</v>
      </c>
      <c r="H89" s="222"/>
      <c r="I89" s="300" t="s">
        <v>439</v>
      </c>
      <c r="J89" s="294"/>
      <c r="K89" s="294"/>
      <c r="L89" s="313"/>
    </row>
    <row r="90" spans="2:40" ht="15" x14ac:dyDescent="0.2">
      <c r="B90" s="133" t="s">
        <v>317</v>
      </c>
      <c r="C90" s="134"/>
      <c r="D90" s="134"/>
      <c r="E90" s="272">
        <v>0.6</v>
      </c>
      <c r="F90" s="276">
        <v>3.6</v>
      </c>
      <c r="G90" s="214">
        <f>SUM(G91:G94)</f>
        <v>3.6</v>
      </c>
      <c r="H90" s="222"/>
      <c r="I90" s="304"/>
      <c r="J90" s="305"/>
      <c r="K90" s="305"/>
      <c r="L90" s="373"/>
    </row>
    <row r="91" spans="2:40" ht="15" x14ac:dyDescent="0.2">
      <c r="B91" s="118" t="s">
        <v>330</v>
      </c>
      <c r="C91" s="333" t="s">
        <v>421</v>
      </c>
      <c r="D91" s="80" t="s">
        <v>399</v>
      </c>
      <c r="E91" s="245">
        <v>0.35</v>
      </c>
      <c r="F91" s="253">
        <v>1.26</v>
      </c>
      <c r="G91" s="116">
        <f>IF(D91="Yes",F91,0)</f>
        <v>1.26</v>
      </c>
      <c r="H91" s="222"/>
      <c r="I91" s="293" t="s">
        <v>436</v>
      </c>
      <c r="J91" s="294"/>
      <c r="K91" s="294"/>
      <c r="L91" s="313"/>
    </row>
    <row r="92" spans="2:40" ht="28.5" x14ac:dyDescent="0.2">
      <c r="B92" s="139" t="s">
        <v>331</v>
      </c>
      <c r="C92" s="333" t="s">
        <v>421</v>
      </c>
      <c r="D92" s="335" t="s">
        <v>399</v>
      </c>
      <c r="E92" s="245">
        <v>0.35</v>
      </c>
      <c r="F92" s="253">
        <v>1.26</v>
      </c>
      <c r="G92" s="116">
        <f t="shared" ref="G92:G94" si="7">IF(D92="Yes",F92,0)</f>
        <v>1.26</v>
      </c>
      <c r="H92" s="222"/>
      <c r="I92" s="291" t="s">
        <v>453</v>
      </c>
      <c r="J92" s="292" t="s">
        <v>472</v>
      </c>
      <c r="K92" s="294" t="s">
        <v>473</v>
      </c>
      <c r="L92" s="313"/>
    </row>
    <row r="93" spans="2:40" ht="28.5" x14ac:dyDescent="0.2">
      <c r="B93" s="139" t="s">
        <v>332</v>
      </c>
      <c r="C93" s="333" t="s">
        <v>421</v>
      </c>
      <c r="D93" s="335" t="s">
        <v>399</v>
      </c>
      <c r="E93" s="245">
        <v>0.15</v>
      </c>
      <c r="F93" s="253">
        <v>0.54</v>
      </c>
      <c r="G93" s="116">
        <f t="shared" si="7"/>
        <v>0.54</v>
      </c>
      <c r="H93" s="222"/>
      <c r="I93" s="291" t="s">
        <v>453</v>
      </c>
      <c r="J93" s="292" t="s">
        <v>472</v>
      </c>
      <c r="K93" s="294" t="s">
        <v>473</v>
      </c>
      <c r="L93" s="313"/>
    </row>
    <row r="94" spans="2:40" ht="15" x14ac:dyDescent="0.2">
      <c r="B94" s="118" t="s">
        <v>323</v>
      </c>
      <c r="C94" s="333" t="s">
        <v>421</v>
      </c>
      <c r="D94" s="80" t="s">
        <v>399</v>
      </c>
      <c r="E94" s="245">
        <v>0.15</v>
      </c>
      <c r="F94" s="253">
        <v>0.54</v>
      </c>
      <c r="G94" s="116">
        <f t="shared" si="7"/>
        <v>0.54</v>
      </c>
      <c r="H94" s="222"/>
      <c r="I94" s="291" t="s">
        <v>436</v>
      </c>
      <c r="J94" s="294"/>
      <c r="K94" s="294"/>
      <c r="L94" s="313"/>
    </row>
    <row r="95" spans="2:40" x14ac:dyDescent="0.2">
      <c r="D95" s="21"/>
      <c r="E95" s="277"/>
      <c r="F95" s="278"/>
      <c r="G95" s="22"/>
    </row>
    <row r="96" spans="2:40" x14ac:dyDescent="0.2">
      <c r="D96" s="21"/>
      <c r="E96" s="277"/>
      <c r="F96" s="278"/>
      <c r="G96" s="22"/>
    </row>
    <row r="97" spans="4:7" x14ac:dyDescent="0.2">
      <c r="D97" s="21"/>
      <c r="E97" s="277"/>
      <c r="F97" s="278"/>
      <c r="G97" s="22"/>
    </row>
    <row r="98" spans="4:7" x14ac:dyDescent="0.2">
      <c r="D98" s="21"/>
      <c r="E98" s="277"/>
      <c r="F98" s="278"/>
      <c r="G98" s="22"/>
    </row>
    <row r="99" spans="4:7" x14ac:dyDescent="0.2">
      <c r="D99" s="21"/>
      <c r="E99" s="277"/>
      <c r="F99" s="278"/>
      <c r="G99" s="22"/>
    </row>
    <row r="100" spans="4:7" x14ac:dyDescent="0.2">
      <c r="D100" s="21"/>
      <c r="E100" s="277"/>
      <c r="F100" s="278"/>
      <c r="G100" s="22"/>
    </row>
    <row r="101" spans="4:7" x14ac:dyDescent="0.2">
      <c r="D101" s="21"/>
      <c r="E101" s="277"/>
      <c r="F101" s="278"/>
      <c r="G101" s="22"/>
    </row>
    <row r="102" spans="4:7" x14ac:dyDescent="0.2">
      <c r="D102" s="21"/>
      <c r="E102" s="277"/>
      <c r="F102" s="278"/>
      <c r="G102" s="22"/>
    </row>
    <row r="103" spans="4:7" x14ac:dyDescent="0.2">
      <c r="D103" s="21"/>
      <c r="E103" s="277"/>
      <c r="F103" s="278"/>
      <c r="G103" s="22"/>
    </row>
    <row r="104" spans="4:7" x14ac:dyDescent="0.2">
      <c r="D104" s="21"/>
      <c r="E104" s="277"/>
      <c r="F104" s="278"/>
      <c r="G104" s="22"/>
    </row>
    <row r="105" spans="4:7" x14ac:dyDescent="0.2">
      <c r="D105" s="21"/>
      <c r="E105" s="277"/>
      <c r="F105" s="278"/>
      <c r="G105" s="22"/>
    </row>
    <row r="106" spans="4:7" x14ac:dyDescent="0.2">
      <c r="D106" s="21"/>
      <c r="E106" s="277"/>
      <c r="F106" s="278"/>
      <c r="G106" s="22"/>
    </row>
    <row r="107" spans="4:7" x14ac:dyDescent="0.2">
      <c r="D107" s="21"/>
      <c r="E107" s="277"/>
      <c r="F107" s="278"/>
      <c r="G107" s="22"/>
    </row>
    <row r="108" spans="4:7" x14ac:dyDescent="0.2">
      <c r="D108" s="21"/>
      <c r="E108" s="277"/>
      <c r="F108" s="278"/>
      <c r="G108" s="22"/>
    </row>
    <row r="109" spans="4:7" x14ac:dyDescent="0.2">
      <c r="D109" s="21"/>
      <c r="E109" s="277"/>
      <c r="F109" s="278"/>
      <c r="G109" s="22"/>
    </row>
    <row r="110" spans="4:7" x14ac:dyDescent="0.2">
      <c r="D110" s="21"/>
      <c r="E110" s="277"/>
      <c r="F110" s="278"/>
      <c r="G110" s="22"/>
    </row>
    <row r="111" spans="4:7" x14ac:dyDescent="0.2">
      <c r="D111" s="21"/>
      <c r="E111" s="277"/>
      <c r="F111" s="278"/>
      <c r="G111" s="22"/>
    </row>
    <row r="112" spans="4:7" x14ac:dyDescent="0.2">
      <c r="D112" s="21"/>
      <c r="E112" s="277"/>
      <c r="F112" s="278"/>
      <c r="G112" s="22"/>
    </row>
    <row r="113" spans="4:7" x14ac:dyDescent="0.2">
      <c r="D113" s="21"/>
      <c r="E113" s="277"/>
      <c r="F113" s="278"/>
      <c r="G113" s="22"/>
    </row>
    <row r="114" spans="4:7" x14ac:dyDescent="0.2">
      <c r="D114" s="21"/>
      <c r="E114" s="277"/>
      <c r="F114" s="278"/>
      <c r="G114" s="22"/>
    </row>
    <row r="115" spans="4:7" x14ac:dyDescent="0.2">
      <c r="D115" s="21"/>
      <c r="E115" s="277"/>
      <c r="F115" s="278"/>
      <c r="G115" s="22"/>
    </row>
  </sheetData>
  <sheetProtection algorithmName="SHA-512" hashValue="qeaNN1NouO3VkVbHMizVwjvwPNh5e547uCHDbOppxtjGpWJL3WNwrBuvXOHrYWzKkdb52UcQ4IM8vn6IS7i1dA==" saltValue="Ci/FHbYcIOEwydSlGKq3HA=="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4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C19" sqref="C19"/>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6.140625" style="44" hidden="1" customWidth="1"/>
    <col min="6" max="8" width="55.42578125" style="45" customWidth="1"/>
    <col min="9" max="27" width="9.140625" style="45"/>
    <col min="28" max="16384" width="9.140625" style="2"/>
  </cols>
  <sheetData>
    <row r="2" spans="1:27" ht="18" x14ac:dyDescent="0.2">
      <c r="B2" s="443" t="s">
        <v>73</v>
      </c>
      <c r="C2" s="443"/>
      <c r="D2" s="443"/>
    </row>
    <row r="3" spans="1:27" ht="18.75" thickBot="1" x14ac:dyDescent="0.25">
      <c r="B3" s="444" t="s">
        <v>333</v>
      </c>
      <c r="C3" s="485"/>
      <c r="D3" s="485"/>
    </row>
    <row r="4" spans="1:27" ht="18" x14ac:dyDescent="0.2">
      <c r="A4" s="486" t="s">
        <v>75</v>
      </c>
      <c r="B4" s="487"/>
      <c r="C4" s="487"/>
      <c r="D4" s="488"/>
      <c r="E4" s="47"/>
    </row>
    <row r="5" spans="1:27" ht="23.25" customHeight="1" x14ac:dyDescent="0.2">
      <c r="A5" s="24"/>
      <c r="B5" s="489" t="s">
        <v>334</v>
      </c>
      <c r="C5" s="489"/>
      <c r="D5" s="490"/>
      <c r="E5" s="48"/>
    </row>
    <row r="6" spans="1:27" ht="31.5" customHeight="1" x14ac:dyDescent="0.2">
      <c r="A6" s="25">
        <v>1</v>
      </c>
      <c r="B6" s="458" t="s">
        <v>250</v>
      </c>
      <c r="C6" s="458"/>
      <c r="D6" s="459"/>
      <c r="E6" s="48"/>
    </row>
    <row r="7" spans="1:27" ht="30.75" customHeight="1" thickBot="1" x14ac:dyDescent="0.25">
      <c r="A7" s="26">
        <v>2</v>
      </c>
      <c r="B7" s="483" t="s">
        <v>335</v>
      </c>
      <c r="C7" s="483"/>
      <c r="D7" s="484"/>
      <c r="E7" s="49"/>
    </row>
    <row r="8" spans="1:27" s="5" customFormat="1" ht="27" customHeight="1" x14ac:dyDescent="0.2">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25">
      <c r="A9" s="2"/>
      <c r="B9" s="482" t="s">
        <v>336</v>
      </c>
      <c r="C9" s="482"/>
      <c r="D9" s="482"/>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
      <c r="B10" s="175" t="s">
        <v>79</v>
      </c>
      <c r="C10" s="69" t="s">
        <v>80</v>
      </c>
      <c r="D10" s="179" t="s">
        <v>252</v>
      </c>
      <c r="E10" s="176"/>
      <c r="F10" s="480" t="s">
        <v>82</v>
      </c>
      <c r="G10" s="481"/>
      <c r="H10" s="481"/>
    </row>
    <row r="11" spans="1:27" ht="23.25" customHeight="1" x14ac:dyDescent="0.2">
      <c r="B11" s="171" t="s">
        <v>337</v>
      </c>
      <c r="C11" s="91"/>
      <c r="D11" s="180"/>
      <c r="E11" s="177"/>
      <c r="F11" s="163" t="s">
        <v>84</v>
      </c>
      <c r="G11" s="332" t="s">
        <v>255</v>
      </c>
      <c r="H11" s="332" t="s">
        <v>86</v>
      </c>
    </row>
    <row r="12" spans="1:27" ht="33" customHeight="1" x14ac:dyDescent="0.2">
      <c r="B12" s="172" t="s">
        <v>338</v>
      </c>
      <c r="C12" s="92" t="s">
        <v>339</v>
      </c>
      <c r="D12" s="181" t="s">
        <v>403</v>
      </c>
      <c r="E12" s="177"/>
      <c r="F12" s="322"/>
      <c r="G12" s="294"/>
      <c r="H12" s="294"/>
    </row>
    <row r="13" spans="1:27" s="5" customFormat="1" ht="33" customHeight="1" x14ac:dyDescent="0.2">
      <c r="A13" s="2"/>
      <c r="B13" s="172" t="s">
        <v>340</v>
      </c>
      <c r="C13" s="92" t="s">
        <v>341</v>
      </c>
      <c r="D13" s="181" t="s">
        <v>404</v>
      </c>
      <c r="E13" s="177"/>
      <c r="F13" s="322"/>
      <c r="G13" s="294"/>
      <c r="H13" s="294"/>
      <c r="I13" s="44"/>
      <c r="J13" s="44"/>
      <c r="K13" s="44"/>
      <c r="L13" s="44"/>
      <c r="M13" s="44"/>
      <c r="N13" s="44"/>
      <c r="O13" s="44"/>
      <c r="P13" s="44"/>
      <c r="Q13" s="44"/>
      <c r="R13" s="44"/>
      <c r="S13" s="44"/>
      <c r="T13" s="44"/>
      <c r="U13" s="44"/>
      <c r="V13" s="44"/>
      <c r="W13" s="44"/>
      <c r="X13" s="44"/>
      <c r="Y13" s="44"/>
      <c r="Z13" s="44"/>
      <c r="AA13" s="44"/>
    </row>
    <row r="14" spans="1:27" s="5" customFormat="1" ht="15" x14ac:dyDescent="0.2">
      <c r="A14" s="2"/>
      <c r="B14" s="112" t="s">
        <v>342</v>
      </c>
      <c r="C14" s="93"/>
      <c r="D14" s="170"/>
      <c r="E14" s="177"/>
      <c r="F14" s="93"/>
      <c r="G14" s="170"/>
      <c r="H14" s="170"/>
      <c r="I14" s="44"/>
      <c r="J14" s="44"/>
      <c r="K14" s="44"/>
      <c r="L14" s="44"/>
      <c r="M14" s="44"/>
      <c r="N14" s="44"/>
      <c r="O14" s="44"/>
      <c r="P14" s="44"/>
      <c r="Q14" s="44"/>
      <c r="R14" s="44"/>
      <c r="S14" s="44"/>
      <c r="T14" s="44"/>
      <c r="U14" s="44"/>
      <c r="V14" s="44"/>
      <c r="W14" s="44"/>
      <c r="X14" s="44"/>
      <c r="Y14" s="44"/>
      <c r="Z14" s="44"/>
      <c r="AA14" s="44"/>
    </row>
    <row r="15" spans="1:27" ht="33" customHeight="1" x14ac:dyDescent="0.2">
      <c r="B15" s="27" t="s">
        <v>343</v>
      </c>
      <c r="C15" s="94" t="s">
        <v>430</v>
      </c>
      <c r="D15" s="182" t="s">
        <v>399</v>
      </c>
      <c r="E15" s="177"/>
      <c r="F15" s="322"/>
      <c r="G15" s="294"/>
      <c r="H15" s="294"/>
    </row>
    <row r="16" spans="1:27" ht="33" customHeight="1" x14ac:dyDescent="0.2">
      <c r="B16" s="27" t="s">
        <v>344</v>
      </c>
      <c r="C16" s="94" t="s">
        <v>430</v>
      </c>
      <c r="D16" s="182" t="s">
        <v>399</v>
      </c>
      <c r="E16" s="177"/>
      <c r="F16" s="322"/>
      <c r="G16" s="294"/>
      <c r="H16" s="294"/>
    </row>
    <row r="17" spans="2:8" ht="15" x14ac:dyDescent="0.2">
      <c r="B17" s="112" t="s">
        <v>345</v>
      </c>
      <c r="C17" s="93"/>
      <c r="D17" s="170"/>
      <c r="E17" s="177"/>
      <c r="F17" s="93"/>
      <c r="G17" s="170"/>
      <c r="H17" s="170"/>
    </row>
    <row r="18" spans="2:8" ht="33" customHeight="1" x14ac:dyDescent="0.2">
      <c r="B18" s="118" t="s">
        <v>346</v>
      </c>
      <c r="C18" s="94" t="s">
        <v>430</v>
      </c>
      <c r="D18" s="183" t="s">
        <v>399</v>
      </c>
      <c r="E18" s="177"/>
      <c r="F18" s="322"/>
      <c r="G18" s="294"/>
      <c r="H18" s="294"/>
    </row>
    <row r="19" spans="2:8" ht="33" customHeight="1" thickBot="1" x14ac:dyDescent="0.25">
      <c r="B19" s="173" t="s">
        <v>347</v>
      </c>
      <c r="C19" s="174" t="s">
        <v>430</v>
      </c>
      <c r="D19" s="184" t="s">
        <v>399</v>
      </c>
      <c r="E19" s="178"/>
      <c r="F19" s="323"/>
      <c r="G19" s="317"/>
      <c r="H19" s="317"/>
    </row>
    <row r="20" spans="2:8" ht="14.25" x14ac:dyDescent="0.2">
      <c r="B20" s="28"/>
      <c r="C20" s="3"/>
      <c r="D20" s="95"/>
    </row>
  </sheetData>
  <sheetProtection algorithmName="SHA-512" hashValue="MQvjJu88gqwkGqKtXQV5ZLBxWu/F+UycknVnapKI3EBDHpftNjnARFCNDq6WhwdImktku14K+ZCVKNc1w6i3wA==" saltValue="jq6l5vMMRr32UtpsnjhctA=="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4" zoomScale="70" zoomScaleNormal="70" workbookViewId="0">
      <selection activeCell="O32" sqref="O32"/>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8" customWidth="1"/>
    <col min="6" max="6" width="24" style="86" hidden="1" customWidth="1"/>
    <col min="7" max="7" width="3.85546875" style="87" hidden="1" customWidth="1"/>
    <col min="8" max="8" width="19.140625" style="87" hidden="1" customWidth="1"/>
    <col min="9" max="9" width="20.140625" style="87" hidden="1" customWidth="1"/>
    <col min="10" max="10" width="34" style="87" hidden="1" customWidth="1"/>
    <col min="11" max="11" width="3.85546875" style="87" hidden="1" customWidth="1"/>
    <col min="12" max="12" width="33" style="87" hidden="1" customWidth="1"/>
    <col min="13" max="13" width="33.5703125" style="87" hidden="1" customWidth="1"/>
    <col min="14" max="14" width="36.42578125" style="2" hidden="1" customWidth="1"/>
    <col min="15" max="17" width="55.140625" style="45" customWidth="1"/>
    <col min="18" max="26" width="9.140625" style="45"/>
    <col min="27" max="16384" width="9.140625" style="2"/>
  </cols>
  <sheetData>
    <row r="1" spans="1:26" x14ac:dyDescent="0.2">
      <c r="O1" s="2"/>
      <c r="P1" s="2"/>
    </row>
    <row r="2" spans="1:26" ht="18" x14ac:dyDescent="0.2">
      <c r="B2" s="443" t="s">
        <v>73</v>
      </c>
      <c r="C2" s="443"/>
      <c r="D2" s="443"/>
      <c r="E2" s="443"/>
      <c r="O2" s="2"/>
      <c r="P2" s="2"/>
    </row>
    <row r="3" spans="1:26" ht="18.75" thickBot="1" x14ac:dyDescent="0.25">
      <c r="B3" s="444" t="s">
        <v>333</v>
      </c>
      <c r="C3" s="485"/>
      <c r="D3" s="485"/>
      <c r="E3" s="485"/>
      <c r="O3" s="2"/>
      <c r="P3" s="2"/>
    </row>
    <row r="4" spans="1:26" ht="18" x14ac:dyDescent="0.2">
      <c r="A4" s="486" t="s">
        <v>75</v>
      </c>
      <c r="B4" s="487"/>
      <c r="C4" s="487"/>
      <c r="D4" s="487"/>
      <c r="E4" s="488"/>
      <c r="F4" s="96"/>
      <c r="O4" s="2"/>
      <c r="P4" s="2"/>
    </row>
    <row r="5" spans="1:26" ht="23.25" customHeight="1" x14ac:dyDescent="0.2">
      <c r="A5" s="24"/>
      <c r="B5" s="489" t="s">
        <v>334</v>
      </c>
      <c r="C5" s="489"/>
      <c r="D5" s="489"/>
      <c r="E5" s="490"/>
      <c r="F5" s="97"/>
      <c r="O5" s="2"/>
      <c r="P5" s="2"/>
    </row>
    <row r="6" spans="1:26" ht="31.5" customHeight="1" x14ac:dyDescent="0.2">
      <c r="A6" s="25">
        <v>1</v>
      </c>
      <c r="B6" s="458" t="s">
        <v>250</v>
      </c>
      <c r="C6" s="458"/>
      <c r="D6" s="458"/>
      <c r="E6" s="459"/>
      <c r="F6" s="97"/>
      <c r="O6" s="2"/>
      <c r="P6" s="2"/>
    </row>
    <row r="7" spans="1:26" ht="30.75" customHeight="1" thickBot="1" x14ac:dyDescent="0.25">
      <c r="A7" s="26">
        <v>2</v>
      </c>
      <c r="B7" s="483" t="s">
        <v>335</v>
      </c>
      <c r="C7" s="483"/>
      <c r="D7" s="483"/>
      <c r="E7" s="484"/>
      <c r="F7" s="98"/>
      <c r="O7" s="2"/>
      <c r="P7" s="2"/>
    </row>
    <row r="8" spans="1:26" s="5" customFormat="1" ht="27" customHeight="1" x14ac:dyDescent="0.2">
      <c r="A8" s="2"/>
      <c r="B8" s="4"/>
      <c r="C8" s="4"/>
      <c r="D8" s="4"/>
      <c r="E8" s="17"/>
      <c r="F8" s="86"/>
      <c r="G8" s="87"/>
      <c r="H8" s="86"/>
      <c r="I8" s="86"/>
      <c r="J8" s="86"/>
      <c r="K8" s="86"/>
      <c r="L8" s="86"/>
      <c r="M8" s="86"/>
      <c r="Q8" s="44"/>
      <c r="R8" s="44"/>
      <c r="S8" s="44"/>
      <c r="T8" s="44"/>
      <c r="U8" s="44"/>
      <c r="V8" s="44"/>
      <c r="W8" s="44"/>
      <c r="X8" s="44"/>
      <c r="Y8" s="44"/>
      <c r="Z8" s="44"/>
    </row>
    <row r="9" spans="1:26" s="5" customFormat="1" ht="18.75" thickBot="1" x14ac:dyDescent="0.25">
      <c r="A9" s="2"/>
      <c r="B9" s="494" t="s">
        <v>348</v>
      </c>
      <c r="C9" s="494"/>
      <c r="D9" s="494"/>
      <c r="E9" s="494"/>
      <c r="F9" s="86"/>
      <c r="G9" s="87"/>
      <c r="H9" s="87"/>
      <c r="I9" s="86"/>
      <c r="J9" s="86"/>
      <c r="K9" s="86"/>
      <c r="L9" s="86"/>
      <c r="M9" s="86"/>
      <c r="Q9" s="44"/>
      <c r="R9" s="44"/>
      <c r="S9" s="44"/>
      <c r="T9" s="44"/>
      <c r="U9" s="44"/>
      <c r="V9" s="44"/>
      <c r="W9" s="44"/>
      <c r="X9" s="44"/>
      <c r="Y9" s="44"/>
      <c r="Z9" s="44"/>
    </row>
    <row r="10" spans="1:26" s="30" customFormat="1" ht="15.75" customHeight="1" x14ac:dyDescent="0.2">
      <c r="A10" s="29"/>
      <c r="B10" s="35" t="s">
        <v>79</v>
      </c>
      <c r="C10" s="36" t="s">
        <v>80</v>
      </c>
      <c r="D10" s="36" t="s">
        <v>349</v>
      </c>
      <c r="E10" s="37" t="s">
        <v>252</v>
      </c>
      <c r="F10" s="99"/>
      <c r="G10" s="100"/>
      <c r="H10" s="100"/>
      <c r="I10" s="99"/>
      <c r="J10" s="99"/>
      <c r="K10" s="99"/>
      <c r="L10" s="99"/>
      <c r="M10" s="99"/>
      <c r="O10" s="492" t="s">
        <v>82</v>
      </c>
      <c r="P10" s="481"/>
      <c r="Q10" s="481"/>
      <c r="R10" s="50"/>
      <c r="S10" s="50"/>
      <c r="T10" s="50"/>
      <c r="U10" s="50"/>
      <c r="V10" s="50"/>
      <c r="W10" s="50"/>
      <c r="X10" s="50"/>
      <c r="Y10" s="50"/>
      <c r="Z10" s="50"/>
    </row>
    <row r="11" spans="1:26" s="30" customFormat="1" ht="17.25" customHeight="1" x14ac:dyDescent="0.2">
      <c r="A11" s="29"/>
      <c r="B11" s="57" t="s">
        <v>350</v>
      </c>
      <c r="C11" s="167"/>
      <c r="D11" s="167"/>
      <c r="E11" s="168"/>
      <c r="F11" s="99"/>
      <c r="G11" s="100"/>
      <c r="H11" s="100"/>
      <c r="I11" s="99"/>
      <c r="J11" s="99"/>
      <c r="K11" s="99"/>
      <c r="L11" s="99"/>
      <c r="M11" s="99"/>
      <c r="O11" s="493" t="s">
        <v>84</v>
      </c>
      <c r="P11" s="491" t="s">
        <v>255</v>
      </c>
      <c r="Q11" s="491" t="s">
        <v>86</v>
      </c>
      <c r="R11" s="50"/>
      <c r="S11" s="50"/>
      <c r="T11" s="50"/>
      <c r="U11" s="50"/>
      <c r="V11" s="50"/>
      <c r="W11" s="50"/>
      <c r="X11" s="50"/>
      <c r="Y11" s="50"/>
      <c r="Z11" s="50"/>
    </row>
    <row r="12" spans="1:26" s="30" customFormat="1" ht="14.25" x14ac:dyDescent="0.2">
      <c r="A12" s="29"/>
      <c r="B12" s="88" t="s">
        <v>351</v>
      </c>
      <c r="C12" s="71"/>
      <c r="D12" s="71"/>
      <c r="E12" s="169" t="str">
        <f>IF(OR(E13="Yes",E27="Yes"),"Yes","")</f>
        <v>Yes</v>
      </c>
      <c r="F12" s="99"/>
      <c r="G12" s="100"/>
      <c r="H12" s="100"/>
      <c r="I12" s="99"/>
      <c r="J12" s="99"/>
      <c r="K12" s="99"/>
      <c r="L12" s="99"/>
      <c r="M12" s="99"/>
      <c r="O12" s="493"/>
      <c r="P12" s="491"/>
      <c r="Q12" s="491"/>
      <c r="R12" s="50"/>
      <c r="S12" s="50"/>
      <c r="T12" s="50"/>
      <c r="U12" s="50"/>
      <c r="V12" s="50"/>
      <c r="W12" s="50"/>
      <c r="X12" s="50"/>
      <c r="Y12" s="50"/>
      <c r="Z12" s="50"/>
    </row>
    <row r="13" spans="1:26" s="30" customFormat="1" ht="14.25" x14ac:dyDescent="0.2">
      <c r="A13" s="29"/>
      <c r="B13" s="61" t="s">
        <v>352</v>
      </c>
      <c r="C13" s="55"/>
      <c r="D13" s="55"/>
      <c r="E13" s="101" t="str">
        <f>IF(OR(E14="Yes",E20="Yes"),"Yes","")</f>
        <v>Yes</v>
      </c>
      <c r="F13" s="99"/>
      <c r="G13" s="100"/>
      <c r="H13" s="100"/>
      <c r="I13" s="99"/>
      <c r="J13" s="99"/>
      <c r="K13" s="99"/>
      <c r="L13" s="99"/>
      <c r="M13" s="99"/>
      <c r="O13" s="164"/>
      <c r="P13" s="101"/>
      <c r="Q13" s="101"/>
      <c r="R13" s="50"/>
      <c r="S13" s="50"/>
      <c r="T13" s="50"/>
      <c r="U13" s="50"/>
      <c r="V13" s="50"/>
      <c r="W13" s="50"/>
      <c r="X13" s="50"/>
      <c r="Y13" s="50"/>
      <c r="Z13" s="50"/>
    </row>
    <row r="14" spans="1:26" s="30" customFormat="1" ht="14.25" x14ac:dyDescent="0.2">
      <c r="A14" s="29"/>
      <c r="B14" s="10" t="s">
        <v>353</v>
      </c>
      <c r="C14" s="9"/>
      <c r="D14" s="9"/>
      <c r="E14" s="102" t="str">
        <f>IF(OR(E15="Yes",E16="Yes",E17="Yes",E18="Yes",E19="Yes"),"Yes","")</f>
        <v>Yes</v>
      </c>
      <c r="F14" s="99" t="str">
        <f t="shared" ref="F14:F24" si="0">IF(E14="Yes",B14,"")</f>
        <v xml:space="preserve">     Financial Management</v>
      </c>
      <c r="G14" s="100">
        <f>LEN(F14)</f>
        <v>25</v>
      </c>
      <c r="H14" s="100" t="str">
        <f>RIGHT(F14,(G14-5))</f>
        <v>Financial Management</v>
      </c>
      <c r="I14" s="99" t="str">
        <f>IF(E14="Yes",CONCATENATE(H14,": "),"")</f>
        <v xml:space="preserve">Financial Management: </v>
      </c>
      <c r="J14" s="99" t="str">
        <f>CONCATENATE(I14,I15,I16,I17,I18,I19)</f>
        <v xml:space="preserve">Financial Management: Budget, Treasury, Accounting and Reporting, </v>
      </c>
      <c r="K14" s="99">
        <f>LEN(J14)</f>
        <v>66</v>
      </c>
      <c r="L14" s="99" t="str">
        <f>LEFT(J14,(K14-2))</f>
        <v>Financial Management: Budget, Treasury, Accounting and Reporting</v>
      </c>
      <c r="M14" s="99" t="str">
        <f>IF(K14=0,"",CONCATENATE(L14,"."))</f>
        <v>Financial Management: Budget, Treasury, Accounting and Reporting.</v>
      </c>
      <c r="N14" s="30" t="str">
        <f>CONCATENATE(M14,CHAR(10),CHAR(10),M20)</f>
        <v xml:space="preserve">Financial Management: Budget, Treasury, Accounting and Reporting.
</v>
      </c>
      <c r="O14" s="10"/>
      <c r="P14" s="165"/>
      <c r="Q14" s="165"/>
      <c r="R14" s="50"/>
      <c r="S14" s="50"/>
      <c r="T14" s="50"/>
      <c r="U14" s="50"/>
      <c r="V14" s="50"/>
      <c r="W14" s="50"/>
      <c r="X14" s="50"/>
      <c r="Y14" s="50"/>
      <c r="Z14" s="50"/>
    </row>
    <row r="15" spans="1:26" s="30" customFormat="1" ht="15" x14ac:dyDescent="0.2">
      <c r="A15" s="29"/>
      <c r="B15" s="27" t="s">
        <v>354</v>
      </c>
      <c r="C15" s="40" t="s">
        <v>431</v>
      </c>
      <c r="D15" s="32"/>
      <c r="E15" s="103" t="s">
        <v>399</v>
      </c>
      <c r="F15" s="99" t="str">
        <f t="shared" si="0"/>
        <v xml:space="preserve">         Budget</v>
      </c>
      <c r="G15" s="100">
        <f t="shared" ref="G15:G33" si="1">LEN(F15)</f>
        <v>15</v>
      </c>
      <c r="H15" s="100" t="str">
        <f>RIGHT(F15,(G15-9))</f>
        <v>Budget</v>
      </c>
      <c r="I15" s="99" t="str">
        <f>IF(E15="Yes",CONCATENATE(H15,", "),"")</f>
        <v xml:space="preserve">Budget, </v>
      </c>
      <c r="J15" s="99"/>
      <c r="K15" s="99"/>
      <c r="L15" s="99"/>
      <c r="M15" s="99"/>
      <c r="O15" s="324" t="s">
        <v>440</v>
      </c>
      <c r="P15" s="325"/>
      <c r="Q15" s="325"/>
      <c r="R15" s="50"/>
      <c r="S15" s="50"/>
      <c r="T15" s="50"/>
      <c r="U15" s="50"/>
      <c r="V15" s="50"/>
      <c r="W15" s="50"/>
      <c r="X15" s="50"/>
      <c r="Y15" s="50"/>
      <c r="Z15" s="50"/>
    </row>
    <row r="16" spans="1:26" s="30" customFormat="1" ht="15" x14ac:dyDescent="0.2">
      <c r="A16" s="29"/>
      <c r="B16" s="27" t="s">
        <v>355</v>
      </c>
      <c r="C16" s="40" t="s">
        <v>431</v>
      </c>
      <c r="D16" s="32"/>
      <c r="E16" s="103" t="s">
        <v>399</v>
      </c>
      <c r="F16" s="99" t="str">
        <f t="shared" si="0"/>
        <v xml:space="preserve">         Treasury</v>
      </c>
      <c r="G16" s="100">
        <f t="shared" si="1"/>
        <v>17</v>
      </c>
      <c r="H16" s="100" t="str">
        <f t="shared" ref="H16:H19" si="2">RIGHT(F16,(G16-9))</f>
        <v>Treasury</v>
      </c>
      <c r="I16" s="99" t="str">
        <f t="shared" ref="I16:I23" si="3">IF(E16="Yes",CONCATENATE(H16,", "),"")</f>
        <v xml:space="preserve">Treasury, </v>
      </c>
      <c r="J16" s="99"/>
      <c r="K16" s="99"/>
      <c r="L16" s="99"/>
      <c r="M16" s="99"/>
      <c r="O16" s="324" t="s">
        <v>441</v>
      </c>
      <c r="P16" s="325"/>
      <c r="Q16" s="325"/>
      <c r="R16" s="50"/>
      <c r="S16" s="50"/>
      <c r="T16" s="50"/>
      <c r="U16" s="50"/>
      <c r="V16" s="50"/>
      <c r="W16" s="50"/>
      <c r="X16" s="50"/>
      <c r="Y16" s="50"/>
      <c r="Z16" s="50"/>
    </row>
    <row r="17" spans="1:26" s="30" customFormat="1" ht="15" x14ac:dyDescent="0.2">
      <c r="A17" s="29"/>
      <c r="B17" s="27" t="s">
        <v>356</v>
      </c>
      <c r="C17" s="40" t="s">
        <v>431</v>
      </c>
      <c r="D17" s="32"/>
      <c r="E17" s="103" t="s">
        <v>399</v>
      </c>
      <c r="F17" s="99" t="str">
        <f t="shared" si="0"/>
        <v xml:space="preserve">         Accounting and Reporting</v>
      </c>
      <c r="G17" s="100">
        <f t="shared" si="1"/>
        <v>33</v>
      </c>
      <c r="H17" s="100" t="str">
        <f t="shared" si="2"/>
        <v>Accounting and Reporting</v>
      </c>
      <c r="I17" s="99" t="str">
        <f t="shared" si="3"/>
        <v xml:space="preserve">Accounting and Reporting, </v>
      </c>
      <c r="J17" s="99"/>
      <c r="K17" s="99"/>
      <c r="L17" s="99"/>
      <c r="M17" s="99"/>
      <c r="O17" s="324" t="s">
        <v>442</v>
      </c>
      <c r="P17" s="325"/>
      <c r="Q17" s="325"/>
      <c r="R17" s="50"/>
      <c r="S17" s="50"/>
      <c r="T17" s="50"/>
      <c r="U17" s="50"/>
      <c r="V17" s="50"/>
      <c r="W17" s="50"/>
      <c r="X17" s="50"/>
      <c r="Y17" s="50"/>
      <c r="Z17" s="50"/>
    </row>
    <row r="18" spans="1:26" s="30" customFormat="1" ht="15" x14ac:dyDescent="0.2">
      <c r="A18" s="29"/>
      <c r="B18" s="27" t="s">
        <v>357</v>
      </c>
      <c r="C18" s="40"/>
      <c r="D18" s="32"/>
      <c r="E18" s="103"/>
      <c r="F18" s="99" t="str">
        <f t="shared" si="0"/>
        <v/>
      </c>
      <c r="G18" s="100">
        <f t="shared" si="1"/>
        <v>0</v>
      </c>
      <c r="H18" s="100" t="e">
        <f t="shared" si="2"/>
        <v>#VALUE!</v>
      </c>
      <c r="I18" s="99" t="str">
        <f t="shared" si="3"/>
        <v/>
      </c>
      <c r="J18" s="99"/>
      <c r="K18" s="99"/>
      <c r="L18" s="99"/>
      <c r="M18" s="99"/>
      <c r="O18" s="324"/>
      <c r="P18" s="325"/>
      <c r="Q18" s="325"/>
      <c r="R18" s="50"/>
      <c r="S18" s="50"/>
      <c r="T18" s="50"/>
      <c r="U18" s="50"/>
      <c r="V18" s="50"/>
      <c r="W18" s="50"/>
      <c r="X18" s="50"/>
      <c r="Y18" s="50"/>
      <c r="Z18" s="50"/>
    </row>
    <row r="19" spans="1:26" s="30" customFormat="1" ht="15" x14ac:dyDescent="0.2">
      <c r="A19" s="29"/>
      <c r="B19" s="27" t="s">
        <v>358</v>
      </c>
      <c r="C19" s="40"/>
      <c r="D19" s="32"/>
      <c r="E19" s="103"/>
      <c r="F19" s="99" t="str">
        <f t="shared" si="0"/>
        <v/>
      </c>
      <c r="G19" s="100">
        <f t="shared" si="1"/>
        <v>0</v>
      </c>
      <c r="H19" s="100" t="e">
        <f t="shared" si="2"/>
        <v>#VALUE!</v>
      </c>
      <c r="I19" s="99" t="str">
        <f t="shared" si="3"/>
        <v/>
      </c>
      <c r="J19" s="99"/>
      <c r="K19" s="99"/>
      <c r="L19" s="99"/>
      <c r="M19" s="99"/>
      <c r="O19" s="324"/>
      <c r="P19" s="325"/>
      <c r="Q19" s="325"/>
      <c r="R19" s="50"/>
      <c r="S19" s="50"/>
      <c r="T19" s="50"/>
      <c r="U19" s="50"/>
      <c r="V19" s="50"/>
      <c r="W19" s="50"/>
      <c r="X19" s="50"/>
      <c r="Y19" s="50"/>
      <c r="Z19" s="50"/>
    </row>
    <row r="20" spans="1:26" s="30" customFormat="1" ht="14.25" x14ac:dyDescent="0.2">
      <c r="A20" s="29"/>
      <c r="B20" s="10" t="s">
        <v>359</v>
      </c>
      <c r="C20" s="9"/>
      <c r="D20" s="9"/>
      <c r="E20" s="104" t="str">
        <f>IF(OR(E21="Yes",E22="Yes",E23="Yes",E24="Yes"),"Yes","")</f>
        <v/>
      </c>
      <c r="F20" s="99" t="str">
        <f t="shared" si="0"/>
        <v/>
      </c>
      <c r="G20" s="100">
        <f>LEN(F20)</f>
        <v>0</v>
      </c>
      <c r="H20" s="100" t="e">
        <f>RIGHT(F20,(G20-5))</f>
        <v>#VALUE!</v>
      </c>
      <c r="I20" s="99" t="str">
        <f>IF(E20="Yes",CONCATENATE(H20,": "),"")</f>
        <v/>
      </c>
      <c r="J20" s="99" t="str">
        <f>CONCATENATE(I20,I21,I22,I23,I24)</f>
        <v/>
      </c>
      <c r="K20" s="99">
        <f>LEN(J20)</f>
        <v>0</v>
      </c>
      <c r="L20" s="99" t="e">
        <f t="shared" ref="L20" si="4">LEFT(J20,(K20-2))</f>
        <v>#VALUE!</v>
      </c>
      <c r="M20" s="99" t="str">
        <f t="shared" ref="M20:M28" si="5">IF(K20=0,"",CONCATENATE(L20,"."))</f>
        <v/>
      </c>
      <c r="O20" s="10"/>
      <c r="P20" s="165"/>
      <c r="Q20" s="165"/>
      <c r="R20" s="50"/>
      <c r="S20" s="50"/>
      <c r="T20" s="50"/>
      <c r="U20" s="50"/>
      <c r="V20" s="50"/>
      <c r="W20" s="50"/>
      <c r="X20" s="50"/>
      <c r="Y20" s="50"/>
      <c r="Z20" s="50"/>
    </row>
    <row r="21" spans="1:26" s="30" customFormat="1" ht="28.5" x14ac:dyDescent="0.2">
      <c r="A21" s="29"/>
      <c r="B21" s="27" t="s">
        <v>360</v>
      </c>
      <c r="C21" s="40" t="s">
        <v>432</v>
      </c>
      <c r="D21" s="32"/>
      <c r="E21" s="103" t="s">
        <v>402</v>
      </c>
      <c r="F21" s="99" t="str">
        <f t="shared" si="0"/>
        <v/>
      </c>
      <c r="G21" s="100">
        <f>LEN(F21)</f>
        <v>0</v>
      </c>
      <c r="H21" s="100" t="e">
        <f>RIGHT(F21,(G21-8))</f>
        <v>#VALUE!</v>
      </c>
      <c r="I21" s="99" t="str">
        <f>IF(E21="Yes",CONCATENATE(H21,", "),"")</f>
        <v/>
      </c>
      <c r="J21" s="99"/>
      <c r="K21" s="99"/>
      <c r="L21" s="99"/>
      <c r="M21" s="99"/>
      <c r="O21" s="324" t="s">
        <v>459</v>
      </c>
      <c r="P21" s="325"/>
      <c r="Q21" s="325"/>
      <c r="R21" s="50"/>
      <c r="S21" s="50"/>
      <c r="T21" s="50"/>
      <c r="U21" s="50"/>
      <c r="V21" s="50"/>
      <c r="W21" s="50"/>
      <c r="X21" s="50"/>
      <c r="Y21" s="50"/>
      <c r="Z21" s="50"/>
    </row>
    <row r="22" spans="1:26" s="30" customFormat="1" ht="28.5" x14ac:dyDescent="0.2">
      <c r="A22" s="29"/>
      <c r="B22" s="209" t="s">
        <v>361</v>
      </c>
      <c r="C22" s="40" t="s">
        <v>432</v>
      </c>
      <c r="D22" s="32"/>
      <c r="E22" s="103" t="s">
        <v>402</v>
      </c>
      <c r="F22" s="99" t="str">
        <f t="shared" si="0"/>
        <v/>
      </c>
      <c r="G22" s="100">
        <f t="shared" si="1"/>
        <v>0</v>
      </c>
      <c r="H22" s="100" t="str">
        <f>RIGHT(F22,(G22-0))</f>
        <v/>
      </c>
      <c r="I22" s="99" t="str">
        <f t="shared" si="3"/>
        <v/>
      </c>
      <c r="J22" s="99"/>
      <c r="K22" s="99"/>
      <c r="L22" s="99"/>
      <c r="M22" s="99"/>
      <c r="O22" s="324" t="s">
        <v>459</v>
      </c>
      <c r="P22" s="325"/>
      <c r="Q22" s="325"/>
      <c r="R22" s="50"/>
      <c r="S22" s="50"/>
      <c r="T22" s="50"/>
      <c r="U22" s="50"/>
      <c r="V22" s="50"/>
      <c r="W22" s="50"/>
      <c r="X22" s="50"/>
      <c r="Y22" s="50"/>
      <c r="Z22" s="50"/>
    </row>
    <row r="23" spans="1:26" s="30" customFormat="1" ht="28.5" x14ac:dyDescent="0.2">
      <c r="A23" s="29"/>
      <c r="B23" s="27" t="s">
        <v>362</v>
      </c>
      <c r="C23" s="40" t="s">
        <v>432</v>
      </c>
      <c r="D23" s="32"/>
      <c r="E23" s="103" t="s">
        <v>402</v>
      </c>
      <c r="F23" s="99" t="str">
        <f t="shared" si="0"/>
        <v/>
      </c>
      <c r="G23" s="100">
        <f t="shared" si="1"/>
        <v>0</v>
      </c>
      <c r="H23" s="100" t="e">
        <f>RIGHT(F23,(G23-8))</f>
        <v>#VALUE!</v>
      </c>
      <c r="I23" s="99" t="str">
        <f t="shared" si="3"/>
        <v/>
      </c>
      <c r="J23" s="99"/>
      <c r="K23" s="99"/>
      <c r="L23" s="99"/>
      <c r="M23" s="99"/>
      <c r="O23" s="324" t="s">
        <v>459</v>
      </c>
      <c r="P23" s="325"/>
      <c r="Q23" s="325"/>
      <c r="R23" s="50"/>
      <c r="S23" s="50"/>
      <c r="T23" s="50"/>
      <c r="U23" s="50"/>
      <c r="V23" s="50"/>
      <c r="W23" s="50"/>
      <c r="X23" s="50"/>
      <c r="Y23" s="50"/>
      <c r="Z23" s="50"/>
    </row>
    <row r="24" spans="1:26" s="30" customFormat="1" ht="15" x14ac:dyDescent="0.2">
      <c r="A24" s="29"/>
      <c r="B24" s="27" t="s">
        <v>363</v>
      </c>
      <c r="C24" s="32"/>
      <c r="D24" s="32"/>
      <c r="E24" s="90" t="str">
        <f>IF(OR(E25="Yes",E26="Yes"),"Yes","")</f>
        <v/>
      </c>
      <c r="F24" s="99" t="str">
        <f t="shared" si="0"/>
        <v/>
      </c>
      <c r="G24" s="100">
        <f t="shared" si="1"/>
        <v>0</v>
      </c>
      <c r="H24" s="100" t="e">
        <f>RIGHT(F24,(G24-8))</f>
        <v>#VALUE!</v>
      </c>
      <c r="I24" s="99" t="str">
        <f t="shared" ref="I24:I33" si="6">IF(E24="Yes",CONCATENATE(H24,", "),"")</f>
        <v/>
      </c>
      <c r="J24" s="99"/>
      <c r="K24" s="99"/>
      <c r="L24" s="99"/>
      <c r="M24" s="99"/>
      <c r="O24" s="324"/>
      <c r="P24" s="325"/>
      <c r="Q24" s="325"/>
      <c r="R24" s="50"/>
      <c r="S24" s="50"/>
      <c r="T24" s="50"/>
      <c r="U24" s="50"/>
      <c r="V24" s="50"/>
      <c r="W24" s="50"/>
      <c r="X24" s="50"/>
      <c r="Y24" s="50"/>
      <c r="Z24" s="50"/>
    </row>
    <row r="25" spans="1:26" s="30" customFormat="1" ht="15" x14ac:dyDescent="0.2">
      <c r="A25" s="29"/>
      <c r="B25" s="27" t="s">
        <v>364</v>
      </c>
      <c r="C25" s="40"/>
      <c r="D25" s="32"/>
      <c r="E25" s="103"/>
      <c r="F25" s="99"/>
      <c r="G25" s="100"/>
      <c r="H25" s="100"/>
      <c r="I25" s="99"/>
      <c r="J25" s="99"/>
      <c r="K25" s="99"/>
      <c r="L25" s="99"/>
      <c r="M25" s="99"/>
      <c r="O25" s="324"/>
      <c r="P25" s="325"/>
      <c r="Q25" s="325"/>
      <c r="R25" s="50"/>
      <c r="S25" s="50"/>
      <c r="T25" s="50"/>
      <c r="U25" s="50"/>
      <c r="V25" s="50"/>
      <c r="W25" s="50"/>
      <c r="X25" s="50"/>
      <c r="Y25" s="50"/>
      <c r="Z25" s="50"/>
    </row>
    <row r="26" spans="1:26" s="30" customFormat="1" ht="15" x14ac:dyDescent="0.2">
      <c r="A26" s="29"/>
      <c r="B26" s="27" t="s">
        <v>365</v>
      </c>
      <c r="C26" s="40"/>
      <c r="D26" s="32"/>
      <c r="E26" s="103"/>
      <c r="F26" s="99"/>
      <c r="G26" s="100"/>
      <c r="H26" s="100"/>
      <c r="I26" s="99"/>
      <c r="J26" s="99"/>
      <c r="K26" s="99"/>
      <c r="L26" s="99"/>
      <c r="M26" s="99"/>
      <c r="O26" s="324"/>
      <c r="P26" s="325"/>
      <c r="Q26" s="325"/>
      <c r="R26" s="50"/>
      <c r="S26" s="50"/>
      <c r="T26" s="50"/>
      <c r="U26" s="50"/>
      <c r="V26" s="50"/>
      <c r="W26" s="50"/>
      <c r="X26" s="50"/>
      <c r="Y26" s="50"/>
      <c r="Z26" s="50"/>
    </row>
    <row r="27" spans="1:26" s="30" customFormat="1" ht="14.25" x14ac:dyDescent="0.2">
      <c r="A27" s="29"/>
      <c r="B27" s="61" t="s">
        <v>366</v>
      </c>
      <c r="C27" s="55"/>
      <c r="D27" s="55"/>
      <c r="E27" s="105" t="str">
        <f>IF(OR(E28="Yes",E30="Yes",E32="Yes",E33="Yes"),"Yes","")</f>
        <v>Yes</v>
      </c>
      <c r="F27" s="99"/>
      <c r="G27" s="100"/>
      <c r="H27" s="100"/>
      <c r="I27" s="99"/>
      <c r="J27" s="99"/>
      <c r="K27" s="99"/>
      <c r="L27" s="99"/>
      <c r="M27" s="99"/>
      <c r="O27" s="164"/>
      <c r="P27" s="101"/>
      <c r="Q27" s="101"/>
      <c r="R27" s="50"/>
      <c r="S27" s="50"/>
      <c r="T27" s="50"/>
      <c r="U27" s="50"/>
      <c r="V27" s="50"/>
      <c r="W27" s="50"/>
      <c r="X27" s="50"/>
      <c r="Y27" s="50"/>
      <c r="Z27" s="50"/>
    </row>
    <row r="28" spans="1:26" s="30" customFormat="1" ht="14.25" x14ac:dyDescent="0.2">
      <c r="A28" s="29"/>
      <c r="B28" s="10" t="s">
        <v>367</v>
      </c>
      <c r="C28" s="9"/>
      <c r="D28" s="9"/>
      <c r="E28" s="104" t="str">
        <f>IF(E29="Yes","Yes","")</f>
        <v>Yes</v>
      </c>
      <c r="F28" s="99" t="str">
        <f>IF(E28="Yes",B28,"")</f>
        <v xml:space="preserve">     Strategic Planning National System</v>
      </c>
      <c r="G28" s="100">
        <f t="shared" si="1"/>
        <v>39</v>
      </c>
      <c r="H28" s="100" t="str">
        <f>RIGHT(F28,(G28-5))</f>
        <v>Strategic Planning National System</v>
      </c>
      <c r="I28" s="99" t="str">
        <f t="shared" si="6"/>
        <v xml:space="preserve">Strategic Planning National System, </v>
      </c>
      <c r="J28" s="99" t="str">
        <f>CONCATENATE(I28,I30,I32,I33)</f>
        <v xml:space="preserve">Strategic Planning National System, </v>
      </c>
      <c r="K28" s="99">
        <f>LEN(J28)</f>
        <v>36</v>
      </c>
      <c r="L28" s="99" t="str">
        <f>LEFT(J28,(K28-2))</f>
        <v>Strategic Planning National System</v>
      </c>
      <c r="M28" s="99" t="str">
        <f t="shared" si="5"/>
        <v>Strategic Planning National System.</v>
      </c>
      <c r="O28" s="10"/>
      <c r="P28" s="165"/>
      <c r="Q28" s="165"/>
      <c r="R28" s="50"/>
      <c r="S28" s="50"/>
      <c r="T28" s="50"/>
      <c r="U28" s="50"/>
      <c r="V28" s="50"/>
      <c r="W28" s="50"/>
      <c r="X28" s="50"/>
      <c r="Y28" s="50"/>
      <c r="Z28" s="50"/>
    </row>
    <row r="29" spans="1:26" s="30" customFormat="1" ht="15" x14ac:dyDescent="0.2">
      <c r="A29" s="29"/>
      <c r="B29" s="27" t="s">
        <v>368</v>
      </c>
      <c r="C29" s="39"/>
      <c r="D29" s="32"/>
      <c r="E29" s="103" t="s">
        <v>399</v>
      </c>
      <c r="F29" s="99"/>
      <c r="G29" s="100"/>
      <c r="H29" s="100"/>
      <c r="I29" s="99"/>
      <c r="J29" s="99"/>
      <c r="K29" s="99"/>
      <c r="L29" s="99"/>
      <c r="M29" s="99"/>
      <c r="O29" s="324" t="s">
        <v>436</v>
      </c>
      <c r="P29" s="325"/>
      <c r="Q29" s="325"/>
      <c r="R29" s="50"/>
      <c r="S29" s="50"/>
      <c r="T29" s="50"/>
      <c r="U29" s="50"/>
      <c r="V29" s="50"/>
      <c r="W29" s="50"/>
      <c r="X29" s="50"/>
      <c r="Y29" s="50"/>
      <c r="Z29" s="50"/>
    </row>
    <row r="30" spans="1:26" s="30" customFormat="1" ht="14.25" x14ac:dyDescent="0.2">
      <c r="A30" s="29"/>
      <c r="B30" s="10" t="s">
        <v>369</v>
      </c>
      <c r="C30" s="9"/>
      <c r="D30" s="9"/>
      <c r="E30" s="104" t="str">
        <f>IF(E31="Yes","Yes","")</f>
        <v/>
      </c>
      <c r="F30" s="99" t="str">
        <f>IF(E30="Yes",B30,"")</f>
        <v/>
      </c>
      <c r="G30" s="100">
        <f t="shared" si="1"/>
        <v>0</v>
      </c>
      <c r="H30" s="100" t="e">
        <f>RIGHT(F30,(G30-5))</f>
        <v>#VALUE!</v>
      </c>
      <c r="I30" s="99" t="str">
        <f t="shared" si="6"/>
        <v/>
      </c>
      <c r="J30" s="99"/>
      <c r="K30" s="99"/>
      <c r="L30" s="99"/>
      <c r="M30" s="99"/>
      <c r="O30" s="10"/>
      <c r="P30" s="165"/>
      <c r="Q30" s="165"/>
      <c r="R30" s="50"/>
      <c r="S30" s="50"/>
      <c r="T30" s="50"/>
      <c r="U30" s="50"/>
      <c r="V30" s="50"/>
      <c r="W30" s="50"/>
      <c r="X30" s="50"/>
      <c r="Y30" s="50"/>
      <c r="Z30" s="50"/>
    </row>
    <row r="31" spans="1:26" s="30" customFormat="1" ht="15" x14ac:dyDescent="0.2">
      <c r="A31" s="29"/>
      <c r="B31" s="27" t="s">
        <v>368</v>
      </c>
      <c r="C31" s="39"/>
      <c r="D31" s="32"/>
      <c r="E31" s="103" t="s">
        <v>402</v>
      </c>
      <c r="F31" s="99"/>
      <c r="G31" s="100"/>
      <c r="H31" s="100"/>
      <c r="I31" s="99"/>
      <c r="J31" s="99"/>
      <c r="K31" s="99"/>
      <c r="L31" s="99"/>
      <c r="M31" s="99"/>
      <c r="O31" s="324" t="s">
        <v>439</v>
      </c>
      <c r="P31" s="325"/>
      <c r="Q31" s="325"/>
      <c r="R31" s="50"/>
      <c r="S31" s="50"/>
      <c r="T31" s="50"/>
      <c r="U31" s="50"/>
      <c r="V31" s="50"/>
      <c r="W31" s="50"/>
      <c r="X31" s="50"/>
      <c r="Y31" s="50"/>
      <c r="Z31" s="50"/>
    </row>
    <row r="32" spans="1:26" s="30" customFormat="1" ht="14.25" x14ac:dyDescent="0.2">
      <c r="A32" s="29"/>
      <c r="B32" s="10" t="s">
        <v>370</v>
      </c>
      <c r="C32" s="321"/>
      <c r="D32" s="9"/>
      <c r="E32" s="141"/>
      <c r="F32" s="99" t="str">
        <f>IF(E32="Yes",B32,"")</f>
        <v/>
      </c>
      <c r="G32" s="100">
        <f t="shared" si="1"/>
        <v>0</v>
      </c>
      <c r="H32" s="100" t="e">
        <f>RIGHT(F32,(G32-5))</f>
        <v>#VALUE!</v>
      </c>
      <c r="I32" s="99" t="str">
        <f t="shared" si="6"/>
        <v/>
      </c>
      <c r="J32" s="99"/>
      <c r="K32" s="99"/>
      <c r="L32" s="99"/>
      <c r="M32" s="99"/>
      <c r="O32" s="326"/>
      <c r="P32" s="326"/>
      <c r="Q32" s="326"/>
      <c r="R32" s="50"/>
      <c r="S32" s="50"/>
      <c r="T32" s="50"/>
      <c r="U32" s="50"/>
      <c r="V32" s="50"/>
      <c r="W32" s="50"/>
      <c r="X32" s="50"/>
      <c r="Y32" s="50"/>
      <c r="Z32" s="50"/>
    </row>
    <row r="33" spans="1:26" s="30" customFormat="1" ht="14.25" x14ac:dyDescent="0.2">
      <c r="A33" s="29"/>
      <c r="B33" s="10" t="s">
        <v>371</v>
      </c>
      <c r="C33" s="321"/>
      <c r="D33" s="9"/>
      <c r="E33" s="141"/>
      <c r="F33" s="99" t="str">
        <f>IF(E33="Yes",B33,"")</f>
        <v/>
      </c>
      <c r="G33" s="100">
        <f t="shared" si="1"/>
        <v>0</v>
      </c>
      <c r="H33" s="100" t="e">
        <f>RIGHT(F33,(G33-5))</f>
        <v>#VALUE!</v>
      </c>
      <c r="I33" s="99" t="str">
        <f t="shared" si="6"/>
        <v/>
      </c>
      <c r="J33" s="99"/>
      <c r="K33" s="99"/>
      <c r="L33" s="99"/>
      <c r="M33" s="99"/>
      <c r="O33" s="326"/>
      <c r="P33" s="326"/>
      <c r="Q33" s="326"/>
      <c r="R33" s="50"/>
      <c r="S33" s="50"/>
      <c r="T33" s="50"/>
      <c r="U33" s="50"/>
      <c r="V33" s="50"/>
      <c r="W33" s="50"/>
      <c r="X33" s="50"/>
      <c r="Y33" s="50"/>
      <c r="Z33" s="50"/>
    </row>
    <row r="34" spans="1:26" s="30" customFormat="1" ht="34.5" customHeight="1" x14ac:dyDescent="0.2">
      <c r="A34" s="29"/>
      <c r="B34" s="88" t="s">
        <v>34</v>
      </c>
      <c r="C34" s="71"/>
      <c r="D34" s="71"/>
      <c r="E34" s="71"/>
      <c r="F34" s="99"/>
      <c r="G34" s="100"/>
      <c r="H34" s="100"/>
      <c r="I34" s="99"/>
      <c r="J34" s="99"/>
      <c r="K34" s="99"/>
      <c r="L34" s="99"/>
      <c r="M34" s="99"/>
      <c r="O34" s="88"/>
      <c r="P34" s="166"/>
      <c r="Q34" s="166"/>
      <c r="R34" s="50"/>
      <c r="S34" s="50"/>
      <c r="T34" s="50"/>
      <c r="U34" s="50"/>
      <c r="V34" s="50"/>
      <c r="W34" s="50"/>
      <c r="X34" s="50"/>
      <c r="Y34" s="50"/>
      <c r="Z34" s="50"/>
    </row>
    <row r="35" spans="1:26" s="30" customFormat="1" ht="57" customHeight="1" x14ac:dyDescent="0.2">
      <c r="A35" s="29"/>
      <c r="B35" s="31" t="s">
        <v>35</v>
      </c>
      <c r="C35" s="39"/>
      <c r="D35" s="39" t="s">
        <v>372</v>
      </c>
      <c r="E35" s="103"/>
      <c r="F35" s="99"/>
      <c r="G35" s="100"/>
      <c r="H35" s="100"/>
      <c r="I35" s="99"/>
      <c r="J35" s="99"/>
      <c r="K35" s="99"/>
      <c r="L35" s="99"/>
      <c r="M35" s="99"/>
      <c r="O35" s="324"/>
      <c r="P35" s="325"/>
      <c r="Q35" s="325"/>
      <c r="R35" s="50"/>
      <c r="S35" s="50"/>
      <c r="T35" s="50"/>
      <c r="U35" s="50"/>
      <c r="V35" s="50"/>
      <c r="W35" s="50"/>
      <c r="X35" s="50"/>
      <c r="Y35" s="50"/>
      <c r="Z35" s="50"/>
    </row>
    <row r="36" spans="1:26" s="29" customFormat="1" ht="15" x14ac:dyDescent="0.2">
      <c r="B36" s="33"/>
      <c r="E36" s="34"/>
      <c r="F36" s="99"/>
      <c r="G36" s="100"/>
      <c r="H36" s="100"/>
      <c r="I36" s="100"/>
      <c r="J36" s="100"/>
      <c r="K36" s="100"/>
      <c r="L36" s="100">
        <f>3*0.25</f>
        <v>0.75</v>
      </c>
      <c r="M36" s="100"/>
      <c r="O36" s="51"/>
      <c r="P36" s="51"/>
      <c r="Q36" s="51"/>
      <c r="R36" s="51"/>
      <c r="S36" s="51"/>
      <c r="T36" s="51"/>
      <c r="U36" s="51"/>
      <c r="V36" s="51"/>
      <c r="W36" s="51"/>
      <c r="X36" s="51"/>
      <c r="Y36" s="51"/>
      <c r="Z36" s="51"/>
    </row>
    <row r="37" spans="1:26" x14ac:dyDescent="0.2">
      <c r="L37" s="87">
        <f>3*0.15</f>
        <v>0.44999999999999996</v>
      </c>
    </row>
    <row r="39" spans="1:26" x14ac:dyDescent="0.2">
      <c r="L39" s="87">
        <f>SUM(L36:L38)</f>
        <v>1.2</v>
      </c>
    </row>
    <row r="41" spans="1:26" x14ac:dyDescent="0.2">
      <c r="L41" s="87">
        <f>1*0.25</f>
        <v>0.25</v>
      </c>
    </row>
    <row r="42" spans="1:26" x14ac:dyDescent="0.2">
      <c r="L42" s="87">
        <f>1*0.15</f>
        <v>0.15</v>
      </c>
    </row>
  </sheetData>
  <sheetProtection algorithmName="SHA-512" hashValue="vi0BvKo+qqoCZGtpiPKoPMZKC0OpYlVd0EVouylsY8q+vaKzZqT+aWhG9tNllZBv+QDWPOgjVq2QSX8TtPzpOw==" saltValue="h3Jy9IH0Mox2eKzmRPud/g=="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x14ac:dyDescent="0.2">
      <c r="B2" s="443" t="s">
        <v>170</v>
      </c>
      <c r="C2" s="443"/>
      <c r="D2" s="443"/>
    </row>
    <row r="3" spans="1:13" ht="18.75" thickBot="1" x14ac:dyDescent="0.25">
      <c r="B3" s="444" t="s">
        <v>333</v>
      </c>
      <c r="C3" s="495"/>
      <c r="D3" s="495"/>
    </row>
    <row r="4" spans="1:13" ht="18" x14ac:dyDescent="0.2">
      <c r="A4" s="486" t="s">
        <v>75</v>
      </c>
      <c r="B4" s="487"/>
      <c r="C4" s="487"/>
      <c r="D4" s="487"/>
      <c r="E4" s="47"/>
    </row>
    <row r="5" spans="1:13" ht="23.25" customHeight="1" x14ac:dyDescent="0.2">
      <c r="A5" s="24"/>
      <c r="B5" s="489" t="s">
        <v>334</v>
      </c>
      <c r="C5" s="489"/>
      <c r="D5" s="489"/>
      <c r="E5" s="48"/>
    </row>
    <row r="6" spans="1:13" ht="31.5" customHeight="1" x14ac:dyDescent="0.2">
      <c r="A6" s="25">
        <v>1</v>
      </c>
      <c r="B6" s="458" t="s">
        <v>172</v>
      </c>
      <c r="C6" s="458"/>
      <c r="D6" s="458"/>
      <c r="E6" s="48"/>
    </row>
    <row r="7" spans="1:13" ht="30.75" customHeight="1" thickBot="1" x14ac:dyDescent="0.25">
      <c r="A7" s="26">
        <v>2</v>
      </c>
      <c r="B7" s="483" t="s">
        <v>373</v>
      </c>
      <c r="C7" s="483"/>
      <c r="D7" s="483"/>
      <c r="E7" s="49"/>
    </row>
    <row r="8" spans="1:13" s="5" customFormat="1" ht="27" customHeight="1" x14ac:dyDescent="0.2">
      <c r="A8" s="2"/>
      <c r="B8" s="4"/>
      <c r="C8" s="4"/>
      <c r="D8" s="17"/>
      <c r="E8" s="44"/>
      <c r="F8" s="45"/>
      <c r="G8" s="44"/>
      <c r="H8" s="44"/>
      <c r="I8" s="44"/>
      <c r="J8" s="44"/>
      <c r="K8" s="44"/>
      <c r="L8" s="44"/>
    </row>
    <row r="9" spans="1:13" s="5" customFormat="1" ht="18.75" thickBot="1" x14ac:dyDescent="0.25">
      <c r="A9" s="2"/>
      <c r="B9" s="494" t="s">
        <v>348</v>
      </c>
      <c r="C9" s="494"/>
      <c r="D9" s="494"/>
      <c r="E9" s="44"/>
      <c r="F9" s="45"/>
      <c r="G9" s="45"/>
      <c r="H9" s="44"/>
      <c r="I9" s="44"/>
      <c r="J9" s="44"/>
      <c r="K9" s="44"/>
      <c r="L9" s="44"/>
    </row>
    <row r="10" spans="1:13" s="30" customFormat="1" ht="15.75" customHeight="1" x14ac:dyDescent="0.2">
      <c r="A10" s="29"/>
      <c r="B10" s="35" t="s">
        <v>79</v>
      </c>
      <c r="C10" s="36" t="s">
        <v>80</v>
      </c>
      <c r="D10" s="37" t="s">
        <v>81</v>
      </c>
      <c r="E10" s="50"/>
      <c r="F10" s="51"/>
      <c r="G10" s="51"/>
      <c r="H10" s="50"/>
      <c r="I10" s="50"/>
      <c r="J10" s="50"/>
      <c r="K10" s="50"/>
      <c r="L10" s="50"/>
    </row>
    <row r="11" spans="1:13" s="30" customFormat="1" ht="15.75" thickBot="1" x14ac:dyDescent="0.25">
      <c r="A11" s="29"/>
      <c r="B11" s="58" t="s">
        <v>350</v>
      </c>
      <c r="C11" s="59"/>
      <c r="D11" s="60"/>
      <c r="E11" s="50"/>
      <c r="F11" s="51"/>
      <c r="G11" s="51"/>
      <c r="H11" s="50"/>
      <c r="I11" s="50"/>
      <c r="J11" s="50"/>
      <c r="K11" s="50"/>
      <c r="L11" s="50"/>
    </row>
    <row r="12" spans="1:13" s="30" customFormat="1" ht="14.25" x14ac:dyDescent="0.2">
      <c r="A12" s="29"/>
      <c r="B12" s="15" t="s">
        <v>351</v>
      </c>
      <c r="C12" s="74"/>
      <c r="D12" s="62" t="str">
        <f>'DEM (Additionality)'!E12</f>
        <v>Yes</v>
      </c>
      <c r="E12" s="50"/>
      <c r="F12" s="51"/>
      <c r="G12" s="51"/>
      <c r="H12" s="50"/>
      <c r="I12" s="50"/>
      <c r="J12" s="50"/>
      <c r="K12" s="50"/>
      <c r="L12" s="50"/>
    </row>
    <row r="13" spans="1:13" s="30" customFormat="1" ht="14.25" x14ac:dyDescent="0.2">
      <c r="A13" s="29"/>
      <c r="B13" s="61" t="s">
        <v>374</v>
      </c>
      <c r="C13" s="55"/>
      <c r="D13" s="78" t="str">
        <f>'DEM (Additionality)'!E13</f>
        <v>Yes</v>
      </c>
      <c r="E13" s="50"/>
      <c r="F13" s="51"/>
      <c r="G13" s="51"/>
      <c r="H13" s="50"/>
      <c r="I13" s="50"/>
      <c r="J13" s="50"/>
      <c r="K13" s="50"/>
      <c r="L13" s="50"/>
    </row>
    <row r="14" spans="1:13" s="30" customFormat="1" ht="14.25" x14ac:dyDescent="0.2">
      <c r="A14" s="29"/>
      <c r="B14" s="9" t="s">
        <v>375</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v>
      </c>
      <c r="J14" s="50">
        <f>LEN(I14)</f>
        <v>87</v>
      </c>
      <c r="K14" s="50" t="str">
        <f>LEFT(I14,(J14-2))</f>
        <v>Administración financiera: Presupuesto, Tesorería, Contabilidad y emisión de informes</v>
      </c>
      <c r="L14" s="50" t="str">
        <f>IF(J14=0,"",CONCATENATE(K14,"."))</f>
        <v>Administración financiera: Presupuesto, Tesorería, Contabilidad y emisión de informes.</v>
      </c>
      <c r="M14" s="30" t="str">
        <f>CONCATENATE(L14,CHAR(10),CHAR(10),L20)</f>
        <v xml:space="preserve">Administración financiera: Presupuesto, Tesorería, Contabilidad y emisión de informes.
</v>
      </c>
    </row>
    <row r="15" spans="1:13" s="30" customFormat="1" ht="14.25" x14ac:dyDescent="0.2">
      <c r="A15" s="29"/>
      <c r="B15" s="77" t="s">
        <v>376</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x14ac:dyDescent="0.2">
      <c r="A16" s="29"/>
      <c r="B16" s="77" t="s">
        <v>377</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x14ac:dyDescent="0.2">
      <c r="A17" s="29"/>
      <c r="B17" s="77" t="s">
        <v>378</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x14ac:dyDescent="0.2">
      <c r="A18" s="29"/>
      <c r="B18" s="77" t="s">
        <v>379</v>
      </c>
      <c r="C18" s="40"/>
      <c r="D18" s="79">
        <f>'DEM (Additionality)'!E18</f>
        <v>0</v>
      </c>
      <c r="E18" s="50" t="str">
        <f t="shared" si="0"/>
        <v/>
      </c>
      <c r="F18" s="51">
        <f t="shared" si="1"/>
        <v>0</v>
      </c>
      <c r="G18" s="51" t="e">
        <f t="shared" si="2"/>
        <v>#VALUE!</v>
      </c>
      <c r="H18" s="50" t="str">
        <f t="shared" si="3"/>
        <v/>
      </c>
      <c r="I18" s="50"/>
      <c r="J18" s="50"/>
      <c r="K18" s="50"/>
      <c r="L18" s="50"/>
    </row>
    <row r="19" spans="1:12" s="30" customFormat="1" ht="14.25" x14ac:dyDescent="0.2">
      <c r="A19" s="29"/>
      <c r="B19" s="77" t="s">
        <v>380</v>
      </c>
      <c r="C19" s="40"/>
      <c r="D19" s="79">
        <f>'DEM (Additionality)'!E19</f>
        <v>0</v>
      </c>
      <c r="E19" s="50" t="str">
        <f t="shared" si="0"/>
        <v/>
      </c>
      <c r="F19" s="51">
        <f t="shared" si="1"/>
        <v>0</v>
      </c>
      <c r="G19" s="51" t="e">
        <f t="shared" si="2"/>
        <v>#VALUE!</v>
      </c>
      <c r="H19" s="50" t="str">
        <f t="shared" si="3"/>
        <v/>
      </c>
      <c r="I19" s="50"/>
      <c r="J19" s="50"/>
      <c r="K19" s="50"/>
      <c r="L19" s="50"/>
    </row>
    <row r="20" spans="1:12" s="30" customFormat="1" ht="14.25" x14ac:dyDescent="0.2">
      <c r="A20" s="29"/>
      <c r="B20" s="9" t="s">
        <v>381</v>
      </c>
      <c r="C20" s="9"/>
      <c r="D20" s="63" t="str">
        <f>'DEM (Additionality)'!E20</f>
        <v/>
      </c>
      <c r="E20" s="50" t="str">
        <f>IF(D20="Yes",B20,"")</f>
        <v/>
      </c>
      <c r="F20" s="51">
        <f>LEN(E20)</f>
        <v>0</v>
      </c>
      <c r="G20" s="51" t="e">
        <f>RIGHT(E20,(F20-5))</f>
        <v>#VALUE!</v>
      </c>
      <c r="H20" s="50" t="str">
        <f>IF(D20="Yes",CONCATENATE(G20,": "),"")</f>
        <v/>
      </c>
      <c r="I20" s="50" t="str">
        <f>CONCATENATE(H20,H21,H22,H23,H24)</f>
        <v/>
      </c>
      <c r="J20" s="50">
        <f>LEN(I20)</f>
        <v>0</v>
      </c>
      <c r="K20" s="50" t="e">
        <f t="shared" ref="K20" si="4">LEFT(I20,(J20-2))</f>
        <v>#VALUE!</v>
      </c>
      <c r="L20" s="50" t="str">
        <f t="shared" ref="L20:L28" si="5">IF(J20=0,"",CONCATENATE(K20,"."))</f>
        <v/>
      </c>
    </row>
    <row r="21" spans="1:12" s="30" customFormat="1" ht="14.25" x14ac:dyDescent="0.2">
      <c r="A21" s="29"/>
      <c r="B21" s="77" t="s">
        <v>382</v>
      </c>
      <c r="C21" s="40"/>
      <c r="D21" s="79" t="str">
        <f>'DEM (Additionality)'!E21</f>
        <v>No</v>
      </c>
      <c r="E21" s="50" t="str">
        <f t="shared" ref="E21:E24" si="6">IF(D21="Yes",B21,"")</f>
        <v/>
      </c>
      <c r="F21" s="51">
        <f t="shared" si="1"/>
        <v>0</v>
      </c>
      <c r="G21" s="51" t="e">
        <f>RIGHT(E21,(F21-9))</f>
        <v>#VALUE!</v>
      </c>
      <c r="H21" s="50" t="str">
        <f t="shared" si="3"/>
        <v/>
      </c>
      <c r="I21" s="50"/>
      <c r="J21" s="50"/>
      <c r="K21" s="50"/>
      <c r="L21" s="50"/>
    </row>
    <row r="22" spans="1:12" s="30" customFormat="1" ht="14.25" x14ac:dyDescent="0.2">
      <c r="A22" s="29"/>
      <c r="B22" s="77" t="s">
        <v>383</v>
      </c>
      <c r="C22" s="40"/>
      <c r="D22" s="79" t="str">
        <f>'DEM (Additionality)'!E22</f>
        <v>No</v>
      </c>
      <c r="E22" s="50" t="str">
        <f t="shared" si="6"/>
        <v/>
      </c>
      <c r="F22" s="51">
        <f t="shared" si="1"/>
        <v>0</v>
      </c>
      <c r="G22" s="51" t="e">
        <f t="shared" ref="G22:G24" si="7">RIGHT(E22,(F22-9))</f>
        <v>#VALUE!</v>
      </c>
      <c r="H22" s="50" t="str">
        <f t="shared" si="3"/>
        <v/>
      </c>
      <c r="I22" s="50"/>
      <c r="J22" s="50"/>
      <c r="K22" s="50"/>
      <c r="L22" s="50"/>
    </row>
    <row r="23" spans="1:12" s="30" customFormat="1" ht="14.25" x14ac:dyDescent="0.2">
      <c r="A23" s="29"/>
      <c r="B23" s="77" t="s">
        <v>384</v>
      </c>
      <c r="C23" s="40"/>
      <c r="D23" s="79" t="str">
        <f>'DEM (Additionality)'!E23</f>
        <v>No</v>
      </c>
      <c r="E23" s="50" t="str">
        <f t="shared" si="6"/>
        <v/>
      </c>
      <c r="F23" s="51">
        <f t="shared" si="1"/>
        <v>0</v>
      </c>
      <c r="G23" s="51" t="e">
        <f t="shared" si="7"/>
        <v>#VALUE!</v>
      </c>
      <c r="H23" s="50" t="str">
        <f t="shared" si="3"/>
        <v/>
      </c>
      <c r="I23" s="50"/>
      <c r="J23" s="50"/>
      <c r="K23" s="50"/>
      <c r="L23" s="50"/>
    </row>
    <row r="24" spans="1:12" s="30" customFormat="1" ht="15" x14ac:dyDescent="0.2">
      <c r="A24" s="29"/>
      <c r="B24" s="77" t="s">
        <v>385</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4.25" x14ac:dyDescent="0.2">
      <c r="A25" s="29"/>
      <c r="B25" s="77" t="s">
        <v>386</v>
      </c>
      <c r="C25" s="40"/>
      <c r="D25" s="79">
        <f>'DEM (Additionality)'!E25</f>
        <v>0</v>
      </c>
      <c r="E25" s="50"/>
      <c r="F25" s="51"/>
      <c r="G25" s="51"/>
      <c r="H25" s="50"/>
      <c r="I25" s="50"/>
      <c r="J25" s="50"/>
      <c r="K25" s="50"/>
      <c r="L25" s="50"/>
    </row>
    <row r="26" spans="1:12" s="30" customFormat="1" ht="14.25" x14ac:dyDescent="0.2">
      <c r="A26" s="29"/>
      <c r="B26" s="77" t="s">
        <v>387</v>
      </c>
      <c r="C26" s="40"/>
      <c r="D26" s="79">
        <f>'DEM (Additionality)'!E26</f>
        <v>0</v>
      </c>
      <c r="E26" s="50"/>
      <c r="F26" s="51"/>
      <c r="G26" s="51"/>
      <c r="H26" s="50"/>
      <c r="I26" s="50"/>
      <c r="J26" s="50"/>
      <c r="K26" s="50"/>
      <c r="L26" s="50"/>
    </row>
    <row r="27" spans="1:12" s="30" customFormat="1" ht="14.25" x14ac:dyDescent="0.2">
      <c r="A27" s="29"/>
      <c r="B27" s="61" t="s">
        <v>366</v>
      </c>
      <c r="C27" s="55"/>
      <c r="D27" s="78" t="str">
        <f>'DEM (Additionality)'!E27</f>
        <v>Yes</v>
      </c>
      <c r="E27" s="50"/>
      <c r="F27" s="51"/>
      <c r="G27" s="51"/>
      <c r="H27" s="50"/>
      <c r="I27" s="50"/>
      <c r="J27" s="50"/>
      <c r="K27" s="50"/>
      <c r="L27" s="50"/>
    </row>
    <row r="28" spans="1:12" s="30" customFormat="1" ht="14.25" x14ac:dyDescent="0.2">
      <c r="A28" s="29"/>
      <c r="B28" s="10" t="s">
        <v>388</v>
      </c>
      <c r="C28" s="9"/>
      <c r="D28" s="63" t="str">
        <f>'DEM (Additionality)'!E28</f>
        <v>Yes</v>
      </c>
      <c r="E28" s="50" t="str">
        <f>IF(D28="Yes",B28,"")</f>
        <v xml:space="preserve">     Sistema Nacional de Planeación Estratégica</v>
      </c>
      <c r="F28" s="51">
        <f t="shared" si="1"/>
        <v>47</v>
      </c>
      <c r="G28" s="51" t="str">
        <f>RIGHT(E28,(F28-5))</f>
        <v>Sistema Nacional de Planeación Estratégica</v>
      </c>
      <c r="H28" s="50" t="str">
        <f t="shared" si="3"/>
        <v xml:space="preserve">Sistema Nacional de Planeación Estratégica, </v>
      </c>
      <c r="I28" s="50" t="str">
        <f>CONCATENATE(H28,H30,H32,H33)</f>
        <v xml:space="preserve">Sistema Nacional de Planeación Estratégica, </v>
      </c>
      <c r="J28" s="50">
        <f>LEN(I28)</f>
        <v>44</v>
      </c>
      <c r="K28" s="50" t="str">
        <f>LEFT(I28,(J28-2))</f>
        <v>Sistema Nacional de Planeación Estratégica</v>
      </c>
      <c r="L28" s="50" t="str">
        <f t="shared" si="5"/>
        <v>Sistema Nacional de Planeación Estratégica.</v>
      </c>
    </row>
    <row r="29" spans="1:12" s="30" customFormat="1" ht="15" x14ac:dyDescent="0.2">
      <c r="A29" s="29"/>
      <c r="B29" s="27" t="s">
        <v>368</v>
      </c>
      <c r="C29" s="39"/>
      <c r="D29" s="80" t="str">
        <f>'DEM (Additionality)'!E29</f>
        <v>Yes</v>
      </c>
      <c r="E29" s="50"/>
      <c r="F29" s="51"/>
      <c r="G29" s="51"/>
      <c r="H29" s="50"/>
      <c r="I29" s="50"/>
      <c r="J29" s="50"/>
      <c r="K29" s="50"/>
      <c r="L29" s="50"/>
    </row>
    <row r="30" spans="1:12" s="30" customFormat="1" ht="14.25" x14ac:dyDescent="0.2">
      <c r="A30" s="29"/>
      <c r="B30" s="10" t="s">
        <v>389</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5" x14ac:dyDescent="0.2">
      <c r="A31" s="29"/>
      <c r="B31" s="27" t="s">
        <v>368</v>
      </c>
      <c r="C31" s="39"/>
      <c r="D31" s="80" t="str">
        <f>'DEM (Additionality)'!E31</f>
        <v>No</v>
      </c>
      <c r="E31" s="50"/>
      <c r="F31" s="51"/>
      <c r="G31" s="51"/>
      <c r="H31" s="50"/>
      <c r="I31" s="50"/>
      <c r="J31" s="50"/>
      <c r="K31" s="50"/>
      <c r="L31" s="50"/>
    </row>
    <row r="32" spans="1:12" s="30" customFormat="1" ht="14.25" x14ac:dyDescent="0.2">
      <c r="A32" s="29"/>
      <c r="B32" s="10" t="s">
        <v>390</v>
      </c>
      <c r="C32" s="9"/>
      <c r="D32" s="63">
        <f>'DEM (Additionality)'!E32</f>
        <v>0</v>
      </c>
      <c r="E32" s="50" t="str">
        <f t="shared" si="8"/>
        <v/>
      </c>
      <c r="F32" s="51">
        <f t="shared" si="1"/>
        <v>0</v>
      </c>
      <c r="G32" s="51" t="e">
        <f>RIGHT(E32,(F32-5))</f>
        <v>#VALUE!</v>
      </c>
      <c r="H32" s="50" t="str">
        <f t="shared" si="3"/>
        <v/>
      </c>
      <c r="I32" s="50"/>
      <c r="J32" s="50"/>
      <c r="K32" s="50"/>
      <c r="L32" s="50"/>
    </row>
    <row r="33" spans="1:12" s="30" customFormat="1" ht="14.25" x14ac:dyDescent="0.2">
      <c r="A33" s="29"/>
      <c r="B33" s="10" t="s">
        <v>391</v>
      </c>
      <c r="C33" s="9"/>
      <c r="D33" s="63">
        <f>'DEM (Additionality)'!E33</f>
        <v>0</v>
      </c>
      <c r="E33" s="50" t="str">
        <f t="shared" si="8"/>
        <v/>
      </c>
      <c r="F33" s="51">
        <f t="shared" si="1"/>
        <v>0</v>
      </c>
      <c r="G33" s="51" t="e">
        <f>RIGHT(E33,(F33-5))</f>
        <v>#VALUE!</v>
      </c>
      <c r="H33" s="50" t="str">
        <f t="shared" si="3"/>
        <v/>
      </c>
      <c r="I33" s="50"/>
      <c r="J33" s="50"/>
      <c r="K33" s="50"/>
      <c r="L33" s="50"/>
    </row>
    <row r="34" spans="1:12" s="30" customFormat="1" ht="30" x14ac:dyDescent="0.2">
      <c r="A34" s="29"/>
      <c r="B34" s="31" t="s">
        <v>392</v>
      </c>
      <c r="C34" s="39"/>
      <c r="D34" s="80">
        <f>'DEM (Additionality)'!E34</f>
        <v>0</v>
      </c>
      <c r="E34" s="50"/>
      <c r="F34" s="51"/>
      <c r="G34" s="51"/>
      <c r="H34" s="50"/>
      <c r="I34" s="50"/>
      <c r="J34" s="50"/>
      <c r="K34" s="50"/>
      <c r="L34" s="50"/>
    </row>
    <row r="35" spans="1:12" s="30" customFormat="1" ht="15" x14ac:dyDescent="0.2">
      <c r="A35" s="29"/>
      <c r="B35" s="52" t="s">
        <v>94</v>
      </c>
      <c r="C35" s="39" t="s">
        <v>393</v>
      </c>
      <c r="D35" s="80" t="e">
        <f>'DEM (Additionality)'!#REF!</f>
        <v>#REF!</v>
      </c>
      <c r="E35" s="50"/>
      <c r="F35" s="51"/>
      <c r="G35" s="51"/>
      <c r="H35" s="50"/>
      <c r="I35" s="50"/>
      <c r="J35" s="50"/>
      <c r="K35" s="50"/>
      <c r="L35" s="50"/>
    </row>
    <row r="36" spans="1:12" s="30" customFormat="1" ht="15" x14ac:dyDescent="0.2">
      <c r="A36" s="29"/>
      <c r="B36" s="52" t="s">
        <v>394</v>
      </c>
      <c r="C36" s="39" t="s">
        <v>393</v>
      </c>
      <c r="D36" s="80" t="e">
        <f>'DEM (Additionality)'!#REF!</f>
        <v>#REF!</v>
      </c>
      <c r="E36" s="50"/>
      <c r="F36" s="51"/>
      <c r="G36" s="51"/>
      <c r="H36" s="50"/>
      <c r="I36" s="50"/>
      <c r="J36" s="50"/>
      <c r="K36" s="50"/>
      <c r="L36" s="50"/>
    </row>
    <row r="37" spans="1:12" s="30" customFormat="1" ht="15" x14ac:dyDescent="0.2">
      <c r="A37" s="29"/>
      <c r="B37" s="52" t="s">
        <v>395</v>
      </c>
      <c r="C37" s="39" t="s">
        <v>393</v>
      </c>
      <c r="D37" s="80" t="e">
        <f>'DEM (Additionality)'!#REF!</f>
        <v>#REF!</v>
      </c>
      <c r="E37" s="50"/>
      <c r="F37" s="51"/>
      <c r="G37" s="51"/>
      <c r="H37" s="50"/>
      <c r="I37" s="50"/>
      <c r="J37" s="50"/>
      <c r="K37" s="50"/>
      <c r="L37" s="50"/>
    </row>
    <row r="38" spans="1:12" s="30" customFormat="1" ht="45" x14ac:dyDescent="0.2">
      <c r="A38" s="29"/>
      <c r="B38" s="31" t="s">
        <v>35</v>
      </c>
      <c r="C38" s="39" t="s">
        <v>396</v>
      </c>
      <c r="D38" s="80">
        <f>'DEM (Additionality)'!E35</f>
        <v>0</v>
      </c>
      <c r="E38" s="50"/>
      <c r="F38" s="51"/>
      <c r="G38" s="51"/>
      <c r="H38" s="50"/>
      <c r="I38" s="50"/>
      <c r="J38" s="50"/>
      <c r="K38" s="50"/>
      <c r="L38" s="50"/>
    </row>
    <row r="39" spans="1:12" s="30" customFormat="1" ht="109.5" customHeight="1" thickBot="1" x14ac:dyDescent="0.25">
      <c r="A39" s="29"/>
      <c r="B39" s="53" t="s">
        <v>397</v>
      </c>
      <c r="C39" s="54" t="s">
        <v>398</v>
      </c>
      <c r="D39" s="81" t="e">
        <f>'DEM (Additionality)'!#REF!</f>
        <v>#REF!</v>
      </c>
      <c r="E39" s="50"/>
      <c r="F39" s="51"/>
      <c r="G39" s="51"/>
      <c r="H39" s="50"/>
      <c r="I39" s="50"/>
      <c r="J39" s="50"/>
      <c r="K39" s="50">
        <f>3*0.2</f>
        <v>0.60000000000000009</v>
      </c>
      <c r="L39" s="50"/>
    </row>
    <row r="40" spans="1:12" s="29" customFormat="1" ht="15" x14ac:dyDescent="0.2">
      <c r="B40" s="33"/>
      <c r="D40" s="34"/>
      <c r="E40" s="50"/>
      <c r="F40" s="51"/>
      <c r="G40" s="51"/>
      <c r="H40" s="51"/>
      <c r="I40" s="51"/>
      <c r="J40" s="51"/>
      <c r="K40" s="51">
        <f>3*0.25</f>
        <v>0.75</v>
      </c>
      <c r="L40" s="51"/>
    </row>
    <row r="41" spans="1:12" x14ac:dyDescent="0.2">
      <c r="K41" s="45">
        <f>3*0.15</f>
        <v>0.44999999999999996</v>
      </c>
    </row>
    <row r="43" spans="1:12" x14ac:dyDescent="0.2">
      <c r="K43" s="45">
        <f>SUM(K39:K42)</f>
        <v>1.8</v>
      </c>
    </row>
    <row r="45" spans="1:12" x14ac:dyDescent="0.2">
      <c r="K45" s="45">
        <f>1*0.25</f>
        <v>0.25</v>
      </c>
    </row>
    <row r="46" spans="1:12" x14ac:dyDescent="0.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56" t="s">
        <v>399</v>
      </c>
      <c r="B2" s="56" t="s">
        <v>400</v>
      </c>
      <c r="C2" s="56" t="s">
        <v>401</v>
      </c>
    </row>
    <row r="3" spans="1:3" x14ac:dyDescent="0.2">
      <c r="A3" s="56" t="s">
        <v>402</v>
      </c>
      <c r="B3" s="56" t="s">
        <v>403</v>
      </c>
      <c r="C3" s="56" t="s">
        <v>404</v>
      </c>
    </row>
    <row r="4" spans="1:3" x14ac:dyDescent="0.2">
      <c r="B4" s="56" t="s">
        <v>405</v>
      </c>
      <c r="C4" s="56" t="s">
        <v>406</v>
      </c>
    </row>
    <row r="5" spans="1:3" x14ac:dyDescent="0.2">
      <c r="B5" s="56"/>
      <c r="C5" s="56" t="s">
        <v>407</v>
      </c>
    </row>
    <row r="6" spans="1:3" x14ac:dyDescent="0.2">
      <c r="B6" s="56"/>
    </row>
    <row r="7" spans="1:3" x14ac:dyDescent="0.2">
      <c r="B7" s="56"/>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ACF722E9F6B0B149B0CD8BE2560A6672" PreviousValue="false"/>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60</Value>
      <Value>4</Value>
      <Value>3</Value>
      <Value>1</Value>
      <Value>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Related_x0020_SisCor_x0020_Number xmlns="cdc7663a-08f0-4737-9e8c-148ce897a09c" xsi:nil="true"/>
    <_dlc_DocId xmlns="cdc7663a-08f0-4737-9e8c-148ce897a09c">EZSHARE-30346992-4</_dlc_DocId>
    <_dlc_DocIdUrl xmlns="cdc7663a-08f0-4737-9e8c-148ce897a09c">
      <Url>https://idbg.sharepoint.com/teams/EZ-AR-LON/AR-L1295/_layouts/15/DocIdRedir.aspx?ID=EZSHARE-30346992-4</Url>
      <Description>EZSHARE-30346992-4</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0f151751-6416-4989-96c6-78ae1be43d3a</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AR-L1295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TRANSPORT</TermName>
          <TermId xmlns="http://schemas.microsoft.com/office/infopath/2007/PartnerControls">5a25d1a8-4baf-41a8-9e3b-e167accda6ea</TermId>
        </TermInfo>
      </Terms>
    </nddeef1749674d76abdbe4b239a70bc6>
    <Record_x0020_Number xmlns="cdc7663a-08f0-4737-9e8c-148ce897a09c">R0002225911</Record_x0020_Numb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F6097528E22F7E49ABF0208AF8B82C04" ma:contentTypeVersion="2635" ma:contentTypeDescription="The base project type from which other project content types inherit their information." ma:contentTypeScope="" ma:versionID="e05fa7211566f71850f7d627747c3f89">
  <xsd:schema xmlns:xsd="http://www.w3.org/2001/XMLSchema" xmlns:xs="http://www.w3.org/2001/XMLSchema" xmlns:p="http://schemas.microsoft.com/office/2006/metadata/properties" xmlns:ns2="cdc7663a-08f0-4737-9e8c-148ce897a09c" targetNamespace="http://schemas.microsoft.com/office/2006/metadata/properties" ma:root="true" ma:fieldsID="dcb853a896d92425391495f04750fb6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AR-L129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F6097528E22F7E49ABF0208AF8B82C04" ma:contentTypeVersion="581" ma:contentTypeDescription="The base project type from which other project content types inherit their information." ma:contentTypeScope="" ma:versionID="48d45a1467ecc09c69775762ba14f9cf">
  <xsd:schema xmlns:xsd="http://www.w3.org/2001/XMLSchema" xmlns:xs="http://www.w3.org/2001/XMLSchema" xmlns:p="http://schemas.microsoft.com/office/2006/metadata/properties" xmlns:ns2="cdc7663a-08f0-4737-9e8c-148ce897a09c" targetNamespace="http://schemas.microsoft.com/office/2006/metadata/properties" ma:root="true" ma:fieldsID="5756a576a6a786a01257825c7ca908d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AR-L129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F6513837-449D-45C1-AE2A-6D7BB4C21739}">
  <ds:schemaRefs>
    <ds:schemaRef ds:uri="Microsoft.SharePoint.Taxonomy.ContentTypeSync"/>
  </ds:schemaRefs>
</ds:datastoreItem>
</file>

<file path=customXml/itemProps2.xml><?xml version="1.0" encoding="utf-8"?>
<ds:datastoreItem xmlns:ds="http://schemas.openxmlformats.org/officeDocument/2006/customXml" ds:itemID="{8688207F-6955-481B-BA9D-A509C06E6BA1}">
  <ds:schemaRefs>
    <ds:schemaRef ds:uri="http://schemas.microsoft.com/office/infopath/2007/PartnerControls"/>
    <ds:schemaRef ds:uri="http://purl.org/dc/dcmitype/"/>
    <ds:schemaRef ds:uri="cdc7663a-08f0-4737-9e8c-148ce897a09c"/>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4.xml><?xml version="1.0" encoding="utf-8"?>
<ds:datastoreItem xmlns:ds="http://schemas.openxmlformats.org/officeDocument/2006/customXml" ds:itemID="{9918C328-037F-47B3-8525-ACA519C91F2C}"/>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EB217230-0D38-4274-A8E0-E128DE51C8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2DFBD1F3-18E0-44AB-B810-AB7824CD09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MCOCHA@IADB.ORG</dc:creator>
  <cp:keywords/>
  <dc:description/>
  <cp:lastModifiedBy>Chacon, Carolina</cp:lastModifiedBy>
  <cp:revision/>
  <cp:lastPrinted>2018-08-31T17:01:30Z</cp:lastPrinted>
  <dcterms:created xsi:type="dcterms:W3CDTF">2009-01-21T14:19:32Z</dcterms:created>
  <dcterms:modified xsi:type="dcterms:W3CDTF">2018-08-31T17:04:38Z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0x010100ACF722E9F6B0B149B0CD8BE2560A667200F6097528E22F7E49ABF0208AF8B82C04</vt:lpwstr>
  </property>
  <property fmtid="{D5CDD505-2E9C-101B-9397-08002B2CF9AE}" pid="6" name="TaxKeywordTaxHTField">
    <vt:lpwstr/>
  </property>
  <property fmtid="{D5CDD505-2E9C-101B-9397-08002B2CF9AE}" pid="7" name="Country">
    <vt:lpwstr>5;#Argentina|eb1b705c-195f-4c3b-9661-b201f2fee3c5</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fad6ae42-2a0f-4950-ad72-fdf8c7c1b2d7</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60;#TRANSPORT|0f151751-6416-4989-96c6-78ae1be43d3a</vt:lpwstr>
  </property>
  <property fmtid="{D5CDD505-2E9C-101B-9397-08002B2CF9AE}" pid="30" name="Fund IDB">
    <vt:lpwstr>4;#ORC|c028a4b2-ad8b-4cf4-9cac-a2ae6a778e23</vt:lpwstr>
  </property>
  <property fmtid="{D5CDD505-2E9C-101B-9397-08002B2CF9AE}" pid="31" name="Sector IDB">
    <vt:lpwstr>3;#TRANSPORT|5a25d1a8-4baf-41a8-9e3b-e167accda6ea</vt:lpwstr>
  </property>
  <property fmtid="{D5CDD505-2E9C-101B-9397-08002B2CF9AE}" pid="32" name="Function Operations IDB">
    <vt:lpwstr>1;#Project Preparation, Planning and Design|29ca0c72-1fc4-435f-a09c-28585cb5eac9</vt:lpwstr>
  </property>
</Properties>
</file>