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3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1520" windowHeight="5595" tabRatio="761"/>
  </bookViews>
  <sheets>
    <sheet name="Por productos" sheetId="5" r:id="rId1"/>
    <sheet name="Componente 1" sheetId="1" r:id="rId2"/>
    <sheet name="Componente 2" sheetId="11" r:id="rId3"/>
    <sheet name="Componente 3" sheetId="14" r:id="rId4"/>
    <sheet name="Componente 4" sheetId="13" r:id="rId5"/>
    <sheet name="1P4. Fondo de conocimiento" sheetId="6" r:id="rId6"/>
    <sheet name="2P2. Repositorio" sheetId="15" r:id="rId7"/>
    <sheet name="3P3. Sistema de causas" sheetId="2" r:id="rId8"/>
    <sheet name="3P4. Sistema de expedientes" sheetId="17" r:id="rId9"/>
    <sheet name="UE y M&amp;Eval" sheetId="7" r:id="rId10"/>
    <sheet name="Hoja8" sheetId="8" r:id="rId11"/>
    <sheet name="Hoja9" sheetId="9" r:id="rId12"/>
    <sheet name="Hoja10" sheetId="10" r:id="rId13"/>
  </sheets>
  <calcPr calcId="145621"/>
</workbook>
</file>

<file path=xl/calcChain.xml><?xml version="1.0" encoding="utf-8"?>
<calcChain xmlns="http://schemas.openxmlformats.org/spreadsheetml/2006/main">
  <c r="D34" i="5" l="1"/>
  <c r="E34" i="5" s="1"/>
  <c r="D35" i="5"/>
  <c r="C18" i="7"/>
  <c r="F16" i="7"/>
  <c r="N28" i="13" l="1"/>
  <c r="R25" i="13"/>
  <c r="L25" i="13"/>
  <c r="I25" i="13"/>
  <c r="R16" i="13"/>
  <c r="L16" i="13"/>
  <c r="I16" i="13"/>
  <c r="O11" i="13"/>
  <c r="R5" i="13"/>
  <c r="I5" i="13"/>
  <c r="P5" i="13" s="1"/>
  <c r="O47" i="14"/>
  <c r="O35" i="14"/>
  <c r="N25" i="14"/>
  <c r="R52" i="14"/>
  <c r="I52" i="14"/>
  <c r="P52" i="14" s="1"/>
  <c r="R30" i="14"/>
  <c r="L30" i="14"/>
  <c r="I30" i="14"/>
  <c r="P30" i="14" s="1"/>
  <c r="O11" i="14"/>
  <c r="R5" i="14"/>
  <c r="L5" i="14"/>
  <c r="I5" i="14"/>
  <c r="O33" i="11"/>
  <c r="M33" i="11"/>
  <c r="R27" i="11"/>
  <c r="I27" i="11"/>
  <c r="P27" i="11" s="1"/>
  <c r="C27" i="11"/>
  <c r="O22" i="11"/>
  <c r="R14" i="11"/>
  <c r="L14" i="11"/>
  <c r="I14" i="11"/>
  <c r="C14" i="11"/>
  <c r="O9" i="11"/>
  <c r="R5" i="11"/>
  <c r="L5" i="11"/>
  <c r="I5" i="11"/>
  <c r="R44" i="1"/>
  <c r="I44" i="1"/>
  <c r="P44" i="1" s="1"/>
  <c r="R33" i="1"/>
  <c r="I33" i="1"/>
  <c r="P33" i="1" s="1"/>
  <c r="S33" i="1" s="1"/>
  <c r="O28" i="1"/>
  <c r="R24" i="1"/>
  <c r="I24" i="1"/>
  <c r="P24" i="1" s="1"/>
  <c r="R14" i="1"/>
  <c r="I14" i="1"/>
  <c r="P14" i="1" s="1"/>
  <c r="I6" i="1"/>
  <c r="P6" i="1" s="1"/>
  <c r="R6" i="1"/>
  <c r="P25" i="13" l="1"/>
  <c r="P16" i="13"/>
  <c r="S16" i="13" s="1"/>
  <c r="S25" i="13"/>
  <c r="Q16" i="13"/>
  <c r="S5" i="13"/>
  <c r="Q5" i="13"/>
  <c r="S52" i="14"/>
  <c r="Q52" i="14"/>
  <c r="S30" i="14"/>
  <c r="Q30" i="14"/>
  <c r="P5" i="14"/>
  <c r="Q5" i="14" s="1"/>
  <c r="P14" i="11"/>
  <c r="S27" i="11"/>
  <c r="Q27" i="11"/>
  <c r="P5" i="11"/>
  <c r="S14" i="11"/>
  <c r="Q5" i="11"/>
  <c r="S44" i="1"/>
  <c r="Q44" i="1"/>
  <c r="Q33" i="1"/>
  <c r="S24" i="1"/>
  <c r="Q24" i="1"/>
  <c r="S14" i="1"/>
  <c r="Q14" i="1"/>
  <c r="S6" i="1"/>
  <c r="Q6" i="1"/>
  <c r="O38" i="1"/>
  <c r="O46" i="1"/>
  <c r="O47" i="1" s="1"/>
  <c r="Q25" i="13" l="1"/>
  <c r="S5" i="14"/>
  <c r="Q14" i="11"/>
  <c r="S5" i="11"/>
  <c r="O24" i="14"/>
  <c r="O25" i="14" s="1"/>
  <c r="F4" i="2"/>
  <c r="I21" i="14" s="1"/>
  <c r="P21" i="14" s="1"/>
  <c r="S21" i="14" s="1"/>
  <c r="P23" i="14"/>
  <c r="S23" i="14" s="1"/>
  <c r="R21" i="14"/>
  <c r="R22" i="14"/>
  <c r="R23" i="14"/>
  <c r="O55" i="14"/>
  <c r="O56" i="14" s="1"/>
  <c r="B18" i="5"/>
  <c r="B17" i="5"/>
  <c r="P8" i="11"/>
  <c r="R8" i="11"/>
  <c r="E3" i="15"/>
  <c r="F3" i="15" s="1"/>
  <c r="N31" i="11"/>
  <c r="N33" i="11" s="1"/>
  <c r="Q8" i="11" l="1"/>
  <c r="S8" i="11"/>
  <c r="Q21" i="14"/>
  <c r="Q23" i="14"/>
  <c r="F14" i="7"/>
  <c r="I16" i="11" l="1"/>
  <c r="I15" i="11"/>
  <c r="I22" i="11" l="1"/>
  <c r="R19" i="11"/>
  <c r="J19" i="13" l="1"/>
  <c r="K19" i="13"/>
  <c r="L19" i="13" s="1"/>
  <c r="P19" i="13" s="1"/>
  <c r="E7" i="7"/>
  <c r="H44" i="5"/>
  <c r="G7" i="7" s="1"/>
  <c r="B8" i="7"/>
  <c r="O19" i="13"/>
  <c r="O20" i="13" s="1"/>
  <c r="E2" i="2"/>
  <c r="E35" i="5"/>
  <c r="J35" i="5" s="1"/>
  <c r="I35" i="5"/>
  <c r="N19" i="11"/>
  <c r="N22" i="11" s="1"/>
  <c r="D59" i="1"/>
  <c r="R38" i="1"/>
  <c r="B24" i="5"/>
  <c r="B25" i="5"/>
  <c r="B26" i="5"/>
  <c r="A26" i="5"/>
  <c r="A25" i="5"/>
  <c r="A24" i="5"/>
  <c r="B23" i="5"/>
  <c r="B3" i="5"/>
  <c r="B4" i="5"/>
  <c r="B5" i="5"/>
  <c r="B6" i="5"/>
  <c r="B19" i="5"/>
  <c r="B20" i="5"/>
  <c r="B16" i="5"/>
  <c r="A20" i="5"/>
  <c r="A19" i="5"/>
  <c r="A18" i="5"/>
  <c r="A17" i="5"/>
  <c r="B15" i="5"/>
  <c r="A16" i="5"/>
  <c r="B10" i="5"/>
  <c r="B11" i="5"/>
  <c r="B12" i="5"/>
  <c r="B9" i="5"/>
  <c r="B1" i="5"/>
  <c r="A12" i="5"/>
  <c r="A11" i="5"/>
  <c r="A10" i="5"/>
  <c r="A6" i="5"/>
  <c r="A5" i="5"/>
  <c r="A4" i="5"/>
  <c r="A3" i="5"/>
  <c r="B2" i="5"/>
  <c r="A2" i="5"/>
  <c r="R27" i="13"/>
  <c r="R26" i="13"/>
  <c r="R19" i="13"/>
  <c r="R18" i="13"/>
  <c r="R17" i="13"/>
  <c r="R10" i="13"/>
  <c r="R9" i="13"/>
  <c r="R8" i="13"/>
  <c r="R7" i="13"/>
  <c r="R6" i="13"/>
  <c r="R55" i="14"/>
  <c r="R54" i="14"/>
  <c r="R53" i="14"/>
  <c r="R46" i="14"/>
  <c r="R45" i="14"/>
  <c r="R44" i="14"/>
  <c r="R43" i="14"/>
  <c r="R42" i="14"/>
  <c r="R41" i="14"/>
  <c r="R40" i="14"/>
  <c r="R24" i="14"/>
  <c r="R20" i="14"/>
  <c r="R19" i="14"/>
  <c r="R18" i="14"/>
  <c r="R17" i="14"/>
  <c r="R16" i="14"/>
  <c r="R34" i="14"/>
  <c r="R33" i="14"/>
  <c r="R32" i="14"/>
  <c r="R31" i="14"/>
  <c r="R7" i="14"/>
  <c r="R8" i="14"/>
  <c r="R9" i="14"/>
  <c r="R10" i="14"/>
  <c r="R6" i="14"/>
  <c r="L36" i="11"/>
  <c r="R29" i="11"/>
  <c r="R30" i="11"/>
  <c r="R31" i="11"/>
  <c r="R28" i="11"/>
  <c r="R16" i="11"/>
  <c r="R17" i="11"/>
  <c r="R18" i="11"/>
  <c r="R20" i="11"/>
  <c r="R21" i="11"/>
  <c r="R15" i="11"/>
  <c r="R7" i="11"/>
  <c r="R6" i="11"/>
  <c r="R46" i="1"/>
  <c r="R45" i="1"/>
  <c r="R36" i="1"/>
  <c r="R35" i="1"/>
  <c r="R37" i="1"/>
  <c r="R34" i="1"/>
  <c r="R27" i="1"/>
  <c r="R25" i="1"/>
  <c r="R16" i="1"/>
  <c r="R17" i="1"/>
  <c r="R18" i="1"/>
  <c r="R15" i="1"/>
  <c r="R8" i="1"/>
  <c r="R7" i="1"/>
  <c r="C3" i="7"/>
  <c r="C4" i="7" s="1"/>
  <c r="I7" i="17"/>
  <c r="H7" i="17"/>
  <c r="F5" i="17"/>
  <c r="M45" i="14" s="1"/>
  <c r="M47" i="14" s="1"/>
  <c r="E2" i="17"/>
  <c r="F2" i="17" s="1"/>
  <c r="F2" i="2"/>
  <c r="F15" i="6"/>
  <c r="H15" i="6" s="1"/>
  <c r="P38" i="1" s="1"/>
  <c r="G7" i="6"/>
  <c r="G20" i="6"/>
  <c r="G23" i="6" s="1"/>
  <c r="I56" i="1"/>
  <c r="E4" i="7"/>
  <c r="H27" i="13"/>
  <c r="I27" i="13" s="1"/>
  <c r="P27" i="13" s="1"/>
  <c r="H18" i="13"/>
  <c r="I18" i="13" s="1"/>
  <c r="H7" i="13"/>
  <c r="H8" i="13" s="1"/>
  <c r="H54" i="14"/>
  <c r="I54" i="14" s="1"/>
  <c r="P54" i="14" s="1"/>
  <c r="H32" i="14"/>
  <c r="H33" i="14" s="1"/>
  <c r="I33" i="14" s="1"/>
  <c r="H7" i="14"/>
  <c r="H8" i="14" s="1"/>
  <c r="H29" i="11"/>
  <c r="H30" i="11" s="1"/>
  <c r="H7" i="11"/>
  <c r="H26" i="1"/>
  <c r="I26" i="1" s="1"/>
  <c r="H8" i="1"/>
  <c r="I8" i="1" s="1"/>
  <c r="O17" i="1"/>
  <c r="E2" i="7"/>
  <c r="F13" i="7"/>
  <c r="F15" i="7"/>
  <c r="G16" i="7" s="1"/>
  <c r="F12" i="7"/>
  <c r="I17" i="13"/>
  <c r="P17" i="13" s="1"/>
  <c r="I6" i="13"/>
  <c r="I7" i="13"/>
  <c r="P7" i="13" s="1"/>
  <c r="S7" i="13" s="1"/>
  <c r="P55" i="14"/>
  <c r="L53" i="14"/>
  <c r="L56" i="14" s="1"/>
  <c r="I53" i="14"/>
  <c r="I56" i="14" s="1"/>
  <c r="P46" i="14"/>
  <c r="S46" i="14" s="1"/>
  <c r="L45" i="14"/>
  <c r="I45" i="14"/>
  <c r="L44" i="14"/>
  <c r="L43" i="14"/>
  <c r="L42" i="14"/>
  <c r="L41" i="14"/>
  <c r="I40" i="14"/>
  <c r="P40" i="14" s="1"/>
  <c r="M20" i="11"/>
  <c r="K35" i="5"/>
  <c r="I16" i="14"/>
  <c r="P16" i="14" s="1"/>
  <c r="P34" i="14"/>
  <c r="P10" i="14"/>
  <c r="I6" i="14"/>
  <c r="L6" i="14"/>
  <c r="L7" i="14"/>
  <c r="L8" i="14"/>
  <c r="L9" i="14"/>
  <c r="I31" i="14"/>
  <c r="L31" i="14"/>
  <c r="L32" i="14"/>
  <c r="L33" i="14"/>
  <c r="L17" i="14"/>
  <c r="L18" i="14"/>
  <c r="L19" i="14"/>
  <c r="L20" i="14"/>
  <c r="I24" i="14"/>
  <c r="J24" i="14"/>
  <c r="K24" i="14"/>
  <c r="P16" i="11"/>
  <c r="C16" i="11"/>
  <c r="D16" i="11" s="1"/>
  <c r="O28" i="13"/>
  <c r="L27" i="13"/>
  <c r="L26" i="13"/>
  <c r="L18" i="13"/>
  <c r="L17" i="13"/>
  <c r="L8" i="13"/>
  <c r="L7" i="13"/>
  <c r="L6" i="13"/>
  <c r="P6" i="13" s="1"/>
  <c r="F8" i="2"/>
  <c r="I7" i="11"/>
  <c r="C7" i="11"/>
  <c r="D7" i="11" s="1"/>
  <c r="I6" i="11"/>
  <c r="L45" i="1"/>
  <c r="L47" i="1" s="1"/>
  <c r="I45" i="1"/>
  <c r="I47" i="1" s="1"/>
  <c r="C29" i="6"/>
  <c r="F12" i="6"/>
  <c r="F5" i="6"/>
  <c r="H5" i="6"/>
  <c r="F4" i="6"/>
  <c r="H4" i="6" s="1"/>
  <c r="I34" i="1"/>
  <c r="I39" i="1" s="1"/>
  <c r="K17" i="1"/>
  <c r="J17" i="1"/>
  <c r="H15" i="1"/>
  <c r="H16" i="1" s="1"/>
  <c r="C8" i="1"/>
  <c r="D8" i="1" s="1"/>
  <c r="D54" i="1"/>
  <c r="O18" i="1"/>
  <c r="P18" i="1" s="1"/>
  <c r="I26" i="13"/>
  <c r="P46" i="1"/>
  <c r="Q46" i="1" s="1"/>
  <c r="P26" i="13"/>
  <c r="L7" i="11"/>
  <c r="I7" i="1"/>
  <c r="I9" i="1" s="1"/>
  <c r="L26" i="1"/>
  <c r="L25" i="1"/>
  <c r="I25" i="1"/>
  <c r="P27" i="1"/>
  <c r="S27" i="1" s="1"/>
  <c r="L34" i="1"/>
  <c r="L39" i="1" s="1"/>
  <c r="I28" i="11"/>
  <c r="L15" i="1"/>
  <c r="L7" i="1"/>
  <c r="L8" i="1"/>
  <c r="L21" i="11"/>
  <c r="P21" i="11" s="1"/>
  <c r="Q21" i="11" s="1"/>
  <c r="L17" i="11"/>
  <c r="L15" i="11"/>
  <c r="L6" i="11"/>
  <c r="I41" i="14" l="1"/>
  <c r="I47" i="14" s="1"/>
  <c r="F7" i="17"/>
  <c r="P28" i="11"/>
  <c r="P7" i="11"/>
  <c r="F17" i="7"/>
  <c r="G14" i="7"/>
  <c r="O19" i="1"/>
  <c r="H4" i="2"/>
  <c r="I17" i="14"/>
  <c r="I25" i="14" s="1"/>
  <c r="L20" i="13"/>
  <c r="P28" i="13"/>
  <c r="I28" i="13"/>
  <c r="O35" i="1"/>
  <c r="P35" i="1" s="1"/>
  <c r="H12" i="6"/>
  <c r="I9" i="11"/>
  <c r="I35" i="14"/>
  <c r="L28" i="13"/>
  <c r="L30" i="13" s="1"/>
  <c r="I20" i="13"/>
  <c r="P20" i="13"/>
  <c r="P35" i="13" s="1"/>
  <c r="P18" i="13"/>
  <c r="S6" i="13"/>
  <c r="S19" i="13"/>
  <c r="Q19" i="13"/>
  <c r="Q6" i="13"/>
  <c r="I32" i="14"/>
  <c r="P20" i="11"/>
  <c r="Q20" i="11" s="1"/>
  <c r="M22" i="11"/>
  <c r="P6" i="11"/>
  <c r="P9" i="11" s="1"/>
  <c r="I28" i="1"/>
  <c r="L19" i="1"/>
  <c r="P8" i="1"/>
  <c r="S8" i="1" s="1"/>
  <c r="P26" i="1"/>
  <c r="T26" i="1" s="1"/>
  <c r="R26" i="1" s="1"/>
  <c r="L17" i="1"/>
  <c r="P17" i="1" s="1"/>
  <c r="S17" i="1" s="1"/>
  <c r="P7" i="1"/>
  <c r="P25" i="1"/>
  <c r="I15" i="1"/>
  <c r="Q7" i="13"/>
  <c r="L47" i="14"/>
  <c r="P33" i="14"/>
  <c r="Q33" i="14" s="1"/>
  <c r="I7" i="14"/>
  <c r="P7" i="14" s="1"/>
  <c r="Q7" i="14" s="1"/>
  <c r="P31" i="14"/>
  <c r="P41" i="14"/>
  <c r="I16" i="1"/>
  <c r="S46" i="1"/>
  <c r="P45" i="1"/>
  <c r="P47" i="1" s="1"/>
  <c r="L24" i="14"/>
  <c r="P24" i="14" s="1"/>
  <c r="P32" i="14"/>
  <c r="S32" i="14" s="1"/>
  <c r="P6" i="14"/>
  <c r="S6" i="14" s="1"/>
  <c r="Q44" i="14"/>
  <c r="S20" i="11"/>
  <c r="E7" i="15"/>
  <c r="H9" i="14"/>
  <c r="I8" i="14"/>
  <c r="P8" i="14" s="1"/>
  <c r="S8" i="14" s="1"/>
  <c r="P45" i="14"/>
  <c r="Q45" i="14" s="1"/>
  <c r="P53" i="14"/>
  <c r="Q53" i="14" s="1"/>
  <c r="Q56" i="14" s="1"/>
  <c r="Q28" i="11"/>
  <c r="S28" i="11"/>
  <c r="S21" i="11"/>
  <c r="I29" i="11"/>
  <c r="P29" i="11" s="1"/>
  <c r="P32" i="11"/>
  <c r="T32" i="11" s="1"/>
  <c r="R32" i="11" s="1"/>
  <c r="C33" i="5"/>
  <c r="I33" i="5" s="1"/>
  <c r="Q27" i="1"/>
  <c r="Q53" i="1"/>
  <c r="S26" i="13"/>
  <c r="Q26" i="13"/>
  <c r="S18" i="1"/>
  <c r="Q18" i="1"/>
  <c r="S18" i="13"/>
  <c r="Q18" i="13"/>
  <c r="S19" i="14"/>
  <c r="Q19" i="14"/>
  <c r="Q32" i="14"/>
  <c r="Q7" i="11"/>
  <c r="S7" i="11"/>
  <c r="S27" i="13"/>
  <c r="Q27" i="13"/>
  <c r="S17" i="13"/>
  <c r="Q17" i="13"/>
  <c r="H3" i="6"/>
  <c r="M22" i="14"/>
  <c r="M25" i="14" s="1"/>
  <c r="F10" i="2"/>
  <c r="H11" i="2" s="1"/>
  <c r="Q16" i="11"/>
  <c r="S16" i="11"/>
  <c r="S33" i="14"/>
  <c r="S16" i="14"/>
  <c r="Q16" i="14"/>
  <c r="H31" i="11"/>
  <c r="I30" i="11"/>
  <c r="P30" i="11" s="1"/>
  <c r="S54" i="14"/>
  <c r="Q54" i="14"/>
  <c r="H9" i="13"/>
  <c r="I8" i="13"/>
  <c r="P34" i="1"/>
  <c r="O36" i="11"/>
  <c r="P19" i="11"/>
  <c r="Q46" i="14"/>
  <c r="S55" i="14"/>
  <c r="Q55" i="14"/>
  <c r="H14" i="6"/>
  <c r="O37" i="1" s="1"/>
  <c r="P37" i="1" s="1"/>
  <c r="C6" i="7"/>
  <c r="E6" i="7" s="1"/>
  <c r="C5" i="7"/>
  <c r="E5" i="7" s="1"/>
  <c r="S31" i="14"/>
  <c r="S18" i="14"/>
  <c r="Q18" i="14"/>
  <c r="Q10" i="14"/>
  <c r="S10" i="14"/>
  <c r="S34" i="14"/>
  <c r="Q34" i="14"/>
  <c r="S40" i="14"/>
  <c r="Q40" i="14"/>
  <c r="S38" i="1"/>
  <c r="Q38" i="1"/>
  <c r="O58" i="14"/>
  <c r="E3" i="7"/>
  <c r="Q35" i="1" l="1"/>
  <c r="S35" i="1"/>
  <c r="E8" i="7"/>
  <c r="G8" i="7" s="1"/>
  <c r="Q28" i="13"/>
  <c r="S53" i="14"/>
  <c r="S56" i="14" s="1"/>
  <c r="P56" i="14"/>
  <c r="Q6" i="11"/>
  <c r="Q9" i="11" s="1"/>
  <c r="S20" i="13"/>
  <c r="P35" i="14"/>
  <c r="L25" i="14"/>
  <c r="S41" i="14"/>
  <c r="P47" i="14"/>
  <c r="Q20" i="13"/>
  <c r="C25" i="5" s="1"/>
  <c r="D25" i="5"/>
  <c r="S35" i="14"/>
  <c r="D18" i="5" s="1"/>
  <c r="Q31" i="14"/>
  <c r="Q35" i="14" s="1"/>
  <c r="Q6" i="14"/>
  <c r="Q42" i="14"/>
  <c r="Q47" i="14" s="1"/>
  <c r="C19" i="5" s="1"/>
  <c r="L58" i="14"/>
  <c r="Q8" i="14"/>
  <c r="S7" i="14"/>
  <c r="S6" i="11"/>
  <c r="S9" i="11" s="1"/>
  <c r="D10" i="5" s="1"/>
  <c r="C10" i="5"/>
  <c r="P15" i="1"/>
  <c r="I19" i="1"/>
  <c r="Q7" i="1"/>
  <c r="P9" i="1"/>
  <c r="Q45" i="1"/>
  <c r="S7" i="1"/>
  <c r="S9" i="1" s="1"/>
  <c r="D2" i="5" s="1"/>
  <c r="S25" i="1"/>
  <c r="S28" i="1" s="1"/>
  <c r="D4" i="5" s="1"/>
  <c r="P28" i="1"/>
  <c r="S45" i="1"/>
  <c r="Q17" i="1"/>
  <c r="Q8" i="1"/>
  <c r="Q25" i="1"/>
  <c r="Q28" i="1" s="1"/>
  <c r="L50" i="1"/>
  <c r="S15" i="1"/>
  <c r="I9" i="14"/>
  <c r="P9" i="14" s="1"/>
  <c r="P11" i="14" s="1"/>
  <c r="P16" i="1"/>
  <c r="I50" i="1"/>
  <c r="C4" i="5"/>
  <c r="Q43" i="14"/>
  <c r="S45" i="14"/>
  <c r="P17" i="14"/>
  <c r="C18" i="5"/>
  <c r="S29" i="11"/>
  <c r="Q29" i="11"/>
  <c r="E33" i="5"/>
  <c r="J33" i="5" s="1"/>
  <c r="H18" i="7"/>
  <c r="H21" i="7" s="1"/>
  <c r="S19" i="11"/>
  <c r="Q19" i="11"/>
  <c r="S34" i="1"/>
  <c r="Q34" i="1"/>
  <c r="P8" i="13"/>
  <c r="Q30" i="11"/>
  <c r="S30" i="11"/>
  <c r="D20" i="5"/>
  <c r="P22" i="14"/>
  <c r="H20" i="6"/>
  <c r="J21" i="6" s="1"/>
  <c r="S17" i="11"/>
  <c r="Q17" i="11"/>
  <c r="S24" i="14"/>
  <c r="Q24" i="14"/>
  <c r="S28" i="13"/>
  <c r="S37" i="1"/>
  <c r="Q37" i="1"/>
  <c r="H10" i="13"/>
  <c r="I9" i="13"/>
  <c r="I31" i="11"/>
  <c r="P31" i="11" s="1"/>
  <c r="P33" i="11" s="1"/>
  <c r="S18" i="11"/>
  <c r="Q18" i="11"/>
  <c r="C20" i="5"/>
  <c r="J4" i="6"/>
  <c r="O36" i="1"/>
  <c r="O39" i="1" s="1"/>
  <c r="E4" i="5" l="1"/>
  <c r="E25" i="5"/>
  <c r="I33" i="11"/>
  <c r="I36" i="11" s="1"/>
  <c r="D32" i="5"/>
  <c r="I32" i="5" s="1"/>
  <c r="S47" i="14"/>
  <c r="D19" i="5" s="1"/>
  <c r="S47" i="1"/>
  <c r="D6" i="5" s="1"/>
  <c r="Q47" i="1"/>
  <c r="C6" i="5" s="1"/>
  <c r="Q17" i="14"/>
  <c r="P25" i="14"/>
  <c r="K33" i="5"/>
  <c r="I25" i="5"/>
  <c r="J25" i="5" s="1"/>
  <c r="P9" i="13"/>
  <c r="I11" i="14"/>
  <c r="I58" i="14" s="1"/>
  <c r="Q9" i="1"/>
  <c r="C2" i="5" s="1"/>
  <c r="I2" i="5" s="1"/>
  <c r="P19" i="1"/>
  <c r="Q15" i="1"/>
  <c r="I4" i="5"/>
  <c r="J4" i="5" s="1"/>
  <c r="S22" i="14"/>
  <c r="Q22" i="14"/>
  <c r="S17" i="14"/>
  <c r="Q16" i="1"/>
  <c r="S16" i="1"/>
  <c r="P15" i="11"/>
  <c r="P22" i="11" s="1"/>
  <c r="C26" i="5"/>
  <c r="S9" i="13"/>
  <c r="Q9" i="13"/>
  <c r="I20" i="5"/>
  <c r="E20" i="5"/>
  <c r="I10" i="13"/>
  <c r="P10" i="13" s="1"/>
  <c r="P11" i="13" s="1"/>
  <c r="D26" i="5"/>
  <c r="Q9" i="14"/>
  <c r="Q11" i="14" s="1"/>
  <c r="S9" i="14"/>
  <c r="S11" i="14" s="1"/>
  <c r="E10" i="5"/>
  <c r="I10" i="5"/>
  <c r="S20" i="14"/>
  <c r="Q20" i="14"/>
  <c r="E32" i="5"/>
  <c r="O50" i="1"/>
  <c r="P36" i="1"/>
  <c r="P39" i="1" s="1"/>
  <c r="S31" i="11"/>
  <c r="S33" i="11" s="1"/>
  <c r="Q31" i="11"/>
  <c r="Q33" i="11" s="1"/>
  <c r="S64" i="14"/>
  <c r="Q8" i="13"/>
  <c r="S8" i="13"/>
  <c r="I19" i="5"/>
  <c r="E19" i="5"/>
  <c r="I6" i="5" l="1"/>
  <c r="E6" i="5"/>
  <c r="E2" i="5"/>
  <c r="Q11" i="13"/>
  <c r="I11" i="13"/>
  <c r="I30" i="13" s="1"/>
  <c r="Q25" i="14"/>
  <c r="S25" i="14"/>
  <c r="D17" i="5" s="1"/>
  <c r="D3" i="5"/>
  <c r="S19" i="1"/>
  <c r="C3" i="5"/>
  <c r="Q19" i="1"/>
  <c r="J2" i="5"/>
  <c r="C12" i="5"/>
  <c r="C17" i="5"/>
  <c r="J32" i="5"/>
  <c r="J19" i="5"/>
  <c r="Q15" i="11"/>
  <c r="Q22" i="11" s="1"/>
  <c r="S15" i="11"/>
  <c r="J10" i="5"/>
  <c r="D12" i="5"/>
  <c r="E26" i="5"/>
  <c r="I26" i="5"/>
  <c r="P36" i="11"/>
  <c r="P42" i="11" s="1"/>
  <c r="P39" i="11"/>
  <c r="K13" i="5"/>
  <c r="P58" i="14"/>
  <c r="K21" i="5"/>
  <c r="C16" i="5"/>
  <c r="S10" i="13"/>
  <c r="S11" i="13" s="1"/>
  <c r="Q10" i="13"/>
  <c r="J6" i="5"/>
  <c r="S36" i="1"/>
  <c r="S39" i="1" s="1"/>
  <c r="Q36" i="1"/>
  <c r="Q39" i="1" s="1"/>
  <c r="P50" i="1"/>
  <c r="K7" i="5" s="1"/>
  <c r="C49" i="5"/>
  <c r="H45" i="5"/>
  <c r="K32" i="5"/>
  <c r="D16" i="5"/>
  <c r="J20" i="5"/>
  <c r="I3" i="5" l="1"/>
  <c r="S22" i="11"/>
  <c r="D11" i="5" s="1"/>
  <c r="D13" i="5" s="1"/>
  <c r="E3" i="5"/>
  <c r="I17" i="5"/>
  <c r="E17" i="5"/>
  <c r="Q58" i="14"/>
  <c r="D21" i="5"/>
  <c r="S58" i="14"/>
  <c r="Q61" i="14"/>
  <c r="U15" i="11"/>
  <c r="V15" i="11" s="1"/>
  <c r="W15" i="11" s="1"/>
  <c r="S36" i="11"/>
  <c r="J26" i="5"/>
  <c r="C24" i="5"/>
  <c r="Q30" i="13"/>
  <c r="D24" i="5"/>
  <c r="D27" i="5" s="1"/>
  <c r="S30" i="13"/>
  <c r="D5" i="5"/>
  <c r="D7" i="5" s="1"/>
  <c r="S50" i="1"/>
  <c r="K27" i="5"/>
  <c r="K29" i="5" s="1"/>
  <c r="P30" i="13"/>
  <c r="I18" i="5"/>
  <c r="E18" i="5"/>
  <c r="E12" i="5"/>
  <c r="I12" i="5"/>
  <c r="C5" i="5"/>
  <c r="T40" i="1"/>
  <c r="Q50" i="1"/>
  <c r="I16" i="5"/>
  <c r="E16" i="5"/>
  <c r="C21" i="5"/>
  <c r="J3" i="5" l="1"/>
  <c r="D37" i="5"/>
  <c r="S53" i="1"/>
  <c r="J17" i="5"/>
  <c r="Q62" i="14"/>
  <c r="I21" i="5"/>
  <c r="J16" i="5"/>
  <c r="J18" i="5"/>
  <c r="D29" i="5"/>
  <c r="C11" i="5"/>
  <c r="Q36" i="11"/>
  <c r="Q40" i="11" s="1"/>
  <c r="J12" i="5"/>
  <c r="E21" i="5"/>
  <c r="F16" i="5" s="1"/>
  <c r="I5" i="5"/>
  <c r="E5" i="5"/>
  <c r="C7" i="5"/>
  <c r="D43" i="5"/>
  <c r="E24" i="5"/>
  <c r="I24" i="5"/>
  <c r="C27" i="5"/>
  <c r="F18" i="5" l="1"/>
  <c r="J21" i="5"/>
  <c r="J5" i="5"/>
  <c r="E11" i="5"/>
  <c r="E13" i="5" s="1"/>
  <c r="F12" i="5" s="1"/>
  <c r="I11" i="5"/>
  <c r="C13" i="5"/>
  <c r="I13" i="5" s="1"/>
  <c r="K43" i="5"/>
  <c r="D45" i="5"/>
  <c r="J24" i="5"/>
  <c r="E7" i="5"/>
  <c r="I27" i="5"/>
  <c r="E27" i="5"/>
  <c r="F24" i="5" s="1"/>
  <c r="I7" i="5"/>
  <c r="J7" i="5" s="1"/>
  <c r="C37" i="5"/>
  <c r="F17" i="5"/>
  <c r="F19" i="5"/>
  <c r="F20" i="5"/>
  <c r="F11" i="5" l="1"/>
  <c r="J13" i="5"/>
  <c r="F5" i="5"/>
  <c r="E37" i="5"/>
  <c r="F34" i="5" s="1"/>
  <c r="F10" i="5"/>
  <c r="C29" i="5"/>
  <c r="I29" i="5" s="1"/>
  <c r="J11" i="5"/>
  <c r="I37" i="5"/>
  <c r="E44" i="5"/>
  <c r="C43" i="5"/>
  <c r="E29" i="5"/>
  <c r="F25" i="5"/>
  <c r="F26" i="5"/>
  <c r="J27" i="5"/>
  <c r="F45" i="5"/>
  <c r="F2" i="5"/>
  <c r="F4" i="5"/>
  <c r="F6" i="5"/>
  <c r="F3" i="5"/>
  <c r="J29" i="5" l="1"/>
  <c r="F35" i="5"/>
  <c r="E39" i="5"/>
  <c r="E43" i="5"/>
  <c r="F37" i="5"/>
  <c r="F33" i="5"/>
  <c r="F32" i="5"/>
  <c r="D39" i="5"/>
  <c r="F21" i="5"/>
  <c r="F13" i="5"/>
  <c r="F7" i="5"/>
  <c r="F27" i="5"/>
  <c r="C39" i="5"/>
  <c r="F29" i="5"/>
  <c r="J37" i="5"/>
</calcChain>
</file>

<file path=xl/comments1.xml><?xml version="1.0" encoding="utf-8"?>
<comments xmlns="http://schemas.openxmlformats.org/spreadsheetml/2006/main">
  <authors>
    <author>Ferdi</author>
  </authors>
  <commentList>
    <comment ref="H5" authorId="0">
      <text>
        <r>
          <rPr>
            <sz val="9"/>
            <color indexed="81"/>
            <rFont val="Tahoma"/>
            <family val="2"/>
          </rPr>
          <t>USD 3.000 al mes de honorarios</t>
        </r>
      </text>
    </comment>
  </commentList>
</comments>
</file>

<file path=xl/comments2.xml><?xml version="1.0" encoding="utf-8"?>
<comments xmlns="http://schemas.openxmlformats.org/spreadsheetml/2006/main">
  <authors>
    <author>Ferdi</author>
  </authors>
  <commentList>
    <comment ref="K19" authorId="0">
      <text>
        <r>
          <rPr>
            <sz val="9"/>
            <color indexed="81"/>
            <rFont val="Tahoma"/>
            <family val="2"/>
          </rPr>
          <t>100 personas de las entidades (4 añosx5 sectoresX6 técnicos)</t>
        </r>
      </text>
    </comment>
  </commentList>
</comments>
</file>

<file path=xl/sharedStrings.xml><?xml version="1.0" encoding="utf-8"?>
<sst xmlns="http://schemas.openxmlformats.org/spreadsheetml/2006/main" count="1040" uniqueCount="266">
  <si>
    <t>Inicio</t>
  </si>
  <si>
    <t>1P1</t>
  </si>
  <si>
    <t>Fin</t>
  </si>
  <si>
    <t>BID</t>
  </si>
  <si>
    <t>LOCAL</t>
  </si>
  <si>
    <t>ID</t>
  </si>
  <si>
    <t xml:space="preserve">Actividades </t>
  </si>
  <si>
    <t>USD</t>
  </si>
  <si>
    <t xml:space="preserve">% </t>
  </si>
  <si>
    <t>1P1.1</t>
  </si>
  <si>
    <t>1P1.2</t>
  </si>
  <si>
    <t>1P1.3</t>
  </si>
  <si>
    <t>Carga de trabajo</t>
  </si>
  <si>
    <t>Días</t>
  </si>
  <si>
    <t>Plan de implementación gradual</t>
  </si>
  <si>
    <t>%</t>
  </si>
  <si>
    <t>Consultoría</t>
  </si>
  <si>
    <t>Viáticos</t>
  </si>
  <si>
    <t>Pasajes</t>
  </si>
  <si>
    <t>Tipo</t>
  </si>
  <si>
    <t>Tarifa</t>
  </si>
  <si>
    <t>Costos</t>
  </si>
  <si>
    <t>Calendario</t>
  </si>
  <si>
    <t>TOTAL</t>
  </si>
  <si>
    <t>Viajes</t>
  </si>
  <si>
    <t>1P2</t>
  </si>
  <si>
    <t>1P2.1</t>
  </si>
  <si>
    <t>1P2.2</t>
  </si>
  <si>
    <t>1P2.3</t>
  </si>
  <si>
    <t>1P2.4</t>
  </si>
  <si>
    <t>1P2.5</t>
  </si>
  <si>
    <t>Sistemas informáticos</t>
  </si>
  <si>
    <t>HW</t>
  </si>
  <si>
    <t>SW</t>
  </si>
  <si>
    <t>Capacitación/talleres</t>
  </si>
  <si>
    <t>Subtotal</t>
  </si>
  <si>
    <t>2P1</t>
  </si>
  <si>
    <t>2P2</t>
  </si>
  <si>
    <t>2P3</t>
  </si>
  <si>
    <t>2P2.1</t>
  </si>
  <si>
    <t>2P2.2</t>
  </si>
  <si>
    <t>2P2.3</t>
  </si>
  <si>
    <t>2P2.4</t>
  </si>
  <si>
    <t>2P2.5</t>
  </si>
  <si>
    <t>2P3.1</t>
  </si>
  <si>
    <t>2P3.2</t>
  </si>
  <si>
    <t>2P3.3</t>
  </si>
  <si>
    <t>2P3.4</t>
  </si>
  <si>
    <t>2P3.5</t>
  </si>
  <si>
    <t>CN</t>
  </si>
  <si>
    <t>Componente 1</t>
  </si>
  <si>
    <t>Ingenieros</t>
  </si>
  <si>
    <t>Capacitación e inducción</t>
  </si>
  <si>
    <t>1P3</t>
  </si>
  <si>
    <t>1P3.1</t>
  </si>
  <si>
    <t>1P3.2</t>
  </si>
  <si>
    <t>1P3.3</t>
  </si>
  <si>
    <t>1P3.4</t>
  </si>
  <si>
    <t>Sistema de gestión de causas</t>
  </si>
  <si>
    <t>Componente 2</t>
  </si>
  <si>
    <t>Local</t>
  </si>
  <si>
    <t>Total</t>
  </si>
  <si>
    <t>% / Nº</t>
  </si>
  <si>
    <t>1P4</t>
  </si>
  <si>
    <t>1P4.1</t>
  </si>
  <si>
    <t>Hardware</t>
  </si>
  <si>
    <t>Licencias</t>
  </si>
  <si>
    <t>TOTAL COMPONENTE 1</t>
  </si>
  <si>
    <t>TOTAL COMPONENTE 2</t>
  </si>
  <si>
    <t>TOTAL COMPONENTE 3</t>
  </si>
  <si>
    <t>TOTAL PROGRAMA</t>
  </si>
  <si>
    <t>2P2.6</t>
  </si>
  <si>
    <t>2P3.6</t>
  </si>
  <si>
    <t>COMPONENTE 1 : Gestión del conocimiento</t>
  </si>
  <si>
    <t>Política de gestión del conocimiento de la SPE</t>
  </si>
  <si>
    <t>Elaboración de políticas</t>
  </si>
  <si>
    <t>Elaboración del plan de trabajo</t>
  </si>
  <si>
    <t>Programa de formación técnica del personal MECON</t>
  </si>
  <si>
    <t>Diagnóstico de necesidades de formación</t>
  </si>
  <si>
    <t>Diseño de un plan de formación</t>
  </si>
  <si>
    <t>Actividades de formación: cursos de actualización</t>
  </si>
  <si>
    <t>Actividades de formación: cursos de posgrado</t>
  </si>
  <si>
    <t>Universo:</t>
  </si>
  <si>
    <t>Posgrados</t>
  </si>
  <si>
    <t>acciones</t>
  </si>
  <si>
    <t>1P4.2</t>
  </si>
  <si>
    <t>1P4.3</t>
  </si>
  <si>
    <t>1P4.4</t>
  </si>
  <si>
    <t>Fondo de actividades de conocmiento: consultorías expertas</t>
  </si>
  <si>
    <t>Fondo de actividades de conocmiento: consultorías de alta prioridad</t>
  </si>
  <si>
    <t>Costo promedio</t>
  </si>
  <si>
    <t>Nº de días</t>
  </si>
  <si>
    <t>Nº de consultores</t>
  </si>
  <si>
    <t>Consultores expertos internacionales</t>
  </si>
  <si>
    <t>Consultores expertos nacionales</t>
  </si>
  <si>
    <t>Costo unitarios</t>
  </si>
  <si>
    <t>Nº estudios</t>
  </si>
  <si>
    <t>1P5</t>
  </si>
  <si>
    <t>1P5.1</t>
  </si>
  <si>
    <t>1P5.2</t>
  </si>
  <si>
    <t>1P5.3</t>
  </si>
  <si>
    <t>COMPONENTE 2 : Gestión de la información</t>
  </si>
  <si>
    <t>Políticas de gestión de la información</t>
  </si>
  <si>
    <t>Repositorio de datos</t>
  </si>
  <si>
    <t>Capacitación en la solución</t>
  </si>
  <si>
    <t>Repositorio</t>
  </si>
  <si>
    <t>Equipos PC</t>
  </si>
  <si>
    <t>(servidor, hub, etc.)</t>
  </si>
  <si>
    <t>Comunicaciones e infraestructura</t>
  </si>
  <si>
    <t>Mejora de los sistemas de información para la gestión SPE</t>
  </si>
  <si>
    <t>Análisis de necesidades e identificación de ajustes en los sistemas actuales</t>
  </si>
  <si>
    <t>Capacitación en los nuevos sistemas</t>
  </si>
  <si>
    <t>2P2.7</t>
  </si>
  <si>
    <t>Diseño de la solución tecnológica (ligada al SIMPE)</t>
  </si>
  <si>
    <t>Diseño e implementación de la unidad técnica de la TIC de la SPE</t>
  </si>
  <si>
    <t>Análisis de necesidades y formulación detallada del plan director de TICs en la SPE</t>
  </si>
  <si>
    <t>Desarrollo de bases de datos en unidades SPE (x9)</t>
  </si>
  <si>
    <t>2P2.8</t>
  </si>
  <si>
    <t>Sistema UEPEX</t>
  </si>
  <si>
    <t>Sistema BAPIN</t>
  </si>
  <si>
    <t>Otros sistemas de gestión de la información</t>
  </si>
  <si>
    <t>Adquisición equipos y licencias</t>
  </si>
  <si>
    <t>Análisis funcional de los ajustes/rediseño y desarrollo del sistema</t>
  </si>
  <si>
    <t>Propuesta de ajustes/rediseño del sistema de gestión de causas</t>
  </si>
  <si>
    <t>Evaluación detallada del actual sistema de gestión</t>
  </si>
  <si>
    <t>Sistema integrado de causas implantado</t>
  </si>
  <si>
    <t>Propuesta del nuevo modelo de trabajo e implicancias</t>
  </si>
  <si>
    <t>Diagnóstico de las actuales prácticas y resultados en los procesos de cobranza</t>
  </si>
  <si>
    <t>Mapeo detallado de los procesos y actividades vinculados a asesoramiento jurídico a entidades del sector público estatal</t>
  </si>
  <si>
    <t>Reingeniería de los procesos vinculados al asesoramiento legal implantada</t>
  </si>
  <si>
    <t>Propuesta del nuevo modelo de trabajo y nuevos mecanismos de supervisión</t>
  </si>
  <si>
    <t>Diagnóstico de los actuales mecanismos de supervisión</t>
  </si>
  <si>
    <t>Diagnóstico de las actuales prácticas y resultados en los procesos</t>
  </si>
  <si>
    <t>Mapeo detallado de los tipos de procesos, actividades y asuntos</t>
  </si>
  <si>
    <t>COMPONENTE 3: Gestión del pasivo contingente y de los expedientes jurídicos</t>
  </si>
  <si>
    <t>Reingeniería de los procesos vinculados a la gestión de juicios</t>
  </si>
  <si>
    <t>Capacitación en los nuevos procesos de trabajo</t>
  </si>
  <si>
    <t>Sistema interno de gestión de expedientes</t>
  </si>
  <si>
    <t>Evaluación detallada del sistema de gestión vigente y su enlace con el sistema interno</t>
  </si>
  <si>
    <t>Plan de Formación jurídica del personal de la DGAJ</t>
  </si>
  <si>
    <t>Actividades de formación jurídica</t>
  </si>
  <si>
    <t>COMPONENTE 4 : Instrumentos de coordinación y alineamiento institucional</t>
  </si>
  <si>
    <t>Proyecto 1</t>
  </si>
  <si>
    <t>Proyecto 2</t>
  </si>
  <si>
    <t>Proyecto 3</t>
  </si>
  <si>
    <t>Proyecto 4</t>
  </si>
  <si>
    <t>Proyecto 5</t>
  </si>
  <si>
    <t>Proyectos de coordinación de políticas sectoriales</t>
  </si>
  <si>
    <t>4P1</t>
  </si>
  <si>
    <t>4P1.1</t>
  </si>
  <si>
    <t>4P1.2</t>
  </si>
  <si>
    <t>4P1.3</t>
  </si>
  <si>
    <t>4P1.4</t>
  </si>
  <si>
    <t>4P1.5</t>
  </si>
  <si>
    <t>4P1.6</t>
  </si>
  <si>
    <t>Plan de capacitación para entidades sectoriales</t>
  </si>
  <si>
    <t>4P2.1</t>
  </si>
  <si>
    <t>4P2.2</t>
  </si>
  <si>
    <t>4P2.3</t>
  </si>
  <si>
    <t>Actividades de formación</t>
  </si>
  <si>
    <t>4P2</t>
  </si>
  <si>
    <t>4P3</t>
  </si>
  <si>
    <t>Instrumentos de gestión interna SPE</t>
  </si>
  <si>
    <t>Desarrollo de un sistema de seguimiento de plazos y productos de SPE</t>
  </si>
  <si>
    <t>4P3.1</t>
  </si>
  <si>
    <t>4P3.2</t>
  </si>
  <si>
    <t>4P3.3</t>
  </si>
  <si>
    <t>Coordinador general</t>
  </si>
  <si>
    <t>Gastos de funcionamiento</t>
  </si>
  <si>
    <t>UE</t>
  </si>
  <si>
    <t>Monitoreo y evaluación</t>
  </si>
  <si>
    <t>Mediciones ICEPE</t>
  </si>
  <si>
    <t>nº</t>
  </si>
  <si>
    <t>Evaluación final</t>
  </si>
  <si>
    <t>Seguimiento indicadores capacitación</t>
  </si>
  <si>
    <t>nº consultores</t>
  </si>
  <si>
    <t>TOTAL COMPONENTE 4</t>
  </si>
  <si>
    <t>Monitoreo y Evaluación</t>
  </si>
  <si>
    <t>Componente 4</t>
  </si>
  <si>
    <t>Diseño de un plan de formación (incluye reglamento)</t>
  </si>
  <si>
    <t>Sistema virtual de conocimiento de la SPE</t>
  </si>
  <si>
    <t>Diseño de un sistema virtual</t>
  </si>
  <si>
    <t>Nº de estudios / año:</t>
  </si>
  <si>
    <t>Fondo de becas de posgrado para jóvenes profesionales</t>
  </si>
  <si>
    <t>Actividades de conocimiento</t>
  </si>
  <si>
    <t>Otras actividades</t>
  </si>
  <si>
    <t>Consultores internacionales</t>
  </si>
  <si>
    <t>1P4.5</t>
  </si>
  <si>
    <t xml:space="preserve">Fondo de actividades de conocmiento: seminarios </t>
  </si>
  <si>
    <t>Nº consult.</t>
  </si>
  <si>
    <t>Meses</t>
  </si>
  <si>
    <t>Tarifa/mes</t>
  </si>
  <si>
    <t>Adquisición equipos y comunicaciones</t>
  </si>
  <si>
    <t>Equipo 1: desarrollo del sistema</t>
  </si>
  <si>
    <t>Equipo 2: digitalización</t>
  </si>
  <si>
    <t>Análisis funcional de los ajustes/rediseño, desarrollo del sistema, digitalización y licencias</t>
  </si>
  <si>
    <t>Sistema de gestión de expedientes</t>
  </si>
  <si>
    <t>Evaluación intermedia</t>
  </si>
  <si>
    <t>Gestión financiera</t>
  </si>
  <si>
    <t>Gestión adquisiciones</t>
  </si>
  <si>
    <t>Componente 3</t>
  </si>
  <si>
    <t>1P4.6</t>
  </si>
  <si>
    <t>LPN</t>
  </si>
  <si>
    <t>TOTAL COMPONENTES</t>
  </si>
  <si>
    <t>3P1</t>
  </si>
  <si>
    <t>3P1.1</t>
  </si>
  <si>
    <t>3P1.2</t>
  </si>
  <si>
    <t>3P1.3</t>
  </si>
  <si>
    <t>3P1.4</t>
  </si>
  <si>
    <t>3P1.5</t>
  </si>
  <si>
    <t>3P2</t>
  </si>
  <si>
    <t>3P2.1</t>
  </si>
  <si>
    <t>3P2.2</t>
  </si>
  <si>
    <t>3P2.3</t>
  </si>
  <si>
    <t>3P2.4</t>
  </si>
  <si>
    <t>3P2.5</t>
  </si>
  <si>
    <t>3P3</t>
  </si>
  <si>
    <t>3P3.1</t>
  </si>
  <si>
    <t>3P3.2</t>
  </si>
  <si>
    <t>3P3.3</t>
  </si>
  <si>
    <t>3P3.4</t>
  </si>
  <si>
    <t>3P4</t>
  </si>
  <si>
    <t>3P5</t>
  </si>
  <si>
    <t>3P5.1</t>
  </si>
  <si>
    <t>3P5.2</t>
  </si>
  <si>
    <t>3P5.3</t>
  </si>
  <si>
    <t>Antes</t>
  </si>
  <si>
    <t>Ahorro</t>
  </si>
  <si>
    <t>Ahorros</t>
  </si>
  <si>
    <t>Unidad Ejecutora</t>
  </si>
  <si>
    <t>Capacitación/Fondo</t>
  </si>
  <si>
    <t>Apoyo al monitoreo y evaluación</t>
  </si>
  <si>
    <t>Gestión técnica de componentes</t>
  </si>
  <si>
    <t>Imprevistos (2%)</t>
  </si>
  <si>
    <t>Ejecución del Fondo de Becas</t>
  </si>
  <si>
    <t>Adquisición de licencias</t>
  </si>
  <si>
    <t>Hardware, comunicaciones e infraestructura</t>
  </si>
  <si>
    <t>Mediciones proyectos sectoriales</t>
  </si>
  <si>
    <t>Desarrollo del aplicativo y adquisición de equipos</t>
  </si>
  <si>
    <t>Capacitación en políticas de gestión del conocimiento</t>
  </si>
  <si>
    <t>1P1.4</t>
  </si>
  <si>
    <t>Capacitación e i nducción</t>
  </si>
  <si>
    <t>3P4.1</t>
  </si>
  <si>
    <t>3P2.6</t>
  </si>
  <si>
    <t>3P2.7</t>
  </si>
  <si>
    <t>3P4.2</t>
  </si>
  <si>
    <t>3P4.3</t>
  </si>
  <si>
    <t>3P4.4</t>
  </si>
  <si>
    <t>3P4.5</t>
  </si>
  <si>
    <t>3P4.6</t>
  </si>
  <si>
    <t>3P4.7</t>
  </si>
  <si>
    <t>Digitalización de los expedientes</t>
  </si>
  <si>
    <t>3P2.8</t>
  </si>
  <si>
    <t>3P2.9</t>
  </si>
  <si>
    <t>Fondo de acciones de conocimiento (FAC)</t>
  </si>
  <si>
    <t>Elaboración de las políticas, procedimientos y reglamentos del fondo de conocimiento</t>
  </si>
  <si>
    <t>Elaboración de las políticas, procedimientos y reglamento del fondo de becas</t>
  </si>
  <si>
    <t>Proyectos de desarrollo organizacional SPE (4 proyectos)</t>
  </si>
  <si>
    <t>Consultoría de apoyo a la implementación</t>
  </si>
  <si>
    <t>LPN (3)</t>
  </si>
  <si>
    <t>3P5.5</t>
  </si>
  <si>
    <t>Consultoría de apoyo al proceso de licitación</t>
  </si>
  <si>
    <t>3P1.7</t>
  </si>
  <si>
    <t>3P3.6</t>
  </si>
  <si>
    <t>4P2.5</t>
  </si>
  <si>
    <t>Auditoría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</si>
</sst>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C0A]mmm/yy;@"/>
    <numFmt numFmtId="165" formatCode="_-* #,##0.00_-;\-* #,##0.00_-;_-* &quot;-&quot;??_-;_-@_-"/>
    <numFmt numFmtId="166" formatCode="0.0%"/>
    <numFmt numFmtId="167" formatCode="0.0"/>
    <numFmt numFmtId="168" formatCode="#,##0.0"/>
  </numFmts>
  <fonts count="9" x14ac:knownFonts="1">
    <font>
      <sz val="9"/>
      <color theme="1"/>
      <name val="Verdana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b/>
      <sz val="8"/>
      <color indexed="8"/>
      <name val="Verdana"/>
      <family val="2"/>
    </font>
    <font>
      <b/>
      <sz val="9"/>
      <color indexed="8"/>
      <name val="Verdana"/>
      <family val="2"/>
    </font>
    <font>
      <sz val="10"/>
      <name val="Helvetica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0" fontId="7" fillId="0" borderId="0" applyFill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Continuous" vertical="center"/>
    </xf>
    <xf numFmtId="0" fontId="3" fillId="3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1" fillId="2" borderId="0" xfId="0" applyFont="1" applyFill="1" applyBorder="1"/>
    <xf numFmtId="3" fontId="4" fillId="0" borderId="0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 vertical="center"/>
    </xf>
    <xf numFmtId="166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7" fontId="1" fillId="0" borderId="0" xfId="0" applyNumberFormat="1" applyFont="1" applyBorder="1"/>
    <xf numFmtId="17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/>
    <xf numFmtId="0" fontId="6" fillId="0" borderId="0" xfId="0" applyFont="1" applyAlignment="1">
      <alignment horizontal="center"/>
    </xf>
    <xf numFmtId="3" fontId="0" fillId="0" borderId="0" xfId="0" applyNumberFormat="1"/>
    <xf numFmtId="3" fontId="6" fillId="0" borderId="0" xfId="0" applyNumberFormat="1" applyFont="1"/>
    <xf numFmtId="0" fontId="6" fillId="2" borderId="0" xfId="0" applyFont="1" applyFill="1"/>
    <xf numFmtId="3" fontId="6" fillId="2" borderId="0" xfId="0" applyNumberFormat="1" applyFont="1" applyFill="1"/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1" fillId="0" borderId="0" xfId="0" applyFont="1" applyFill="1" applyBorder="1"/>
    <xf numFmtId="3" fontId="5" fillId="0" borderId="0" xfId="0" applyNumberFormat="1" applyFont="1" applyFill="1" applyBorder="1"/>
    <xf numFmtId="0" fontId="1" fillId="0" borderId="0" xfId="0" applyFont="1" applyFill="1"/>
    <xf numFmtId="0" fontId="5" fillId="2" borderId="0" xfId="0" applyFont="1" applyFill="1" applyAlignment="1">
      <alignment horizontal="center"/>
    </xf>
    <xf numFmtId="3" fontId="1" fillId="0" borderId="0" xfId="0" applyNumberFormat="1" applyFont="1"/>
    <xf numFmtId="0" fontId="5" fillId="2" borderId="0" xfId="0" applyFont="1" applyFill="1"/>
    <xf numFmtId="167" fontId="1" fillId="0" borderId="0" xfId="0" applyNumberFormat="1" applyFont="1"/>
    <xf numFmtId="166" fontId="4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3" fillId="0" borderId="0" xfId="0" applyFont="1" applyBorder="1" applyAlignment="1">
      <alignment horizontal="center" vertical="center"/>
    </xf>
    <xf numFmtId="0" fontId="6" fillId="0" borderId="0" xfId="0" applyFont="1"/>
    <xf numFmtId="167" fontId="0" fillId="0" borderId="0" xfId="0" applyNumberFormat="1"/>
    <xf numFmtId="3" fontId="0" fillId="0" borderId="0" xfId="0" applyNumberFormat="1" applyFont="1"/>
    <xf numFmtId="1" fontId="1" fillId="0" borderId="0" xfId="0" applyNumberFormat="1" applyFont="1"/>
    <xf numFmtId="1" fontId="6" fillId="0" borderId="0" xfId="0" applyNumberFormat="1" applyFont="1"/>
    <xf numFmtId="1" fontId="6" fillId="2" borderId="0" xfId="0" applyNumberFormat="1" applyFont="1" applyFill="1"/>
    <xf numFmtId="0" fontId="5" fillId="0" borderId="0" xfId="0" applyFont="1" applyAlignment="1">
      <alignment horizontal="center"/>
    </xf>
    <xf numFmtId="3" fontId="5" fillId="0" borderId="0" xfId="0" applyNumberFormat="1" applyFont="1"/>
    <xf numFmtId="0" fontId="5" fillId="0" borderId="0" xfId="0" applyFont="1"/>
    <xf numFmtId="168" fontId="1" fillId="0" borderId="0" xfId="0" applyNumberFormat="1" applyFont="1" applyFill="1"/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/>
    </xf>
    <xf numFmtId="167" fontId="1" fillId="0" borderId="0" xfId="0" applyNumberFormat="1" applyFont="1" applyFill="1"/>
    <xf numFmtId="168" fontId="5" fillId="0" borderId="0" xfId="0" applyNumberFormat="1" applyFont="1" applyFill="1"/>
    <xf numFmtId="0" fontId="1" fillId="0" borderId="0" xfId="0" applyFont="1" applyFill="1" applyAlignment="1">
      <alignment horizontal="left"/>
    </xf>
    <xf numFmtId="3" fontId="0" fillId="4" borderId="0" xfId="0" applyNumberFormat="1" applyFill="1"/>
    <xf numFmtId="0" fontId="0" fillId="4" borderId="0" xfId="0" applyFill="1"/>
    <xf numFmtId="0" fontId="6" fillId="4" borderId="0" xfId="0" applyFont="1" applyFill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/>
    <xf numFmtId="0" fontId="1" fillId="0" borderId="0" xfId="0" applyFont="1" applyFill="1" applyAlignment="1">
      <alignment horizontal="center"/>
    </xf>
    <xf numFmtId="3" fontId="1" fillId="0" borderId="0" xfId="0" applyNumberFormat="1" applyFont="1" applyFill="1"/>
    <xf numFmtId="0" fontId="5" fillId="5" borderId="0" xfId="0" applyFont="1" applyFill="1"/>
    <xf numFmtId="0" fontId="5" fillId="6" borderId="0" xfId="0" applyFont="1" applyFill="1"/>
    <xf numFmtId="0" fontId="5" fillId="6" borderId="0" xfId="0" applyFont="1" applyFill="1" applyAlignment="1">
      <alignment horizontal="center"/>
    </xf>
    <xf numFmtId="3" fontId="5" fillId="6" borderId="0" xfId="0" applyNumberFormat="1" applyFont="1" applyFill="1"/>
    <xf numFmtId="168" fontId="5" fillId="6" borderId="0" xfId="0" applyNumberFormat="1" applyFont="1" applyFill="1"/>
    <xf numFmtId="0" fontId="1" fillId="6" borderId="0" xfId="0" applyFont="1" applyFill="1" applyAlignment="1">
      <alignment horizontal="left"/>
    </xf>
    <xf numFmtId="0" fontId="5" fillId="6" borderId="0" xfId="0" applyFont="1" applyFill="1" applyAlignment="1">
      <alignment horizontal="left"/>
    </xf>
    <xf numFmtId="3" fontId="5" fillId="6" borderId="0" xfId="0" applyNumberFormat="1" applyFont="1" applyFill="1" applyAlignment="1">
      <alignment horizontal="right"/>
    </xf>
    <xf numFmtId="3" fontId="5" fillId="5" borderId="0" xfId="0" applyNumberFormat="1" applyFont="1" applyFill="1"/>
    <xf numFmtId="168" fontId="5" fillId="5" borderId="0" xfId="0" applyNumberFormat="1" applyFont="1" applyFill="1"/>
    <xf numFmtId="164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vertical="center"/>
    </xf>
    <xf numFmtId="3" fontId="1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right" vertical="center"/>
    </xf>
    <xf numFmtId="164" fontId="4" fillId="8" borderId="0" xfId="0" applyNumberFormat="1" applyFont="1" applyFill="1" applyBorder="1" applyAlignment="1">
      <alignment horizontal="center" vertical="center"/>
    </xf>
    <xf numFmtId="3" fontId="4" fillId="8" borderId="0" xfId="0" applyNumberFormat="1" applyFont="1" applyFill="1" applyBorder="1" applyAlignment="1">
      <alignment horizontal="right" vertical="center"/>
    </xf>
    <xf numFmtId="3" fontId="1" fillId="8" borderId="0" xfId="0" applyNumberFormat="1" applyFont="1" applyFill="1" applyBorder="1"/>
    <xf numFmtId="0" fontId="1" fillId="8" borderId="0" xfId="0" applyFont="1" applyFill="1" applyBorder="1"/>
    <xf numFmtId="0" fontId="3" fillId="7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top"/>
    </xf>
    <xf numFmtId="3" fontId="1" fillId="0" borderId="0" xfId="0" applyNumberFormat="1" applyFont="1" applyBorder="1" applyAlignment="1">
      <alignment horizontal="center" vertical="top"/>
    </xf>
    <xf numFmtId="3" fontId="1" fillId="8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vertical="center"/>
    </xf>
  </cellXfs>
  <cellStyles count="3">
    <cellStyle name="Millares 4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zoomScaleNormal="100" workbookViewId="0">
      <selection activeCell="B3" sqref="B3"/>
    </sheetView>
  </sheetViews>
  <sheetFormatPr defaultColWidth="11" defaultRowHeight="10.5" x14ac:dyDescent="0.15"/>
  <cols>
    <col min="1" max="1" width="4.5" style="1" customWidth="1"/>
    <col min="2" max="2" width="67.25" style="1" customWidth="1"/>
    <col min="3" max="3" width="11.25" style="1" customWidth="1"/>
    <col min="4" max="4" width="10.625" style="1" customWidth="1"/>
    <col min="5" max="5" width="10.375" style="1" customWidth="1"/>
    <col min="6" max="6" width="9.625" style="1" customWidth="1"/>
    <col min="7" max="16384" width="11" style="1"/>
  </cols>
  <sheetData>
    <row r="1" spans="1:11" x14ac:dyDescent="0.15">
      <c r="A1" s="36"/>
      <c r="B1" s="68" t="str">
        <f>'Componente 1'!B1:T1</f>
        <v>COMPONENTE 1 : Gestión del conocimiento</v>
      </c>
      <c r="C1" s="69" t="s">
        <v>3</v>
      </c>
      <c r="D1" s="69" t="s">
        <v>60</v>
      </c>
      <c r="E1" s="69" t="s">
        <v>61</v>
      </c>
      <c r="F1" s="69" t="s">
        <v>15</v>
      </c>
      <c r="G1" s="56"/>
      <c r="H1" s="56"/>
    </row>
    <row r="2" spans="1:11" x14ac:dyDescent="0.15">
      <c r="A2" s="65" t="str">
        <f>'Componente 1'!A4</f>
        <v>1P1</v>
      </c>
      <c r="B2" s="59" t="str">
        <f>'Componente 1'!B4</f>
        <v>Política de gestión del conocimiento de la SPE</v>
      </c>
      <c r="C2" s="66">
        <f>'Componente 1'!Q9</f>
        <v>32400</v>
      </c>
      <c r="D2" s="66">
        <f>'Componente 1'!S9</f>
        <v>24000</v>
      </c>
      <c r="E2" s="66">
        <f>SUM(C2:D2)</f>
        <v>56400</v>
      </c>
      <c r="F2" s="57">
        <f>100*E2/$E$7</f>
        <v>0.76755579749591729</v>
      </c>
      <c r="G2" s="57"/>
      <c r="H2" s="57"/>
      <c r="I2" s="38">
        <f>C2+D2</f>
        <v>56400</v>
      </c>
      <c r="J2" s="38">
        <f>I2-E2</f>
        <v>0</v>
      </c>
    </row>
    <row r="3" spans="1:11" x14ac:dyDescent="0.15">
      <c r="A3" s="65" t="str">
        <f>'Componente 1'!A12</f>
        <v>1P2</v>
      </c>
      <c r="B3" s="59" t="str">
        <f>'Componente 1'!B12</f>
        <v>Programa de formación técnica del personal MECON</v>
      </c>
      <c r="C3" s="66">
        <f>'Componente 1'!Q19</f>
        <v>1320400</v>
      </c>
      <c r="D3" s="66">
        <f>'Componente 1'!S19</f>
        <v>48000</v>
      </c>
      <c r="E3" s="66">
        <f>SUM(C3:D3)</f>
        <v>1368400</v>
      </c>
      <c r="F3" s="57">
        <f>100*E3/$E$7</f>
        <v>18.622754491017965</v>
      </c>
      <c r="G3" s="57"/>
      <c r="H3" s="57"/>
      <c r="I3" s="38">
        <f t="shared" ref="I3:I37" si="0">C3+D3</f>
        <v>1368400</v>
      </c>
      <c r="J3" s="38">
        <f t="shared" ref="J3:J37" si="1">I3-E3</f>
        <v>0</v>
      </c>
    </row>
    <row r="4" spans="1:11" x14ac:dyDescent="0.15">
      <c r="A4" s="65" t="str">
        <f>'Componente 1'!A22</f>
        <v>1P3</v>
      </c>
      <c r="B4" s="59" t="str">
        <f>'Componente 1'!B22</f>
        <v>Sistema virtual de conocimiento de la SPE</v>
      </c>
      <c r="C4" s="66">
        <f>'Componente 1'!Q28</f>
        <v>82400</v>
      </c>
      <c r="D4" s="66">
        <f>'Componente 1'!S28</f>
        <v>180000</v>
      </c>
      <c r="E4" s="66">
        <f>SUM(C4:D4)</f>
        <v>262400</v>
      </c>
      <c r="F4" s="57">
        <f>100*E4/$E$7</f>
        <v>3.5710397387044095</v>
      </c>
      <c r="G4" s="57"/>
      <c r="H4" s="57"/>
      <c r="I4" s="38">
        <f t="shared" si="0"/>
        <v>262400</v>
      </c>
      <c r="J4" s="38">
        <f t="shared" si="1"/>
        <v>0</v>
      </c>
    </row>
    <row r="5" spans="1:11" x14ac:dyDescent="0.15">
      <c r="A5" s="65" t="str">
        <f>'Componente 1'!A31</f>
        <v>1P4</v>
      </c>
      <c r="B5" s="59" t="str">
        <f>'Componente 1'!B31</f>
        <v>Fondo de acciones de conocimiento (FAC)</v>
      </c>
      <c r="C5" s="66">
        <f>'Componente 1'!Q39</f>
        <v>4726400</v>
      </c>
      <c r="D5" s="66">
        <f>'Componente 1'!S39</f>
        <v>114000</v>
      </c>
      <c r="E5" s="66">
        <f>SUM(C5:D5)</f>
        <v>4840400</v>
      </c>
      <c r="F5" s="57">
        <f>100*E5/$E$7</f>
        <v>65.873707131192162</v>
      </c>
      <c r="G5" s="57"/>
      <c r="H5" s="57"/>
      <c r="I5" s="38">
        <f t="shared" si="0"/>
        <v>4840400</v>
      </c>
      <c r="J5" s="38">
        <f t="shared" si="1"/>
        <v>0</v>
      </c>
    </row>
    <row r="6" spans="1:11" x14ac:dyDescent="0.15">
      <c r="A6" s="65" t="str">
        <f>'Componente 1'!A42</f>
        <v>1P5</v>
      </c>
      <c r="B6" s="59" t="str">
        <f>'Componente 1'!B42</f>
        <v>Fondo de becas de posgrado para jóvenes profesionales</v>
      </c>
      <c r="C6" s="66">
        <f>'Componente 1'!Q47</f>
        <v>820400</v>
      </c>
      <c r="D6" s="66">
        <f>'Componente 1'!S47</f>
        <v>0</v>
      </c>
      <c r="E6" s="66">
        <f>SUM(C6:D6)</f>
        <v>820400</v>
      </c>
      <c r="F6" s="57">
        <f>100*E6/$E$7</f>
        <v>11.164942841589548</v>
      </c>
      <c r="G6" s="57"/>
      <c r="H6" s="57"/>
      <c r="I6" s="38">
        <f t="shared" si="0"/>
        <v>820400</v>
      </c>
      <c r="J6" s="38">
        <f t="shared" si="1"/>
        <v>0</v>
      </c>
    </row>
    <row r="7" spans="1:11" x14ac:dyDescent="0.15">
      <c r="A7" s="64"/>
      <c r="B7" s="68" t="s">
        <v>67</v>
      </c>
      <c r="C7" s="70">
        <f>SUM(C2:C6)</f>
        <v>6982000</v>
      </c>
      <c r="D7" s="70">
        <f>SUM(D2:D6)</f>
        <v>366000</v>
      </c>
      <c r="E7" s="70">
        <f>SUM(E2:E6)</f>
        <v>7348000</v>
      </c>
      <c r="F7" s="71">
        <f>100*E7/$E$37</f>
        <v>40.822222222222223</v>
      </c>
      <c r="G7" s="58"/>
      <c r="H7" s="58"/>
      <c r="I7" s="38">
        <f t="shared" si="0"/>
        <v>7348000</v>
      </c>
      <c r="J7" s="38">
        <f t="shared" si="1"/>
        <v>0</v>
      </c>
      <c r="K7" s="38">
        <f>'Componente 1'!P50</f>
        <v>7348000</v>
      </c>
    </row>
    <row r="8" spans="1:11" x14ac:dyDescent="0.15">
      <c r="A8" s="36"/>
      <c r="B8" s="36"/>
      <c r="C8" s="66"/>
      <c r="D8" s="36"/>
      <c r="E8" s="66"/>
      <c r="F8" s="36"/>
      <c r="I8" s="38"/>
      <c r="J8" s="38"/>
    </row>
    <row r="9" spans="1:11" x14ac:dyDescent="0.15">
      <c r="A9" s="36"/>
      <c r="B9" s="68" t="str">
        <f>'Componente 2'!B1:T1</f>
        <v>COMPONENTE 2 : Gestión de la información</v>
      </c>
      <c r="C9" s="69" t="s">
        <v>3</v>
      </c>
      <c r="D9" s="69" t="s">
        <v>60</v>
      </c>
      <c r="E9" s="69" t="s">
        <v>61</v>
      </c>
      <c r="F9" s="69" t="s">
        <v>15</v>
      </c>
      <c r="G9" s="56"/>
      <c r="H9" s="56"/>
      <c r="I9" s="38"/>
      <c r="J9" s="38"/>
    </row>
    <row r="10" spans="1:11" x14ac:dyDescent="0.15">
      <c r="A10" s="65" t="str">
        <f>'Componente 2'!A3</f>
        <v>2P1</v>
      </c>
      <c r="B10" s="59" t="str">
        <f>'Componente 2'!B3</f>
        <v>Políticas de gestión de la información</v>
      </c>
      <c r="C10" s="66">
        <f>'Componente 2'!Q9</f>
        <v>90500</v>
      </c>
      <c r="D10" s="66">
        <f>'Componente 2'!S9</f>
        <v>24000</v>
      </c>
      <c r="E10" s="66">
        <f>SUM(C10:D10)</f>
        <v>114500</v>
      </c>
      <c r="F10" s="57">
        <f>100*E10/$E$13</f>
        <v>3.7055016181229772</v>
      </c>
      <c r="G10" s="57"/>
      <c r="H10" s="57"/>
      <c r="I10" s="38">
        <f t="shared" si="0"/>
        <v>114500</v>
      </c>
      <c r="J10" s="38">
        <f t="shared" si="1"/>
        <v>0</v>
      </c>
    </row>
    <row r="11" spans="1:11" x14ac:dyDescent="0.15">
      <c r="A11" s="65" t="str">
        <f>'Componente 2'!A12</f>
        <v>2P2</v>
      </c>
      <c r="B11" s="59" t="str">
        <f>'Componente 2'!B12</f>
        <v>Repositorio de datos</v>
      </c>
      <c r="C11" s="66">
        <f>'Componente 2'!Q22</f>
        <v>1016600</v>
      </c>
      <c r="D11" s="66">
        <f>'Componente 2'!S22</f>
        <v>428000</v>
      </c>
      <c r="E11" s="66">
        <f>SUM(C11:D11)</f>
        <v>1444600</v>
      </c>
      <c r="F11" s="57">
        <f>100*E11/$E$13</f>
        <v>46.750809061488674</v>
      </c>
      <c r="G11" s="57"/>
      <c r="H11" s="57"/>
      <c r="I11" s="38">
        <f t="shared" si="0"/>
        <v>1444600</v>
      </c>
      <c r="J11" s="38">
        <f t="shared" si="1"/>
        <v>0</v>
      </c>
    </row>
    <row r="12" spans="1:11" x14ac:dyDescent="0.15">
      <c r="A12" s="65" t="str">
        <f>'Componente 2'!A25</f>
        <v>2P3</v>
      </c>
      <c r="B12" s="59" t="str">
        <f>'Componente 2'!B25</f>
        <v>Mejora de los sistemas de información para la gestión SPE</v>
      </c>
      <c r="C12" s="66">
        <f>'Componente 2'!Q33</f>
        <v>45500</v>
      </c>
      <c r="D12" s="66">
        <f>'Componente 2'!S33</f>
        <v>1485400</v>
      </c>
      <c r="E12" s="66">
        <f>SUM(C12:D12)</f>
        <v>1530900</v>
      </c>
      <c r="F12" s="57">
        <f>100*E12/$E$13</f>
        <v>49.543689320388353</v>
      </c>
      <c r="G12" s="57"/>
      <c r="H12" s="57"/>
      <c r="I12" s="38">
        <f t="shared" si="0"/>
        <v>1530900</v>
      </c>
      <c r="J12" s="38">
        <f t="shared" si="1"/>
        <v>0</v>
      </c>
    </row>
    <row r="13" spans="1:11" x14ac:dyDescent="0.15">
      <c r="A13" s="64"/>
      <c r="B13" s="68" t="s">
        <v>68</v>
      </c>
      <c r="C13" s="70">
        <f>SUM(C10:C12)</f>
        <v>1152600</v>
      </c>
      <c r="D13" s="70">
        <f>SUM(D10:D12)</f>
        <v>1937400</v>
      </c>
      <c r="E13" s="70">
        <f>SUM(E10:E12)</f>
        <v>3090000</v>
      </c>
      <c r="F13" s="71">
        <f>100*E13/$E$37</f>
        <v>17.166666666666668</v>
      </c>
      <c r="G13" s="58"/>
      <c r="H13" s="58"/>
      <c r="I13" s="38">
        <f t="shared" si="0"/>
        <v>3090000</v>
      </c>
      <c r="J13" s="38">
        <f t="shared" si="1"/>
        <v>0</v>
      </c>
      <c r="K13" s="38">
        <f>'Componente 2'!P9+'Componente 2'!P22+'Componente 2'!P33</f>
        <v>3090000</v>
      </c>
    </row>
    <row r="14" spans="1:11" x14ac:dyDescent="0.15">
      <c r="A14" s="36"/>
      <c r="B14" s="59"/>
      <c r="C14" s="36"/>
      <c r="D14" s="36"/>
      <c r="E14" s="66"/>
      <c r="F14" s="36"/>
      <c r="G14" s="36"/>
      <c r="H14" s="36"/>
      <c r="I14" s="38"/>
      <c r="J14" s="38"/>
    </row>
    <row r="15" spans="1:11" x14ac:dyDescent="0.15">
      <c r="A15" s="36"/>
      <c r="B15" s="68" t="str">
        <f>'Componente 3'!B1:T1</f>
        <v>COMPONENTE 3: Gestión del pasivo contingente y de los expedientes jurídicos</v>
      </c>
      <c r="C15" s="69" t="s">
        <v>3</v>
      </c>
      <c r="D15" s="69" t="s">
        <v>60</v>
      </c>
      <c r="E15" s="69" t="s">
        <v>61</v>
      </c>
      <c r="F15" s="69" t="s">
        <v>15</v>
      </c>
      <c r="G15" s="56"/>
      <c r="H15" s="56"/>
      <c r="I15" s="38"/>
      <c r="J15" s="38"/>
    </row>
    <row r="16" spans="1:11" x14ac:dyDescent="0.15">
      <c r="A16" s="65" t="str">
        <f>'Componente 3'!A3</f>
        <v>3P1</v>
      </c>
      <c r="B16" s="59" t="str">
        <f>'Componente 3'!B3</f>
        <v>Reingeniería de los procesos vinculados a la gestión de juicios</v>
      </c>
      <c r="C16" s="66">
        <f>'Componente 3'!Q11</f>
        <v>40500</v>
      </c>
      <c r="D16" s="66">
        <f>'Componente 3'!S11</f>
        <v>196000</v>
      </c>
      <c r="E16" s="66">
        <f>SUM(C16:D16)</f>
        <v>236500</v>
      </c>
      <c r="F16" s="57">
        <f>100*E16/$E$21</f>
        <v>8.7349953831948284</v>
      </c>
      <c r="G16" s="57"/>
      <c r="H16" s="57"/>
      <c r="I16" s="38">
        <f t="shared" si="0"/>
        <v>236500</v>
      </c>
      <c r="J16" s="38">
        <f t="shared" si="1"/>
        <v>0</v>
      </c>
    </row>
    <row r="17" spans="1:11" x14ac:dyDescent="0.15">
      <c r="A17" s="65" t="str">
        <f>'Componente 3'!A28</f>
        <v>3P3</v>
      </c>
      <c r="B17" s="59" t="str">
        <f>'Componente 3'!B14</f>
        <v>Sistema integrado de causas implantado</v>
      </c>
      <c r="C17" s="66">
        <f>'Componente 3'!Q25</f>
        <v>1428000</v>
      </c>
      <c r="D17" s="66">
        <f>'Componente 3'!S25</f>
        <v>182500</v>
      </c>
      <c r="E17" s="66">
        <f>SUM(C17:D17)</f>
        <v>1610500</v>
      </c>
      <c r="F17" s="57">
        <f>100*E17/$E$21</f>
        <v>59.482917820867961</v>
      </c>
      <c r="G17" s="57"/>
      <c r="H17" s="57"/>
      <c r="I17" s="38">
        <f t="shared" si="0"/>
        <v>1610500</v>
      </c>
      <c r="J17" s="38">
        <f t="shared" si="1"/>
        <v>0</v>
      </c>
    </row>
    <row r="18" spans="1:11" x14ac:dyDescent="0.15">
      <c r="A18" s="65" t="str">
        <f>'Componente 3'!A14</f>
        <v>3P2</v>
      </c>
      <c r="B18" s="59" t="str">
        <f>'Componente 3'!B28</f>
        <v>Reingeniería de los procesos vinculados al asesoramiento legal implantada</v>
      </c>
      <c r="C18" s="66">
        <f>'Componente 3'!Q35</f>
        <v>40500</v>
      </c>
      <c r="D18" s="66">
        <f>'Componente 3'!S35</f>
        <v>172000</v>
      </c>
      <c r="E18" s="66">
        <f>SUM(C18:D18)</f>
        <v>212500</v>
      </c>
      <c r="F18" s="57">
        <f>100*E18/$E$21</f>
        <v>7.8485687903970449</v>
      </c>
      <c r="G18" s="57"/>
      <c r="H18" s="57"/>
      <c r="I18" s="38">
        <f t="shared" si="0"/>
        <v>212500</v>
      </c>
      <c r="J18" s="38">
        <f t="shared" si="1"/>
        <v>0</v>
      </c>
    </row>
    <row r="19" spans="1:11" x14ac:dyDescent="0.15">
      <c r="A19" s="65" t="str">
        <f>'Componente 3'!A38</f>
        <v>3P4</v>
      </c>
      <c r="B19" s="59" t="str">
        <f>'Componente 3'!B38</f>
        <v>Sistema interno de gestión de expedientes</v>
      </c>
      <c r="C19" s="66">
        <f>'Componente 3'!Q47</f>
        <v>0</v>
      </c>
      <c r="D19" s="66">
        <f>'Componente 3'!S47</f>
        <v>238000</v>
      </c>
      <c r="E19" s="66">
        <f>SUM(C19:D19)</f>
        <v>238000</v>
      </c>
      <c r="F19" s="57">
        <f>100*E19/$E$21</f>
        <v>8.7903970452446902</v>
      </c>
      <c r="G19" s="57"/>
      <c r="H19" s="57"/>
      <c r="I19" s="38">
        <f t="shared" si="0"/>
        <v>238000</v>
      </c>
      <c r="J19" s="38">
        <f t="shared" si="1"/>
        <v>0</v>
      </c>
    </row>
    <row r="20" spans="1:11" x14ac:dyDescent="0.15">
      <c r="A20" s="65" t="str">
        <f>'Componente 3'!A50</f>
        <v>3P5</v>
      </c>
      <c r="B20" s="59" t="str">
        <f>'Componente 3'!B50</f>
        <v>Plan de Formación jurídica del personal de la DGAJ</v>
      </c>
      <c r="C20" s="66">
        <f>'Componente 3'!Q56</f>
        <v>81000</v>
      </c>
      <c r="D20" s="66">
        <f>'Componente 3'!S56</f>
        <v>329000</v>
      </c>
      <c r="E20" s="66">
        <f>SUM(C20:D20)</f>
        <v>410000</v>
      </c>
      <c r="F20" s="57">
        <f>100*E20/$E$21</f>
        <v>15.143120960295475</v>
      </c>
      <c r="G20" s="57"/>
      <c r="H20" s="57"/>
      <c r="I20" s="38">
        <f t="shared" si="0"/>
        <v>410000</v>
      </c>
      <c r="J20" s="38">
        <f t="shared" si="1"/>
        <v>0</v>
      </c>
    </row>
    <row r="21" spans="1:11" x14ac:dyDescent="0.15">
      <c r="A21" s="64"/>
      <c r="B21" s="68" t="s">
        <v>69</v>
      </c>
      <c r="C21" s="70">
        <f>SUM(C16:C20)</f>
        <v>1590000</v>
      </c>
      <c r="D21" s="70">
        <f>SUM(D16:D20)</f>
        <v>1117500</v>
      </c>
      <c r="E21" s="70">
        <f>SUM(E16:E20)</f>
        <v>2707500</v>
      </c>
      <c r="F21" s="71">
        <f>100*E21/$E$37</f>
        <v>15.041666666666666</v>
      </c>
      <c r="G21" s="58"/>
      <c r="H21" s="58"/>
      <c r="I21" s="38">
        <f t="shared" si="0"/>
        <v>2707500</v>
      </c>
      <c r="J21" s="38">
        <f t="shared" si="1"/>
        <v>0</v>
      </c>
      <c r="K21" s="38">
        <f>'Componente 3'!P11+'Componente 3'!P35+'Componente 3'!P25+'Componente 3'!P47+'Componente 3'!P56</f>
        <v>2707500</v>
      </c>
    </row>
    <row r="22" spans="1:11" x14ac:dyDescent="0.15">
      <c r="A22" s="36"/>
      <c r="B22" s="59"/>
      <c r="C22" s="36"/>
      <c r="D22" s="36"/>
      <c r="E22" s="66"/>
      <c r="F22" s="36"/>
      <c r="G22" s="36"/>
      <c r="H22" s="36"/>
      <c r="I22" s="38"/>
      <c r="J22" s="38"/>
    </row>
    <row r="23" spans="1:11" x14ac:dyDescent="0.15">
      <c r="A23" s="36"/>
      <c r="B23" s="68" t="str">
        <f>'Componente 4'!B1:T1</f>
        <v>COMPONENTE 4 : Instrumentos de coordinación y alineamiento institucional</v>
      </c>
      <c r="C23" s="69" t="s">
        <v>3</v>
      </c>
      <c r="D23" s="69" t="s">
        <v>60</v>
      </c>
      <c r="E23" s="69" t="s">
        <v>61</v>
      </c>
      <c r="F23" s="69" t="s">
        <v>15</v>
      </c>
      <c r="G23" s="56"/>
      <c r="H23" s="56"/>
      <c r="I23" s="38"/>
      <c r="J23" s="38"/>
    </row>
    <row r="24" spans="1:11" x14ac:dyDescent="0.15">
      <c r="A24" s="65" t="str">
        <f>'Componente 4'!A3</f>
        <v>4P1</v>
      </c>
      <c r="B24" s="59" t="str">
        <f>'Componente 4'!B3</f>
        <v>Proyectos de coordinación de políticas sectoriales</v>
      </c>
      <c r="C24" s="66">
        <f>'Componente 4'!Q11</f>
        <v>2111000</v>
      </c>
      <c r="D24" s="66">
        <f>'Componente 4'!S11</f>
        <v>0</v>
      </c>
      <c r="E24" s="66">
        <f>SUM(C24:D24)</f>
        <v>2111000</v>
      </c>
      <c r="F24" s="57">
        <f>100*E24/$E$27</f>
        <v>67.293592604399109</v>
      </c>
      <c r="G24" s="57"/>
      <c r="H24" s="57"/>
      <c r="I24" s="38">
        <f t="shared" si="0"/>
        <v>2111000</v>
      </c>
      <c r="J24" s="38">
        <f t="shared" si="1"/>
        <v>0</v>
      </c>
    </row>
    <row r="25" spans="1:11" x14ac:dyDescent="0.15">
      <c r="A25" s="65" t="str">
        <f>'Componente 4'!A14</f>
        <v>4P2</v>
      </c>
      <c r="B25" s="59" t="str">
        <f>'Componente 4'!B14</f>
        <v>Plan de capacitación para entidades sectoriales</v>
      </c>
      <c r="C25" s="66">
        <f>'Componente 4'!Q20</f>
        <v>569500</v>
      </c>
      <c r="D25" s="66">
        <f>'Componente 4'!S20</f>
        <v>48000</v>
      </c>
      <c r="E25" s="66">
        <f>SUM(C25:D25)</f>
        <v>617500</v>
      </c>
      <c r="F25" s="57">
        <f>100*E25/$E$27</f>
        <v>19.684411858463498</v>
      </c>
      <c r="G25" s="57"/>
      <c r="H25" s="57"/>
      <c r="I25" s="38">
        <f t="shared" si="0"/>
        <v>617500</v>
      </c>
      <c r="J25" s="38">
        <f t="shared" si="1"/>
        <v>0</v>
      </c>
    </row>
    <row r="26" spans="1:11" x14ac:dyDescent="0.15">
      <c r="A26" s="65" t="str">
        <f>'Componente 4'!A23</f>
        <v>4P3</v>
      </c>
      <c r="B26" s="59" t="str">
        <f>'Componente 4'!B23</f>
        <v>Instrumentos de gestión interna SPE</v>
      </c>
      <c r="C26" s="66">
        <f>'Componente 4'!Q28</f>
        <v>408500</v>
      </c>
      <c r="D26" s="66">
        <f>'Componente 4'!S28</f>
        <v>0</v>
      </c>
      <c r="E26" s="66">
        <f>SUM(C26:D26)</f>
        <v>408500</v>
      </c>
      <c r="F26" s="57">
        <f>100*E26/$E$27</f>
        <v>13.021995537137393</v>
      </c>
      <c r="G26" s="57"/>
      <c r="H26" s="57"/>
      <c r="I26" s="38">
        <f t="shared" si="0"/>
        <v>408500</v>
      </c>
      <c r="J26" s="38">
        <f t="shared" si="1"/>
        <v>0</v>
      </c>
    </row>
    <row r="27" spans="1:11" x14ac:dyDescent="0.15">
      <c r="A27" s="64"/>
      <c r="B27" s="68" t="s">
        <v>176</v>
      </c>
      <c r="C27" s="70">
        <f>SUM(C24:C26)</f>
        <v>3089000</v>
      </c>
      <c r="D27" s="70">
        <f>SUM(D24:D26)</f>
        <v>48000</v>
      </c>
      <c r="E27" s="70">
        <f>SUM(E24:E26)</f>
        <v>3137000</v>
      </c>
      <c r="F27" s="71">
        <f>100*E27/$E$37</f>
        <v>17.427777777777777</v>
      </c>
      <c r="G27" s="58"/>
      <c r="H27" s="58"/>
      <c r="I27" s="38">
        <f t="shared" si="0"/>
        <v>3137000</v>
      </c>
      <c r="J27" s="38">
        <f t="shared" si="1"/>
        <v>0</v>
      </c>
      <c r="K27" s="38">
        <f>'Componente 4'!P11+'Componente 4'!P20+'Componente 4'!P28</f>
        <v>3137000</v>
      </c>
    </row>
    <row r="28" spans="1:11" x14ac:dyDescent="0.15">
      <c r="A28" s="59"/>
      <c r="B28" s="59"/>
      <c r="C28" s="59"/>
      <c r="D28" s="59"/>
      <c r="E28" s="66"/>
      <c r="F28" s="59"/>
      <c r="G28" s="59"/>
      <c r="H28" s="59"/>
      <c r="I28" s="38"/>
      <c r="J28" s="38"/>
    </row>
    <row r="29" spans="1:11" x14ac:dyDescent="0.15">
      <c r="A29" s="72"/>
      <c r="B29" s="73" t="s">
        <v>203</v>
      </c>
      <c r="C29" s="74">
        <f>C27+C21+C13+C7</f>
        <v>12813600</v>
      </c>
      <c r="D29" s="74">
        <f>D27+D21+D13+D7</f>
        <v>3468900</v>
      </c>
      <c r="E29" s="74">
        <f>E27+E21+E13+E7</f>
        <v>16282500</v>
      </c>
      <c r="F29" s="71">
        <f>100*E29/$E$37</f>
        <v>90.458333333333329</v>
      </c>
      <c r="G29" s="58"/>
      <c r="H29" s="58"/>
      <c r="I29" s="38">
        <f t="shared" si="0"/>
        <v>16282500</v>
      </c>
      <c r="J29" s="38">
        <f t="shared" si="1"/>
        <v>0</v>
      </c>
      <c r="K29" s="38">
        <f>K7+K13+K21+K27</f>
        <v>16282500</v>
      </c>
    </row>
    <row r="30" spans="1:11" x14ac:dyDescent="0.15">
      <c r="A30" s="36"/>
      <c r="B30" s="59"/>
      <c r="C30" s="36"/>
      <c r="D30" s="36"/>
      <c r="E30" s="36"/>
      <c r="F30" s="36"/>
      <c r="G30" s="36"/>
      <c r="H30" s="36"/>
      <c r="I30" s="38"/>
      <c r="J30" s="38"/>
    </row>
    <row r="31" spans="1:11" x14ac:dyDescent="0.15">
      <c r="A31" s="36"/>
      <c r="B31" s="64"/>
      <c r="C31" s="56" t="s">
        <v>3</v>
      </c>
      <c r="D31" s="56" t="s">
        <v>60</v>
      </c>
      <c r="E31" s="56" t="s">
        <v>61</v>
      </c>
      <c r="F31" s="56" t="s">
        <v>15</v>
      </c>
      <c r="G31" s="56"/>
      <c r="H31" s="56"/>
      <c r="I31" s="38"/>
      <c r="J31" s="38"/>
    </row>
    <row r="32" spans="1:11" x14ac:dyDescent="0.15">
      <c r="A32" s="65"/>
      <c r="B32" s="59" t="s">
        <v>229</v>
      </c>
      <c r="C32" s="66"/>
      <c r="D32" s="66">
        <f>'UE y M&amp;Eval'!E8</f>
        <v>1176000</v>
      </c>
      <c r="E32" s="66">
        <f>SUM(C32:D32)</f>
        <v>1176000</v>
      </c>
      <c r="F32" s="54">
        <f>100*E32/$E$37</f>
        <v>6.5333333333333332</v>
      </c>
      <c r="G32" s="54"/>
      <c r="H32" s="54"/>
      <c r="I32" s="38">
        <f t="shared" si="0"/>
        <v>1176000</v>
      </c>
      <c r="J32" s="38">
        <f t="shared" si="1"/>
        <v>0</v>
      </c>
      <c r="K32" s="38">
        <f>E32</f>
        <v>1176000</v>
      </c>
    </row>
    <row r="33" spans="1:11" x14ac:dyDescent="0.15">
      <c r="A33" s="65"/>
      <c r="B33" s="59" t="s">
        <v>177</v>
      </c>
      <c r="C33" s="66">
        <f>'UE y M&amp;Eval'!F17</f>
        <v>186400</v>
      </c>
      <c r="D33" s="66"/>
      <c r="E33" s="66">
        <f>SUM(C33:D33)</f>
        <v>186400</v>
      </c>
      <c r="F33" s="54">
        <f>100*E33/$E$37</f>
        <v>1.0355555555555556</v>
      </c>
      <c r="G33" s="54"/>
      <c r="H33" s="54"/>
      <c r="I33" s="38">
        <f t="shared" si="0"/>
        <v>186400</v>
      </c>
      <c r="J33" s="38">
        <f t="shared" si="1"/>
        <v>0</v>
      </c>
      <c r="K33" s="38">
        <f>E33</f>
        <v>186400</v>
      </c>
    </row>
    <row r="34" spans="1:11" x14ac:dyDescent="0.15">
      <c r="A34" s="65"/>
      <c r="B34" s="59" t="s">
        <v>265</v>
      </c>
      <c r="C34" s="66"/>
      <c r="D34" s="66">
        <f>'UE y M&amp;Eval'!F20</f>
        <v>30000</v>
      </c>
      <c r="E34" s="66">
        <f>SUM(C34:D34)</f>
        <v>30000</v>
      </c>
      <c r="F34" s="54">
        <f>100*E34/$E$37</f>
        <v>0.16666666666666666</v>
      </c>
      <c r="G34" s="54"/>
      <c r="H34" s="54"/>
      <c r="I34" s="38"/>
      <c r="J34" s="38"/>
      <c r="K34" s="38"/>
    </row>
    <row r="35" spans="1:11" x14ac:dyDescent="0.15">
      <c r="A35" s="65"/>
      <c r="B35" s="59" t="s">
        <v>233</v>
      </c>
      <c r="C35" s="66"/>
      <c r="D35" s="66">
        <f>355100-30000</f>
        <v>325100</v>
      </c>
      <c r="E35" s="66">
        <f>SUM(C35:D35)</f>
        <v>325100</v>
      </c>
      <c r="F35" s="54">
        <f>100*E35/$E$37</f>
        <v>1.806111111111111</v>
      </c>
      <c r="G35" s="54"/>
      <c r="H35" s="54"/>
      <c r="I35" s="38">
        <f t="shared" si="0"/>
        <v>325100</v>
      </c>
      <c r="J35" s="38">
        <f t="shared" si="1"/>
        <v>0</v>
      </c>
      <c r="K35" s="38" t="e">
        <f>K37-#REF!</f>
        <v>#REF!</v>
      </c>
    </row>
    <row r="36" spans="1:11" x14ac:dyDescent="0.15">
      <c r="A36" s="36"/>
      <c r="B36" s="36"/>
      <c r="C36" s="36"/>
      <c r="D36" s="36"/>
      <c r="E36" s="36"/>
      <c r="F36" s="36"/>
      <c r="G36" s="36"/>
      <c r="H36" s="36"/>
      <c r="I36" s="38"/>
      <c r="J36" s="38"/>
    </row>
    <row r="37" spans="1:11" x14ac:dyDescent="0.15">
      <c r="A37" s="67"/>
      <c r="B37" s="67" t="s">
        <v>70</v>
      </c>
      <c r="C37" s="75">
        <f>C7+C13+C21+C27+C32+C33+C35</f>
        <v>13000000</v>
      </c>
      <c r="D37" s="75">
        <f>D7+D13+D21+D27+D32+D33+D34+D35</f>
        <v>5000000</v>
      </c>
      <c r="E37" s="75">
        <f>E7+E13+E21+E27+E32+E33+E34+E35</f>
        <v>18000000</v>
      </c>
      <c r="F37" s="76">
        <f>100*E37/$E$37</f>
        <v>100</v>
      </c>
      <c r="G37" s="58"/>
      <c r="H37" s="58"/>
      <c r="I37" s="38">
        <f t="shared" si="0"/>
        <v>18000000</v>
      </c>
      <c r="J37" s="38">
        <f t="shared" si="1"/>
        <v>0</v>
      </c>
      <c r="K37" s="38">
        <v>18000000</v>
      </c>
    </row>
    <row r="38" spans="1:11" x14ac:dyDescent="0.15">
      <c r="G38" s="36"/>
      <c r="H38" s="36"/>
    </row>
    <row r="39" spans="1:11" x14ac:dyDescent="0.15">
      <c r="C39" s="40">
        <f>100*C37/$E$37</f>
        <v>72.222222222222229</v>
      </c>
      <c r="D39" s="40">
        <f>100*D37/$E$37</f>
        <v>27.777777777777779</v>
      </c>
      <c r="E39" s="40">
        <f>100*E37/$E$37</f>
        <v>100</v>
      </c>
      <c r="G39" s="36"/>
      <c r="H39" s="36"/>
    </row>
    <row r="40" spans="1:11" x14ac:dyDescent="0.15">
      <c r="C40" s="40"/>
      <c r="D40" s="40"/>
      <c r="E40" s="40"/>
      <c r="G40" s="36"/>
      <c r="H40" s="36"/>
    </row>
    <row r="41" spans="1:11" x14ac:dyDescent="0.15">
      <c r="C41" s="40"/>
      <c r="D41" s="40"/>
      <c r="E41" s="40"/>
      <c r="G41" s="36"/>
      <c r="H41" s="36"/>
    </row>
    <row r="42" spans="1:11" x14ac:dyDescent="0.15">
      <c r="C42" s="40"/>
      <c r="D42" s="40"/>
      <c r="E42" s="40"/>
      <c r="G42" s="36"/>
      <c r="H42" s="36"/>
    </row>
    <row r="43" spans="1:11" x14ac:dyDescent="0.15">
      <c r="C43" s="38">
        <f>C37+D37</f>
        <v>18000000</v>
      </c>
      <c r="D43" s="38">
        <f>5000000-(D7+D13+D21+D27+D32)</f>
        <v>355100</v>
      </c>
      <c r="E43" s="38">
        <f>E45-E37</f>
        <v>0</v>
      </c>
      <c r="K43" s="38">
        <f>5000000-D37</f>
        <v>0</v>
      </c>
    </row>
    <row r="44" spans="1:11" x14ac:dyDescent="0.15">
      <c r="E44" s="38">
        <f>C37+D37</f>
        <v>18000000</v>
      </c>
      <c r="H44" s="66">
        <f>18000000*0.065</f>
        <v>1170000</v>
      </c>
    </row>
    <row r="45" spans="1:11" x14ac:dyDescent="0.15">
      <c r="D45" s="38">
        <f>5000000-D37</f>
        <v>0</v>
      </c>
      <c r="E45" s="38">
        <v>18000000</v>
      </c>
      <c r="F45" s="38">
        <f>E7+E13+E21+E27+E32+E33</f>
        <v>17644900</v>
      </c>
      <c r="G45" s="38"/>
      <c r="H45" s="38">
        <f>H44-E32</f>
        <v>-6000</v>
      </c>
    </row>
    <row r="46" spans="1:11" x14ac:dyDescent="0.15">
      <c r="C46" s="38"/>
      <c r="F46" s="38"/>
      <c r="G46" s="38"/>
      <c r="H46" s="38"/>
    </row>
    <row r="49" spans="3:3" x14ac:dyDescent="0.15">
      <c r="C49" s="38">
        <f>E32+'Componente 1'!D59</f>
        <v>1824000</v>
      </c>
    </row>
  </sheetData>
  <phoneticPr fontId="4" type="noConversion"/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F21" sqref="F21"/>
    </sheetView>
  </sheetViews>
  <sheetFormatPr defaultColWidth="11" defaultRowHeight="11.25" x14ac:dyDescent="0.15"/>
  <cols>
    <col min="1" max="1" width="30.625" customWidth="1"/>
    <col min="2" max="2" width="12.375" bestFit="1" customWidth="1"/>
    <col min="3" max="3" width="12.625" customWidth="1"/>
  </cols>
  <sheetData>
    <row r="1" spans="1:7" x14ac:dyDescent="0.15">
      <c r="A1" s="45" t="s">
        <v>169</v>
      </c>
      <c r="B1" t="s">
        <v>175</v>
      </c>
      <c r="C1" t="s">
        <v>190</v>
      </c>
      <c r="D1" t="s">
        <v>20</v>
      </c>
      <c r="E1" t="s">
        <v>61</v>
      </c>
    </row>
    <row r="2" spans="1:7" x14ac:dyDescent="0.15">
      <c r="A2" t="s">
        <v>167</v>
      </c>
      <c r="B2">
        <v>1</v>
      </c>
      <c r="C2">
        <v>48</v>
      </c>
      <c r="D2" s="28">
        <v>3500</v>
      </c>
      <c r="E2" s="28">
        <f>B2*C2*D2</f>
        <v>168000</v>
      </c>
    </row>
    <row r="3" spans="1:7" x14ac:dyDescent="0.15">
      <c r="A3" t="s">
        <v>198</v>
      </c>
      <c r="B3">
        <v>1</v>
      </c>
      <c r="C3">
        <f>C2</f>
        <v>48</v>
      </c>
      <c r="D3" s="28">
        <v>2500</v>
      </c>
      <c r="E3" s="28">
        <f>B3*C3*D3</f>
        <v>120000</v>
      </c>
    </row>
    <row r="4" spans="1:7" x14ac:dyDescent="0.15">
      <c r="A4" t="s">
        <v>199</v>
      </c>
      <c r="B4">
        <v>1</v>
      </c>
      <c r="C4">
        <f>C3</f>
        <v>48</v>
      </c>
      <c r="D4" s="28">
        <v>2500</v>
      </c>
      <c r="E4" s="28">
        <f>B4*C4*D4</f>
        <v>120000</v>
      </c>
    </row>
    <row r="5" spans="1:7" x14ac:dyDescent="0.15">
      <c r="A5" t="s">
        <v>231</v>
      </c>
      <c r="B5">
        <v>1</v>
      </c>
      <c r="C5">
        <f>C4</f>
        <v>48</v>
      </c>
      <c r="D5" s="28">
        <v>2500</v>
      </c>
      <c r="E5" s="28">
        <f>B5*C5*D5</f>
        <v>120000</v>
      </c>
    </row>
    <row r="6" spans="1:7" x14ac:dyDescent="0.15">
      <c r="A6" t="s">
        <v>232</v>
      </c>
      <c r="B6">
        <v>4</v>
      </c>
      <c r="C6">
        <f>C4</f>
        <v>48</v>
      </c>
      <c r="D6" s="28">
        <v>2500</v>
      </c>
      <c r="E6" s="28">
        <f>B6*C6*D6</f>
        <v>480000</v>
      </c>
    </row>
    <row r="7" spans="1:7" x14ac:dyDescent="0.15">
      <c r="A7" t="s">
        <v>168</v>
      </c>
      <c r="C7">
        <v>48</v>
      </c>
      <c r="D7" s="28">
        <v>3500</v>
      </c>
      <c r="E7" s="28">
        <f>C7*D7</f>
        <v>168000</v>
      </c>
      <c r="G7" s="28">
        <f>'Por productos'!H44</f>
        <v>1170000</v>
      </c>
    </row>
    <row r="8" spans="1:7" x14ac:dyDescent="0.15">
      <c r="A8" s="45" t="s">
        <v>23</v>
      </c>
      <c r="B8" s="45">
        <f>SUM(B2:B6)</f>
        <v>8</v>
      </c>
      <c r="E8" s="29">
        <f>SUM(E2:E7)</f>
        <v>1176000</v>
      </c>
      <c r="G8" s="28">
        <f>G7-E8</f>
        <v>-6000</v>
      </c>
    </row>
    <row r="11" spans="1:7" x14ac:dyDescent="0.15">
      <c r="A11" s="45" t="s">
        <v>170</v>
      </c>
      <c r="B11" s="55" t="s">
        <v>172</v>
      </c>
      <c r="C11" s="55" t="s">
        <v>175</v>
      </c>
      <c r="D11" s="55" t="s">
        <v>13</v>
      </c>
      <c r="E11" s="55" t="s">
        <v>20</v>
      </c>
      <c r="F11" s="55" t="s">
        <v>61</v>
      </c>
    </row>
    <row r="12" spans="1:7" x14ac:dyDescent="0.15">
      <c r="A12" t="s">
        <v>171</v>
      </c>
      <c r="B12">
        <v>3</v>
      </c>
      <c r="C12">
        <v>2</v>
      </c>
      <c r="D12">
        <v>10</v>
      </c>
      <c r="E12">
        <v>200</v>
      </c>
      <c r="F12" s="28">
        <f>B12*C12*D12*E12</f>
        <v>12000</v>
      </c>
    </row>
    <row r="13" spans="1:7" x14ac:dyDescent="0.15">
      <c r="A13" t="s">
        <v>174</v>
      </c>
      <c r="B13">
        <v>3</v>
      </c>
      <c r="C13">
        <v>1</v>
      </c>
      <c r="D13">
        <v>10</v>
      </c>
      <c r="E13">
        <v>200</v>
      </c>
      <c r="F13" s="28">
        <f>B13*C13*D13*E13</f>
        <v>6000</v>
      </c>
    </row>
    <row r="14" spans="1:7" x14ac:dyDescent="0.15">
      <c r="A14" t="s">
        <v>237</v>
      </c>
      <c r="B14">
        <v>10</v>
      </c>
      <c r="C14">
        <v>1</v>
      </c>
      <c r="D14">
        <v>10</v>
      </c>
      <c r="E14">
        <v>200</v>
      </c>
      <c r="F14" s="28">
        <f>B14*C14*D14*E14</f>
        <v>20000</v>
      </c>
      <c r="G14" s="28">
        <f>SUM(F12:F14)</f>
        <v>38000</v>
      </c>
    </row>
    <row r="15" spans="1:7" x14ac:dyDescent="0.15">
      <c r="A15" t="s">
        <v>197</v>
      </c>
      <c r="B15">
        <v>1</v>
      </c>
      <c r="C15">
        <v>3</v>
      </c>
      <c r="D15">
        <v>45</v>
      </c>
      <c r="E15">
        <v>350</v>
      </c>
      <c r="F15" s="28">
        <f>B15*C15*D15*E15</f>
        <v>47250</v>
      </c>
    </row>
    <row r="16" spans="1:7" x14ac:dyDescent="0.15">
      <c r="A16" t="s">
        <v>173</v>
      </c>
      <c r="B16">
        <v>1</v>
      </c>
      <c r="C16">
        <v>3</v>
      </c>
      <c r="D16">
        <v>90</v>
      </c>
      <c r="E16">
        <v>350</v>
      </c>
      <c r="F16" s="28">
        <f>B16*C16*D16*E16-350+7000</f>
        <v>101150</v>
      </c>
      <c r="G16" s="28">
        <f>SUM(F14:F16)</f>
        <v>168400</v>
      </c>
    </row>
    <row r="17" spans="1:8" x14ac:dyDescent="0.15">
      <c r="A17" s="45" t="s">
        <v>23</v>
      </c>
      <c r="B17" s="45"/>
      <c r="C17" s="45"/>
      <c r="D17" s="45"/>
      <c r="E17" s="45"/>
      <c r="F17" s="29">
        <f>SUM(F12:F16)</f>
        <v>186400</v>
      </c>
      <c r="H17">
        <v>116400</v>
      </c>
    </row>
    <row r="18" spans="1:8" x14ac:dyDescent="0.15">
      <c r="C18">
        <f>SUM(C12:C17)</f>
        <v>10</v>
      </c>
      <c r="H18" s="28">
        <f>F17-H17</f>
        <v>70000</v>
      </c>
    </row>
    <row r="20" spans="1:8" x14ac:dyDescent="0.15">
      <c r="A20" t="s">
        <v>265</v>
      </c>
      <c r="B20">
        <v>1</v>
      </c>
      <c r="F20" s="28">
        <v>30000</v>
      </c>
      <c r="H20">
        <v>50000</v>
      </c>
    </row>
    <row r="21" spans="1:8" x14ac:dyDescent="0.15">
      <c r="H21" s="28">
        <f>H18-H20</f>
        <v>20000</v>
      </c>
    </row>
  </sheetData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1.25" x14ac:dyDescent="0.15"/>
  <sheetData/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1.25" x14ac:dyDescent="0.15"/>
  <sheetData/>
  <phoneticPr fontId="4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1.25" x14ac:dyDescent="0.15"/>
  <sheetData/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topLeftCell="B10" zoomScale="80" zoomScaleNormal="80" workbookViewId="0">
      <selection activeCell="O46" sqref="O46:P46"/>
    </sheetView>
  </sheetViews>
  <sheetFormatPr defaultColWidth="11" defaultRowHeight="10.5" x14ac:dyDescent="0.15"/>
  <cols>
    <col min="1" max="1" width="10.25" style="1" customWidth="1"/>
    <col min="2" max="2" width="44.75" style="1" customWidth="1"/>
    <col min="3" max="3" width="11.25" style="1" customWidth="1"/>
    <col min="4" max="4" width="9.625" style="1" customWidth="1"/>
    <col min="5" max="5" width="8.875" style="1" customWidth="1"/>
    <col min="6" max="6" width="6.75" style="1" customWidth="1"/>
    <col min="7" max="7" width="10.125" style="1" customWidth="1"/>
    <col min="8" max="8" width="6.375" style="1" customWidth="1"/>
    <col min="9" max="9" width="7.625" style="1" customWidth="1"/>
    <col min="10" max="16" width="11" style="1" customWidth="1"/>
    <col min="17" max="16384" width="11" style="1"/>
  </cols>
  <sheetData>
    <row r="1" spans="1:26" x14ac:dyDescent="0.15">
      <c r="A1" s="10"/>
      <c r="B1" s="91" t="s">
        <v>73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3" spans="1:26" x14ac:dyDescent="0.15">
      <c r="U3" s="89">
        <v>2011</v>
      </c>
      <c r="V3" s="89"/>
      <c r="W3" s="90">
        <v>2012</v>
      </c>
      <c r="X3" s="90"/>
      <c r="Y3" s="89">
        <v>2013</v>
      </c>
      <c r="Z3" s="89"/>
    </row>
    <row r="4" spans="1:26" x14ac:dyDescent="0.15">
      <c r="A4" s="3" t="s">
        <v>1</v>
      </c>
      <c r="B4" s="4" t="s">
        <v>74</v>
      </c>
      <c r="C4" s="89" t="s">
        <v>22</v>
      </c>
      <c r="D4" s="89"/>
      <c r="E4" s="90" t="s">
        <v>12</v>
      </c>
      <c r="F4" s="90"/>
      <c r="G4" s="92" t="s">
        <v>16</v>
      </c>
      <c r="H4" s="92"/>
      <c r="I4" s="92"/>
      <c r="J4" s="89" t="s">
        <v>21</v>
      </c>
      <c r="K4" s="89"/>
      <c r="L4" s="89"/>
      <c r="M4" s="90" t="s">
        <v>31</v>
      </c>
      <c r="N4" s="90"/>
      <c r="O4" s="89" t="s">
        <v>230</v>
      </c>
      <c r="P4" s="5" t="s">
        <v>23</v>
      </c>
      <c r="Q4" s="89" t="s">
        <v>3</v>
      </c>
      <c r="R4" s="89"/>
      <c r="S4" s="89" t="s">
        <v>4</v>
      </c>
      <c r="T4" s="89"/>
      <c r="U4" s="5" t="s">
        <v>3</v>
      </c>
      <c r="V4" s="5" t="s">
        <v>4</v>
      </c>
      <c r="W4" s="5" t="s">
        <v>3</v>
      </c>
      <c r="X4" s="5" t="s">
        <v>4</v>
      </c>
      <c r="Y4" s="5" t="s">
        <v>3</v>
      </c>
      <c r="Z4" s="5" t="s">
        <v>4</v>
      </c>
    </row>
    <row r="5" spans="1:26" x14ac:dyDescent="0.15">
      <c r="A5" s="6" t="s">
        <v>5</v>
      </c>
      <c r="B5" s="7" t="s">
        <v>6</v>
      </c>
      <c r="C5" s="6" t="s">
        <v>0</v>
      </c>
      <c r="D5" s="6" t="s">
        <v>2</v>
      </c>
      <c r="E5" s="6" t="s">
        <v>13</v>
      </c>
      <c r="F5" s="6" t="s">
        <v>15</v>
      </c>
      <c r="G5" s="6" t="s">
        <v>19</v>
      </c>
      <c r="H5" s="9" t="s">
        <v>20</v>
      </c>
      <c r="I5" s="6" t="s">
        <v>35</v>
      </c>
      <c r="J5" s="8" t="s">
        <v>17</v>
      </c>
      <c r="K5" s="6" t="s">
        <v>18</v>
      </c>
      <c r="L5" s="6" t="s">
        <v>24</v>
      </c>
      <c r="M5" s="6" t="s">
        <v>32</v>
      </c>
      <c r="N5" s="6" t="s">
        <v>33</v>
      </c>
      <c r="O5" s="89"/>
      <c r="P5" s="8" t="s">
        <v>7</v>
      </c>
      <c r="Q5" s="6" t="s">
        <v>7</v>
      </c>
      <c r="R5" s="8" t="s">
        <v>15</v>
      </c>
      <c r="S5" s="8" t="s">
        <v>7</v>
      </c>
      <c r="T5" s="8" t="s">
        <v>8</v>
      </c>
      <c r="U5" s="6" t="s">
        <v>7</v>
      </c>
      <c r="V5" s="8" t="s">
        <v>7</v>
      </c>
      <c r="W5" s="6" t="s">
        <v>7</v>
      </c>
      <c r="X5" s="8" t="s">
        <v>7</v>
      </c>
      <c r="Y5" s="6" t="s">
        <v>7</v>
      </c>
      <c r="Z5" s="8" t="s">
        <v>7</v>
      </c>
    </row>
    <row r="6" spans="1:26" s="2" customFormat="1" x14ac:dyDescent="0.15">
      <c r="A6" s="17" t="s">
        <v>9</v>
      </c>
      <c r="B6" s="2" t="s">
        <v>258</v>
      </c>
      <c r="C6" s="83">
        <v>41091</v>
      </c>
      <c r="D6" s="83">
        <v>42582</v>
      </c>
      <c r="E6" s="2">
        <v>810</v>
      </c>
      <c r="F6" s="2">
        <v>0.2</v>
      </c>
      <c r="G6" s="11" t="s">
        <v>49</v>
      </c>
      <c r="H6" s="2">
        <v>200</v>
      </c>
      <c r="I6" s="84">
        <f>E6*F6*H6</f>
        <v>32400</v>
      </c>
      <c r="J6" s="84"/>
      <c r="K6" s="84"/>
      <c r="L6" s="84"/>
      <c r="M6" s="84"/>
      <c r="N6" s="84"/>
      <c r="O6" s="84"/>
      <c r="P6" s="84">
        <f>I6+L6+M6+N6+O6</f>
        <v>32400</v>
      </c>
      <c r="Q6" s="84">
        <f>$P6*R6</f>
        <v>32400</v>
      </c>
      <c r="R6" s="20">
        <f>100%-T6</f>
        <v>1</v>
      </c>
      <c r="S6" s="84">
        <f>$P6*T6</f>
        <v>0</v>
      </c>
      <c r="T6" s="20">
        <v>0</v>
      </c>
    </row>
    <row r="7" spans="1:26" x14ac:dyDescent="0.15">
      <c r="A7" s="17" t="s">
        <v>10</v>
      </c>
      <c r="B7" s="2" t="s">
        <v>75</v>
      </c>
      <c r="C7" s="18">
        <v>41091</v>
      </c>
      <c r="D7" s="21">
        <v>41182</v>
      </c>
      <c r="E7" s="2">
        <v>60</v>
      </c>
      <c r="F7" s="2">
        <v>1</v>
      </c>
      <c r="G7" s="11" t="s">
        <v>49</v>
      </c>
      <c r="H7" s="2">
        <v>200</v>
      </c>
      <c r="I7" s="15">
        <f>E7*F7*H7</f>
        <v>12000</v>
      </c>
      <c r="J7" s="15"/>
      <c r="K7" s="15"/>
      <c r="L7" s="15">
        <f>J7+K7</f>
        <v>0</v>
      </c>
      <c r="M7" s="15"/>
      <c r="N7" s="15"/>
      <c r="O7" s="15"/>
      <c r="P7" s="15">
        <f>I7+L7+M7+N7+O7</f>
        <v>12000</v>
      </c>
      <c r="Q7" s="15">
        <f>$P7*R7</f>
        <v>0</v>
      </c>
      <c r="R7" s="20">
        <f>100%-T7</f>
        <v>0</v>
      </c>
      <c r="S7" s="15">
        <f>$P7*T7</f>
        <v>12000</v>
      </c>
      <c r="T7" s="20">
        <v>1</v>
      </c>
      <c r="U7" s="2"/>
      <c r="V7" s="2"/>
      <c r="W7" s="2"/>
      <c r="X7" s="2"/>
      <c r="Y7" s="2"/>
      <c r="Z7" s="2"/>
    </row>
    <row r="8" spans="1:26" x14ac:dyDescent="0.15">
      <c r="A8" s="17" t="s">
        <v>11</v>
      </c>
      <c r="B8" s="2" t="s">
        <v>76</v>
      </c>
      <c r="C8" s="18">
        <f>D7</f>
        <v>41182</v>
      </c>
      <c r="D8" s="18">
        <f>C8+E8</f>
        <v>41242</v>
      </c>
      <c r="E8" s="2">
        <v>60</v>
      </c>
      <c r="F8" s="2">
        <v>1</v>
      </c>
      <c r="G8" s="11" t="s">
        <v>49</v>
      </c>
      <c r="H8" s="2">
        <f>H7</f>
        <v>200</v>
      </c>
      <c r="I8" s="15">
        <f>E8*F8*H8</f>
        <v>12000</v>
      </c>
      <c r="J8" s="15"/>
      <c r="K8" s="15"/>
      <c r="L8" s="15">
        <f>J8+K8</f>
        <v>0</v>
      </c>
      <c r="M8" s="15"/>
      <c r="N8" s="15"/>
      <c r="O8" s="15"/>
      <c r="P8" s="15">
        <f>I8+L8+M8+N8+O8</f>
        <v>12000</v>
      </c>
      <c r="Q8" s="15">
        <f>$P8*R8</f>
        <v>0</v>
      </c>
      <c r="R8" s="20">
        <f>100%-T8</f>
        <v>0</v>
      </c>
      <c r="S8" s="15">
        <f>$P8*T8</f>
        <v>12000</v>
      </c>
      <c r="T8" s="20">
        <v>1</v>
      </c>
      <c r="U8" s="2"/>
      <c r="V8" s="2"/>
      <c r="W8" s="2"/>
      <c r="X8" s="2"/>
      <c r="Y8" s="2"/>
      <c r="Z8" s="2"/>
    </row>
    <row r="9" spans="1:26" x14ac:dyDescent="0.15">
      <c r="A9" s="12"/>
      <c r="B9" s="13" t="s">
        <v>23</v>
      </c>
      <c r="C9" s="14"/>
      <c r="D9" s="14"/>
      <c r="E9" s="14"/>
      <c r="F9" s="14"/>
      <c r="G9" s="14"/>
      <c r="H9" s="14"/>
      <c r="I9" s="16">
        <f>SUM(I6:I8)</f>
        <v>56400</v>
      </c>
      <c r="J9" s="14"/>
      <c r="K9" s="14"/>
      <c r="L9" s="14"/>
      <c r="M9" s="14"/>
      <c r="N9" s="14"/>
      <c r="O9" s="14"/>
      <c r="P9" s="16">
        <f>SUM(P6:P8)</f>
        <v>56400</v>
      </c>
      <c r="Q9" s="16">
        <f>SUM(Q6:Q8)</f>
        <v>32400</v>
      </c>
      <c r="R9" s="14"/>
      <c r="S9" s="16">
        <f>SUM(S6:S8)</f>
        <v>24000</v>
      </c>
      <c r="T9" s="14"/>
      <c r="U9" s="14"/>
      <c r="V9" s="14"/>
      <c r="W9" s="14"/>
      <c r="X9" s="14"/>
      <c r="Y9" s="14"/>
      <c r="Z9" s="14"/>
    </row>
    <row r="11" spans="1:26" x14ac:dyDescent="0.15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89">
        <v>2011</v>
      </c>
      <c r="V11" s="89"/>
      <c r="W11" s="90">
        <v>2012</v>
      </c>
      <c r="X11" s="90"/>
      <c r="Y11" s="89">
        <v>2013</v>
      </c>
      <c r="Z11" s="89"/>
    </row>
    <row r="12" spans="1:26" ht="10.5" customHeight="1" x14ac:dyDescent="0.15">
      <c r="A12" s="3" t="s">
        <v>25</v>
      </c>
      <c r="B12" s="4" t="s">
        <v>77</v>
      </c>
      <c r="C12" s="89" t="s">
        <v>22</v>
      </c>
      <c r="D12" s="89"/>
      <c r="E12" s="90" t="s">
        <v>12</v>
      </c>
      <c r="F12" s="90"/>
      <c r="G12" s="92" t="s">
        <v>16</v>
      </c>
      <c r="H12" s="92"/>
      <c r="I12" s="92"/>
      <c r="J12" s="89" t="s">
        <v>21</v>
      </c>
      <c r="K12" s="89"/>
      <c r="L12" s="89"/>
      <c r="M12" s="90" t="s">
        <v>31</v>
      </c>
      <c r="N12" s="90"/>
      <c r="O12" s="89" t="s">
        <v>230</v>
      </c>
      <c r="P12" s="5" t="s">
        <v>23</v>
      </c>
      <c r="Q12" s="89" t="s">
        <v>3</v>
      </c>
      <c r="R12" s="89"/>
      <c r="S12" s="89" t="s">
        <v>4</v>
      </c>
      <c r="T12" s="89"/>
      <c r="U12" s="5" t="s">
        <v>3</v>
      </c>
      <c r="V12" s="5" t="s">
        <v>4</v>
      </c>
      <c r="W12" s="5" t="s">
        <v>3</v>
      </c>
      <c r="X12" s="5" t="s">
        <v>4</v>
      </c>
      <c r="Y12" s="5" t="s">
        <v>3</v>
      </c>
      <c r="Z12" s="5" t="s">
        <v>4</v>
      </c>
    </row>
    <row r="13" spans="1:26" x14ac:dyDescent="0.15">
      <c r="A13" s="6" t="s">
        <v>5</v>
      </c>
      <c r="B13" s="7" t="s">
        <v>6</v>
      </c>
      <c r="C13" s="6" t="s">
        <v>0</v>
      </c>
      <c r="D13" s="6" t="s">
        <v>2</v>
      </c>
      <c r="E13" s="6" t="s">
        <v>13</v>
      </c>
      <c r="F13" s="6" t="s">
        <v>62</v>
      </c>
      <c r="G13" s="6" t="s">
        <v>19</v>
      </c>
      <c r="H13" s="9" t="s">
        <v>20</v>
      </c>
      <c r="I13" s="6" t="s">
        <v>35</v>
      </c>
      <c r="J13" s="8" t="s">
        <v>17</v>
      </c>
      <c r="K13" s="6" t="s">
        <v>18</v>
      </c>
      <c r="L13" s="6" t="s">
        <v>24</v>
      </c>
      <c r="M13" s="6" t="s">
        <v>32</v>
      </c>
      <c r="N13" s="6" t="s">
        <v>33</v>
      </c>
      <c r="O13" s="89"/>
      <c r="P13" s="8" t="s">
        <v>7</v>
      </c>
      <c r="Q13" s="6" t="s">
        <v>7</v>
      </c>
      <c r="R13" s="8" t="s">
        <v>15</v>
      </c>
      <c r="S13" s="8" t="s">
        <v>7</v>
      </c>
      <c r="T13" s="8" t="s">
        <v>8</v>
      </c>
      <c r="U13" s="6" t="s">
        <v>7</v>
      </c>
      <c r="V13" s="8" t="s">
        <v>7</v>
      </c>
      <c r="W13" s="6" t="s">
        <v>7</v>
      </c>
      <c r="X13" s="8" t="s">
        <v>7</v>
      </c>
      <c r="Y13" s="6" t="s">
        <v>7</v>
      </c>
      <c r="Z13" s="8" t="s">
        <v>7</v>
      </c>
    </row>
    <row r="14" spans="1:26" s="2" customFormat="1" x14ac:dyDescent="0.15">
      <c r="A14" s="17" t="s">
        <v>26</v>
      </c>
      <c r="B14" s="2" t="s">
        <v>258</v>
      </c>
      <c r="C14" s="83">
        <v>41091</v>
      </c>
      <c r="D14" s="83">
        <v>42582</v>
      </c>
      <c r="E14" s="2">
        <v>810</v>
      </c>
      <c r="F14" s="2">
        <v>0.2</v>
      </c>
      <c r="G14" s="11" t="s">
        <v>49</v>
      </c>
      <c r="H14" s="2">
        <v>200</v>
      </c>
      <c r="I14" s="84">
        <f>E14*F14*H14</f>
        <v>32400</v>
      </c>
      <c r="J14" s="84"/>
      <c r="K14" s="84"/>
      <c r="L14" s="84"/>
      <c r="M14" s="84"/>
      <c r="N14" s="84"/>
      <c r="O14" s="84"/>
      <c r="P14" s="84">
        <f>I14+L14+M14+N14+O14</f>
        <v>32400</v>
      </c>
      <c r="Q14" s="84">
        <f>$P14*R14</f>
        <v>32400</v>
      </c>
      <c r="R14" s="20">
        <f>100%-T14</f>
        <v>1</v>
      </c>
      <c r="S14" s="84">
        <f>$P14*T14</f>
        <v>0</v>
      </c>
      <c r="T14" s="20">
        <v>0</v>
      </c>
    </row>
    <row r="15" spans="1:26" x14ac:dyDescent="0.15">
      <c r="A15" s="17" t="s">
        <v>27</v>
      </c>
      <c r="B15" s="2" t="s">
        <v>78</v>
      </c>
      <c r="C15" s="18">
        <v>41091</v>
      </c>
      <c r="D15" s="18">
        <v>41182</v>
      </c>
      <c r="E15" s="2">
        <v>60</v>
      </c>
      <c r="F15" s="2">
        <v>2</v>
      </c>
      <c r="G15" s="11" t="s">
        <v>49</v>
      </c>
      <c r="H15" s="2">
        <f>H7</f>
        <v>200</v>
      </c>
      <c r="I15" s="15">
        <f>E15*F15*H15</f>
        <v>24000</v>
      </c>
      <c r="J15" s="15"/>
      <c r="K15" s="15"/>
      <c r="L15" s="15">
        <f>J15+K15</f>
        <v>0</v>
      </c>
      <c r="M15" s="15"/>
      <c r="N15" s="15"/>
      <c r="O15" s="15"/>
      <c r="P15" s="15">
        <f>I15+L15+M15+N15+O15</f>
        <v>24000</v>
      </c>
      <c r="Q15" s="15">
        <f>$P15*R15</f>
        <v>0</v>
      </c>
      <c r="R15" s="20">
        <f>100%-T15</f>
        <v>0</v>
      </c>
      <c r="S15" s="15">
        <f>$P15*T15</f>
        <v>24000</v>
      </c>
      <c r="T15" s="20">
        <v>1</v>
      </c>
      <c r="U15" s="2"/>
      <c r="V15" s="2"/>
      <c r="W15" s="2"/>
      <c r="X15" s="2"/>
      <c r="Y15" s="2"/>
      <c r="Z15" s="2"/>
    </row>
    <row r="16" spans="1:26" x14ac:dyDescent="0.15">
      <c r="A16" s="17" t="s">
        <v>28</v>
      </c>
      <c r="B16" s="2" t="s">
        <v>179</v>
      </c>
      <c r="C16" s="18">
        <v>41183</v>
      </c>
      <c r="D16" s="18">
        <v>41274</v>
      </c>
      <c r="E16" s="2">
        <v>60</v>
      </c>
      <c r="F16" s="2">
        <v>2</v>
      </c>
      <c r="G16" s="11" t="s">
        <v>49</v>
      </c>
      <c r="H16" s="2">
        <f>H15</f>
        <v>200</v>
      </c>
      <c r="I16" s="15">
        <f>E16*F16*H16</f>
        <v>24000</v>
      </c>
      <c r="J16" s="15"/>
      <c r="K16" s="15"/>
      <c r="L16" s="15"/>
      <c r="M16" s="15"/>
      <c r="N16" s="15"/>
      <c r="O16" s="15"/>
      <c r="P16" s="15">
        <f>I16+L16+M16+N16+O16</f>
        <v>24000</v>
      </c>
      <c r="Q16" s="15">
        <f>$P16*R16</f>
        <v>0</v>
      </c>
      <c r="R16" s="20">
        <f>100%-T16</f>
        <v>0</v>
      </c>
      <c r="S16" s="15">
        <f>$P16*T16</f>
        <v>24000</v>
      </c>
      <c r="T16" s="20">
        <v>1</v>
      </c>
      <c r="U16" s="2"/>
      <c r="V16" s="2"/>
      <c r="W16" s="2"/>
      <c r="X16" s="2"/>
      <c r="Y16" s="2"/>
      <c r="Z16" s="2"/>
    </row>
    <row r="17" spans="1:26" x14ac:dyDescent="0.15">
      <c r="A17" s="17" t="s">
        <v>29</v>
      </c>
      <c r="B17" s="2" t="s">
        <v>80</v>
      </c>
      <c r="C17" s="18">
        <v>41091</v>
      </c>
      <c r="D17" s="21">
        <v>42522</v>
      </c>
      <c r="E17" s="2"/>
      <c r="F17" s="2"/>
      <c r="G17" s="11"/>
      <c r="H17" s="2"/>
      <c r="I17" s="15"/>
      <c r="J17" s="15">
        <f>150*5*I57</f>
        <v>150000</v>
      </c>
      <c r="K17" s="15">
        <f>1000*I57</f>
        <v>200000</v>
      </c>
      <c r="L17" s="15">
        <f>J17+K17</f>
        <v>350000</v>
      </c>
      <c r="M17" s="15"/>
      <c r="N17" s="15"/>
      <c r="O17" s="15">
        <f>I57*2000</f>
        <v>400000</v>
      </c>
      <c r="P17" s="86">
        <f>I17+L17+M17+N17+O17</f>
        <v>750000</v>
      </c>
      <c r="Q17" s="15">
        <f>$P17*R17</f>
        <v>750000</v>
      </c>
      <c r="R17" s="20">
        <f>100%-T17</f>
        <v>1</v>
      </c>
      <c r="S17" s="15">
        <f>$P17*T17</f>
        <v>0</v>
      </c>
      <c r="T17" s="20">
        <v>0</v>
      </c>
      <c r="U17" s="2"/>
      <c r="V17" s="2"/>
      <c r="W17" s="2"/>
      <c r="X17" s="2"/>
      <c r="Y17" s="2"/>
      <c r="Z17" s="2"/>
    </row>
    <row r="18" spans="1:26" x14ac:dyDescent="0.15">
      <c r="A18" s="17" t="s">
        <v>30</v>
      </c>
      <c r="B18" s="2" t="s">
        <v>81</v>
      </c>
      <c r="C18" s="18">
        <v>41091</v>
      </c>
      <c r="D18" s="21">
        <v>42522</v>
      </c>
      <c r="E18" s="2"/>
      <c r="F18" s="2"/>
      <c r="G18" s="11"/>
      <c r="H18" s="2"/>
      <c r="I18" s="15"/>
      <c r="J18" s="15"/>
      <c r="K18" s="15"/>
      <c r="L18" s="15"/>
      <c r="M18" s="15"/>
      <c r="N18" s="15"/>
      <c r="O18" s="15">
        <f>10000*I56</f>
        <v>537999.99999999988</v>
      </c>
      <c r="P18" s="86">
        <f>I18+L18+M18+N18+O18</f>
        <v>537999.99999999988</v>
      </c>
      <c r="Q18" s="15">
        <f>$P18*R18</f>
        <v>537999.99999999988</v>
      </c>
      <c r="R18" s="20">
        <f>100%-T18</f>
        <v>1</v>
      </c>
      <c r="S18" s="15">
        <f>$P18*T18</f>
        <v>0</v>
      </c>
      <c r="T18" s="20">
        <v>0</v>
      </c>
      <c r="U18" s="2"/>
      <c r="V18" s="2"/>
      <c r="W18" s="2"/>
      <c r="X18" s="2"/>
      <c r="Y18" s="2"/>
      <c r="Z18" s="2"/>
    </row>
    <row r="19" spans="1:26" x14ac:dyDescent="0.15">
      <c r="A19" s="12"/>
      <c r="B19" s="13" t="s">
        <v>23</v>
      </c>
      <c r="C19" s="14"/>
      <c r="D19" s="14"/>
      <c r="E19" s="14"/>
      <c r="F19" s="14"/>
      <c r="G19" s="14"/>
      <c r="H19" s="14"/>
      <c r="I19" s="16">
        <f>SUM(I14:I18)</f>
        <v>80400</v>
      </c>
      <c r="J19" s="14"/>
      <c r="K19" s="14"/>
      <c r="L19" s="16">
        <f>SUM(L14:L18)</f>
        <v>350000</v>
      </c>
      <c r="M19" s="14"/>
      <c r="N19" s="14"/>
      <c r="O19" s="16">
        <f>SUM(O14:O18)</f>
        <v>937999.99999999988</v>
      </c>
      <c r="P19" s="16">
        <f>SUM(P14:P18)</f>
        <v>1368400</v>
      </c>
      <c r="Q19" s="16">
        <f>SUM(Q14:Q18)</f>
        <v>1320400</v>
      </c>
      <c r="R19" s="14"/>
      <c r="S19" s="16">
        <f>SUM(S14:S18)</f>
        <v>48000</v>
      </c>
      <c r="T19" s="14"/>
      <c r="U19" s="14"/>
      <c r="V19" s="14"/>
      <c r="W19" s="14"/>
      <c r="X19" s="14"/>
      <c r="Y19" s="14"/>
      <c r="Z19" s="14"/>
    </row>
    <row r="20" spans="1:26" s="36" customFormat="1" x14ac:dyDescent="0.15">
      <c r="A20" s="32"/>
      <c r="B20" s="33"/>
      <c r="C20" s="34"/>
      <c r="D20" s="34"/>
      <c r="E20" s="34"/>
      <c r="F20" s="34"/>
      <c r="G20" s="34"/>
      <c r="H20" s="34"/>
      <c r="I20" s="35"/>
      <c r="J20" s="34"/>
      <c r="K20" s="34"/>
      <c r="L20" s="35"/>
      <c r="M20" s="34"/>
      <c r="N20" s="34"/>
      <c r="O20" s="35"/>
      <c r="P20" s="35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spans="1:26" x14ac:dyDescent="0.15">
      <c r="A21" s="1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89">
        <v>2011</v>
      </c>
      <c r="V21" s="89"/>
      <c r="W21" s="90">
        <v>2012</v>
      </c>
      <c r="X21" s="90"/>
      <c r="Y21" s="89">
        <v>2013</v>
      </c>
      <c r="Z21" s="89"/>
    </row>
    <row r="22" spans="1:26" ht="10.5" customHeight="1" x14ac:dyDescent="0.15">
      <c r="A22" s="3" t="s">
        <v>53</v>
      </c>
      <c r="B22" s="4" t="s">
        <v>180</v>
      </c>
      <c r="C22" s="89" t="s">
        <v>22</v>
      </c>
      <c r="D22" s="89"/>
      <c r="E22" s="90" t="s">
        <v>12</v>
      </c>
      <c r="F22" s="90"/>
      <c r="G22" s="92" t="s">
        <v>16</v>
      </c>
      <c r="H22" s="92"/>
      <c r="I22" s="92"/>
      <c r="J22" s="89" t="s">
        <v>21</v>
      </c>
      <c r="K22" s="89"/>
      <c r="L22" s="89"/>
      <c r="M22" s="90" t="s">
        <v>31</v>
      </c>
      <c r="N22" s="90"/>
      <c r="O22" s="89" t="s">
        <v>230</v>
      </c>
      <c r="P22" s="5" t="s">
        <v>23</v>
      </c>
      <c r="Q22" s="89" t="s">
        <v>3</v>
      </c>
      <c r="R22" s="89"/>
      <c r="S22" s="90" t="s">
        <v>4</v>
      </c>
      <c r="T22" s="90"/>
      <c r="U22" s="5" t="s">
        <v>3</v>
      </c>
      <c r="V22" s="5" t="s">
        <v>4</v>
      </c>
      <c r="W22" s="5" t="s">
        <v>3</v>
      </c>
      <c r="X22" s="5" t="s">
        <v>4</v>
      </c>
      <c r="Y22" s="5" t="s">
        <v>3</v>
      </c>
      <c r="Z22" s="5" t="s">
        <v>4</v>
      </c>
    </row>
    <row r="23" spans="1:26" x14ac:dyDescent="0.15">
      <c r="A23" s="6" t="s">
        <v>5</v>
      </c>
      <c r="B23" s="7" t="s">
        <v>6</v>
      </c>
      <c r="C23" s="6" t="s">
        <v>0</v>
      </c>
      <c r="D23" s="6" t="s">
        <v>2</v>
      </c>
      <c r="E23" s="6" t="s">
        <v>13</v>
      </c>
      <c r="F23" s="6" t="s">
        <v>15</v>
      </c>
      <c r="G23" s="6" t="s">
        <v>19</v>
      </c>
      <c r="H23" s="9" t="s">
        <v>20</v>
      </c>
      <c r="I23" s="6" t="s">
        <v>35</v>
      </c>
      <c r="J23" s="8" t="s">
        <v>17</v>
      </c>
      <c r="K23" s="6" t="s">
        <v>18</v>
      </c>
      <c r="L23" s="6" t="s">
        <v>24</v>
      </c>
      <c r="M23" s="6" t="s">
        <v>32</v>
      </c>
      <c r="N23" s="6" t="s">
        <v>33</v>
      </c>
      <c r="O23" s="89"/>
      <c r="P23" s="8" t="s">
        <v>7</v>
      </c>
      <c r="Q23" s="6" t="s">
        <v>7</v>
      </c>
      <c r="R23" s="8" t="s">
        <v>15</v>
      </c>
      <c r="S23" s="8" t="s">
        <v>7</v>
      </c>
      <c r="T23" s="8" t="s">
        <v>8</v>
      </c>
      <c r="U23" s="6" t="s">
        <v>7</v>
      </c>
      <c r="V23" s="8" t="s">
        <v>7</v>
      </c>
      <c r="W23" s="6" t="s">
        <v>7</v>
      </c>
      <c r="X23" s="8" t="s">
        <v>7</v>
      </c>
      <c r="Y23" s="6" t="s">
        <v>7</v>
      </c>
      <c r="Z23" s="8" t="s">
        <v>7</v>
      </c>
    </row>
    <row r="24" spans="1:26" s="2" customFormat="1" x14ac:dyDescent="0.15">
      <c r="A24" s="11" t="s">
        <v>54</v>
      </c>
      <c r="B24" s="2" t="s">
        <v>258</v>
      </c>
      <c r="C24" s="83">
        <v>41091</v>
      </c>
      <c r="D24" s="83">
        <v>42582</v>
      </c>
      <c r="E24" s="2">
        <v>810</v>
      </c>
      <c r="F24" s="2">
        <v>0.2</v>
      </c>
      <c r="G24" s="11" t="s">
        <v>49</v>
      </c>
      <c r="H24" s="2">
        <v>200</v>
      </c>
      <c r="I24" s="84">
        <f>E24*F24*H24</f>
        <v>32400</v>
      </c>
      <c r="J24" s="84"/>
      <c r="K24" s="84"/>
      <c r="L24" s="84"/>
      <c r="M24" s="84"/>
      <c r="N24" s="84"/>
      <c r="O24" s="84"/>
      <c r="P24" s="84">
        <f>I24+L24+M24+N24+O24</f>
        <v>32400</v>
      </c>
      <c r="Q24" s="84">
        <f>$P24*R24</f>
        <v>32400</v>
      </c>
      <c r="R24" s="20">
        <f>100%-T24</f>
        <v>1</v>
      </c>
      <c r="S24" s="84">
        <f>$P24*T24</f>
        <v>0</v>
      </c>
      <c r="T24" s="20">
        <v>0</v>
      </c>
    </row>
    <row r="25" spans="1:26" x14ac:dyDescent="0.15">
      <c r="A25" s="11" t="s">
        <v>55</v>
      </c>
      <c r="B25" s="34" t="s">
        <v>181</v>
      </c>
      <c r="C25" s="18">
        <v>41091</v>
      </c>
      <c r="D25" s="18">
        <v>41182</v>
      </c>
      <c r="E25" s="2">
        <v>60</v>
      </c>
      <c r="F25" s="2">
        <v>1</v>
      </c>
      <c r="G25" s="11" t="s">
        <v>49</v>
      </c>
      <c r="H25" s="15">
        <v>200</v>
      </c>
      <c r="I25" s="15">
        <f>E25*F25*H25</f>
        <v>12000</v>
      </c>
      <c r="J25" s="2"/>
      <c r="K25" s="2"/>
      <c r="L25" s="15">
        <f>J25+K25</f>
        <v>0</v>
      </c>
      <c r="M25" s="2"/>
      <c r="N25" s="15"/>
      <c r="O25" s="2"/>
      <c r="P25" s="15">
        <f>I25+L25+M25+N25+O25</f>
        <v>12000</v>
      </c>
      <c r="Q25" s="15">
        <f>$P25*R25</f>
        <v>0</v>
      </c>
      <c r="R25" s="20">
        <f>100%-T25</f>
        <v>0</v>
      </c>
      <c r="S25" s="15">
        <f>$P25*T25</f>
        <v>12000</v>
      </c>
      <c r="T25" s="20">
        <v>1</v>
      </c>
      <c r="U25" s="2"/>
      <c r="V25" s="2"/>
      <c r="W25" s="2"/>
      <c r="X25" s="2"/>
      <c r="Y25" s="2"/>
      <c r="Z25" s="2"/>
    </row>
    <row r="26" spans="1:26" x14ac:dyDescent="0.15">
      <c r="A26" s="11" t="s">
        <v>56</v>
      </c>
      <c r="B26" s="2" t="s">
        <v>238</v>
      </c>
      <c r="C26" s="18">
        <v>41183</v>
      </c>
      <c r="D26" s="18">
        <v>41364</v>
      </c>
      <c r="E26" s="2">
        <v>120</v>
      </c>
      <c r="F26" s="2">
        <v>2</v>
      </c>
      <c r="G26" s="11" t="s">
        <v>49</v>
      </c>
      <c r="H26" s="2">
        <f>H25</f>
        <v>200</v>
      </c>
      <c r="I26" s="15">
        <f>E26*F26*H26</f>
        <v>48000</v>
      </c>
      <c r="J26" s="2"/>
      <c r="K26" s="2"/>
      <c r="L26" s="15">
        <f>J26+K26</f>
        <v>0</v>
      </c>
      <c r="M26" s="86">
        <v>50000</v>
      </c>
      <c r="N26" s="86">
        <v>20000</v>
      </c>
      <c r="O26" s="2"/>
      <c r="P26" s="15">
        <f>I26+L26+M26+N26+O26</f>
        <v>118000</v>
      </c>
      <c r="Q26" s="15">
        <v>50000</v>
      </c>
      <c r="R26" s="20">
        <f>100%-T26</f>
        <v>0.42372881355932202</v>
      </c>
      <c r="S26" s="15">
        <v>68000</v>
      </c>
      <c r="T26" s="20">
        <f>S26/P26</f>
        <v>0.57627118644067798</v>
      </c>
      <c r="U26" s="2"/>
      <c r="V26" s="2"/>
      <c r="W26" s="2"/>
      <c r="X26" s="2"/>
      <c r="Y26" s="2"/>
      <c r="Z26" s="2"/>
    </row>
    <row r="27" spans="1:26" x14ac:dyDescent="0.15">
      <c r="A27" s="11" t="s">
        <v>57</v>
      </c>
      <c r="B27" s="2" t="s">
        <v>52</v>
      </c>
      <c r="C27" s="18">
        <v>41456</v>
      </c>
      <c r="D27" s="21">
        <v>41609</v>
      </c>
      <c r="E27" s="2"/>
      <c r="F27" s="2"/>
      <c r="G27" s="11"/>
      <c r="H27" s="2"/>
      <c r="I27" s="15"/>
      <c r="J27" s="2"/>
      <c r="K27" s="2"/>
      <c r="L27" s="15"/>
      <c r="M27" s="2"/>
      <c r="N27" s="2"/>
      <c r="O27" s="86">
        <v>100000</v>
      </c>
      <c r="P27" s="15">
        <f>I27+L27+M27+N27+O27</f>
        <v>100000</v>
      </c>
      <c r="Q27" s="15">
        <f>$P27*R27</f>
        <v>0</v>
      </c>
      <c r="R27" s="20">
        <f>100%-T27</f>
        <v>0</v>
      </c>
      <c r="S27" s="15">
        <f>$P27*T27</f>
        <v>100000</v>
      </c>
      <c r="T27" s="20">
        <v>1</v>
      </c>
      <c r="U27" s="2"/>
      <c r="V27" s="2"/>
      <c r="W27" s="2"/>
      <c r="X27" s="2"/>
      <c r="Y27" s="2"/>
      <c r="Z27" s="2"/>
    </row>
    <row r="28" spans="1:26" x14ac:dyDescent="0.15">
      <c r="A28" s="12"/>
      <c r="B28" s="13" t="s">
        <v>23</v>
      </c>
      <c r="C28" s="14"/>
      <c r="D28" s="14"/>
      <c r="E28" s="14"/>
      <c r="F28" s="14"/>
      <c r="G28" s="14"/>
      <c r="H28" s="14"/>
      <c r="I28" s="16">
        <f>SUM(I24:I27)</f>
        <v>92400</v>
      </c>
      <c r="J28" s="14"/>
      <c r="K28" s="14"/>
      <c r="L28" s="14"/>
      <c r="M28" s="14"/>
      <c r="N28" s="14"/>
      <c r="O28" s="16">
        <f>SUM(O24:O27)</f>
        <v>100000</v>
      </c>
      <c r="P28" s="16">
        <f>SUM(P24:P27)</f>
        <v>262400</v>
      </c>
      <c r="Q28" s="16">
        <f>SUM(Q24:Q27)</f>
        <v>82400</v>
      </c>
      <c r="R28" s="16"/>
      <c r="S28" s="16">
        <f>SUM(S24:S27)</f>
        <v>180000</v>
      </c>
      <c r="T28" s="16"/>
      <c r="U28" s="14"/>
      <c r="V28" s="14"/>
      <c r="W28" s="14"/>
      <c r="X28" s="14"/>
      <c r="Y28" s="14"/>
      <c r="Z28" s="14"/>
    </row>
    <row r="29" spans="1:26" s="36" customFormat="1" x14ac:dyDescent="0.15">
      <c r="A29" s="32"/>
      <c r="B29" s="33"/>
      <c r="C29" s="34"/>
      <c r="D29" s="34"/>
      <c r="E29" s="34"/>
      <c r="F29" s="34"/>
      <c r="G29" s="34"/>
      <c r="H29" s="34"/>
      <c r="I29" s="35"/>
      <c r="J29" s="34"/>
      <c r="K29" s="34"/>
      <c r="L29" s="35"/>
      <c r="M29" s="34"/>
      <c r="N29" s="34"/>
      <c r="O29" s="35"/>
      <c r="P29" s="35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6" x14ac:dyDescent="0.15">
      <c r="A30" s="22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89">
        <v>2011</v>
      </c>
      <c r="V30" s="89"/>
      <c r="W30" s="90">
        <v>2012</v>
      </c>
      <c r="X30" s="90"/>
      <c r="Y30" s="89">
        <v>2013</v>
      </c>
      <c r="Z30" s="89"/>
    </row>
    <row r="31" spans="1:26" ht="10.5" customHeight="1" x14ac:dyDescent="0.15">
      <c r="A31" s="3" t="s">
        <v>63</v>
      </c>
      <c r="B31" s="4" t="s">
        <v>254</v>
      </c>
      <c r="C31" s="89" t="s">
        <v>22</v>
      </c>
      <c r="D31" s="89"/>
      <c r="E31" s="90" t="s">
        <v>12</v>
      </c>
      <c r="F31" s="90"/>
      <c r="G31" s="92" t="s">
        <v>16</v>
      </c>
      <c r="H31" s="92"/>
      <c r="I31" s="92"/>
      <c r="J31" s="89" t="s">
        <v>21</v>
      </c>
      <c r="K31" s="89"/>
      <c r="L31" s="89"/>
      <c r="M31" s="90" t="s">
        <v>31</v>
      </c>
      <c r="N31" s="90"/>
      <c r="O31" s="89" t="s">
        <v>230</v>
      </c>
      <c r="P31" s="5" t="s">
        <v>23</v>
      </c>
      <c r="Q31" s="89" t="s">
        <v>3</v>
      </c>
      <c r="R31" s="89"/>
      <c r="S31" s="89" t="s">
        <v>4</v>
      </c>
      <c r="T31" s="89"/>
      <c r="U31" s="5" t="s">
        <v>3</v>
      </c>
      <c r="V31" s="5" t="s">
        <v>4</v>
      </c>
      <c r="W31" s="5" t="s">
        <v>3</v>
      </c>
      <c r="X31" s="5" t="s">
        <v>4</v>
      </c>
      <c r="Y31" s="5" t="s">
        <v>3</v>
      </c>
      <c r="Z31" s="5" t="s">
        <v>4</v>
      </c>
    </row>
    <row r="32" spans="1:26" x14ac:dyDescent="0.15">
      <c r="A32" s="6" t="s">
        <v>5</v>
      </c>
      <c r="B32" s="7" t="s">
        <v>6</v>
      </c>
      <c r="C32" s="6" t="s">
        <v>0</v>
      </c>
      <c r="D32" s="6" t="s">
        <v>2</v>
      </c>
      <c r="E32" s="6" t="s">
        <v>13</v>
      </c>
      <c r="F32" s="6" t="s">
        <v>15</v>
      </c>
      <c r="G32" s="6" t="s">
        <v>19</v>
      </c>
      <c r="H32" s="9" t="s">
        <v>20</v>
      </c>
      <c r="I32" s="6" t="s">
        <v>35</v>
      </c>
      <c r="J32" s="8" t="s">
        <v>17</v>
      </c>
      <c r="K32" s="6" t="s">
        <v>18</v>
      </c>
      <c r="L32" s="6" t="s">
        <v>24</v>
      </c>
      <c r="M32" s="6" t="s">
        <v>32</v>
      </c>
      <c r="N32" s="6" t="s">
        <v>33</v>
      </c>
      <c r="O32" s="89"/>
      <c r="P32" s="8" t="s">
        <v>7</v>
      </c>
      <c r="Q32" s="6" t="s">
        <v>7</v>
      </c>
      <c r="R32" s="8" t="s">
        <v>15</v>
      </c>
      <c r="S32" s="8" t="s">
        <v>7</v>
      </c>
      <c r="T32" s="8" t="s">
        <v>8</v>
      </c>
      <c r="U32" s="6" t="s">
        <v>7</v>
      </c>
      <c r="V32" s="8" t="s">
        <v>7</v>
      </c>
      <c r="W32" s="6" t="s">
        <v>7</v>
      </c>
      <c r="X32" s="8" t="s">
        <v>7</v>
      </c>
      <c r="Y32" s="6" t="s">
        <v>7</v>
      </c>
      <c r="Z32" s="8" t="s">
        <v>7</v>
      </c>
    </row>
    <row r="33" spans="1:26" s="2" customFormat="1" x14ac:dyDescent="0.15">
      <c r="A33" s="17" t="s">
        <v>64</v>
      </c>
      <c r="B33" s="2" t="s">
        <v>258</v>
      </c>
      <c r="C33" s="83">
        <v>41091</v>
      </c>
      <c r="D33" s="83">
        <v>42582</v>
      </c>
      <c r="E33" s="2">
        <v>810</v>
      </c>
      <c r="F33" s="2">
        <v>0.2</v>
      </c>
      <c r="G33" s="11" t="s">
        <v>49</v>
      </c>
      <c r="H33" s="2">
        <v>200</v>
      </c>
      <c r="I33" s="84">
        <f>E33*F33*H33</f>
        <v>32400</v>
      </c>
      <c r="J33" s="84"/>
      <c r="K33" s="84"/>
      <c r="L33" s="84"/>
      <c r="M33" s="84"/>
      <c r="N33" s="84"/>
      <c r="O33" s="84"/>
      <c r="P33" s="84">
        <f>I33+L33+M33+N33+O33</f>
        <v>32400</v>
      </c>
      <c r="Q33" s="84">
        <f>$P33*R33</f>
        <v>32400</v>
      </c>
      <c r="R33" s="20">
        <f>100%-T33</f>
        <v>1</v>
      </c>
      <c r="S33" s="84">
        <f>$P33*T33</f>
        <v>0</v>
      </c>
      <c r="T33" s="20">
        <v>0</v>
      </c>
    </row>
    <row r="34" spans="1:26" x14ac:dyDescent="0.15">
      <c r="A34" s="17" t="s">
        <v>85</v>
      </c>
      <c r="B34" s="2" t="s">
        <v>255</v>
      </c>
      <c r="C34" s="18">
        <v>41091</v>
      </c>
      <c r="D34" s="18">
        <v>41182</v>
      </c>
      <c r="E34" s="2">
        <v>60</v>
      </c>
      <c r="F34" s="2">
        <v>1</v>
      </c>
      <c r="G34" s="11" t="s">
        <v>49</v>
      </c>
      <c r="H34" s="15">
        <v>200</v>
      </c>
      <c r="I34" s="15">
        <f>E34*F34*H34</f>
        <v>12000</v>
      </c>
      <c r="J34" s="15"/>
      <c r="K34" s="15"/>
      <c r="L34" s="15">
        <f>J34+K34</f>
        <v>0</v>
      </c>
      <c r="M34" s="15"/>
      <c r="N34" s="15"/>
      <c r="O34" s="15"/>
      <c r="P34" s="15">
        <f t="shared" ref="P34:P38" si="0">I34+L34+M34+N34+O34</f>
        <v>12000</v>
      </c>
      <c r="Q34" s="15">
        <f t="shared" ref="Q34:Q38" si="1">$P34*R34</f>
        <v>12000</v>
      </c>
      <c r="R34" s="20">
        <f t="shared" ref="R34:R38" si="2">100%-T34</f>
        <v>1</v>
      </c>
      <c r="S34" s="15">
        <f t="shared" ref="S34:S38" si="3">$P34*T34</f>
        <v>0</v>
      </c>
      <c r="T34" s="20">
        <v>0</v>
      </c>
      <c r="U34" s="2"/>
      <c r="V34" s="2"/>
      <c r="W34" s="2"/>
      <c r="X34" s="2"/>
      <c r="Y34" s="2"/>
      <c r="Z34" s="2"/>
    </row>
    <row r="35" spans="1:26" x14ac:dyDescent="0.15">
      <c r="A35" s="17" t="s">
        <v>86</v>
      </c>
      <c r="B35" s="2" t="s">
        <v>89</v>
      </c>
      <c r="C35" s="18">
        <v>41183</v>
      </c>
      <c r="D35" s="18">
        <v>42582</v>
      </c>
      <c r="E35" s="2"/>
      <c r="F35" s="2"/>
      <c r="G35" s="85" t="s">
        <v>259</v>
      </c>
      <c r="H35" s="18"/>
      <c r="I35" s="15"/>
      <c r="J35" s="15"/>
      <c r="K35" s="15"/>
      <c r="L35" s="15"/>
      <c r="M35" s="15"/>
      <c r="N35" s="15"/>
      <c r="O35" s="15">
        <f>'1P4. Fondo de conocimiento'!H12</f>
        <v>500000</v>
      </c>
      <c r="P35" s="15">
        <f>I35+L35+M35+N35+O35</f>
        <v>500000</v>
      </c>
      <c r="Q35" s="15">
        <f>$P35*R35</f>
        <v>500000</v>
      </c>
      <c r="R35" s="20">
        <f>100%-T35</f>
        <v>1</v>
      </c>
      <c r="S35" s="15">
        <f>$P35*T35</f>
        <v>0</v>
      </c>
      <c r="T35" s="20">
        <v>0</v>
      </c>
      <c r="U35" s="2"/>
      <c r="V35" s="2"/>
      <c r="W35" s="2"/>
      <c r="X35" s="2"/>
      <c r="Y35" s="2"/>
      <c r="Z35" s="2"/>
    </row>
    <row r="36" spans="1:26" x14ac:dyDescent="0.15">
      <c r="A36" s="17" t="s">
        <v>87</v>
      </c>
      <c r="B36" s="2" t="s">
        <v>88</v>
      </c>
      <c r="C36" s="18">
        <v>41183</v>
      </c>
      <c r="D36" s="18">
        <v>42582</v>
      </c>
      <c r="E36" s="2"/>
      <c r="F36" s="2"/>
      <c r="G36" s="81" t="s">
        <v>49</v>
      </c>
      <c r="H36" s="18"/>
      <c r="I36" s="15"/>
      <c r="J36" s="15"/>
      <c r="K36" s="15"/>
      <c r="L36" s="15"/>
      <c r="M36" s="15"/>
      <c r="N36" s="15"/>
      <c r="O36" s="86">
        <f>'1P4. Fondo de conocimiento'!H3</f>
        <v>3998000</v>
      </c>
      <c r="P36" s="86">
        <f t="shared" si="0"/>
        <v>3998000</v>
      </c>
      <c r="Q36" s="15">
        <f t="shared" si="1"/>
        <v>3998000</v>
      </c>
      <c r="R36" s="20">
        <f t="shared" si="2"/>
        <v>1</v>
      </c>
      <c r="S36" s="15">
        <f t="shared" si="3"/>
        <v>0</v>
      </c>
      <c r="T36" s="20">
        <v>0</v>
      </c>
      <c r="U36" s="2"/>
      <c r="V36" s="2"/>
      <c r="W36" s="2"/>
      <c r="X36" s="2"/>
      <c r="Y36" s="2"/>
      <c r="Z36" s="2"/>
    </row>
    <row r="37" spans="1:26" x14ac:dyDescent="0.15">
      <c r="A37" s="17" t="s">
        <v>187</v>
      </c>
      <c r="B37" s="2" t="s">
        <v>188</v>
      </c>
      <c r="C37" s="18">
        <v>41183</v>
      </c>
      <c r="D37" s="18">
        <v>42522</v>
      </c>
      <c r="E37" s="2"/>
      <c r="F37" s="2"/>
      <c r="G37" s="81" t="s">
        <v>49</v>
      </c>
      <c r="H37" s="18"/>
      <c r="I37" s="15"/>
      <c r="J37" s="15"/>
      <c r="K37" s="15"/>
      <c r="L37" s="15"/>
      <c r="M37" s="15"/>
      <c r="N37" s="15"/>
      <c r="O37" s="86">
        <f>'1P4. Fondo de conocimiento'!H14</f>
        <v>184000</v>
      </c>
      <c r="P37" s="86">
        <f t="shared" si="0"/>
        <v>184000</v>
      </c>
      <c r="Q37" s="15">
        <f t="shared" si="1"/>
        <v>184000</v>
      </c>
      <c r="R37" s="20">
        <f t="shared" si="2"/>
        <v>1</v>
      </c>
      <c r="S37" s="15">
        <f t="shared" si="3"/>
        <v>0</v>
      </c>
      <c r="T37" s="20">
        <v>0</v>
      </c>
      <c r="U37" s="2"/>
      <c r="V37" s="2"/>
      <c r="W37" s="2"/>
      <c r="X37" s="2"/>
      <c r="Y37" s="2"/>
      <c r="Z37" s="2"/>
    </row>
    <row r="38" spans="1:26" x14ac:dyDescent="0.15">
      <c r="A38" s="17" t="s">
        <v>201</v>
      </c>
      <c r="B38" s="2" t="s">
        <v>241</v>
      </c>
      <c r="C38" s="18">
        <v>41091</v>
      </c>
      <c r="D38" s="18">
        <v>41153</v>
      </c>
      <c r="E38" s="2"/>
      <c r="F38" s="2"/>
      <c r="G38" s="11"/>
      <c r="H38" s="15"/>
      <c r="I38" s="15"/>
      <c r="J38" s="15"/>
      <c r="K38" s="15"/>
      <c r="L38" s="15"/>
      <c r="M38" s="15"/>
      <c r="N38" s="15"/>
      <c r="O38" s="86">
        <f>90000+24000</f>
        <v>114000</v>
      </c>
      <c r="P38" s="86">
        <f t="shared" si="0"/>
        <v>114000</v>
      </c>
      <c r="Q38" s="15">
        <f t="shared" si="1"/>
        <v>0</v>
      </c>
      <c r="R38" s="20">
        <f t="shared" si="2"/>
        <v>0</v>
      </c>
      <c r="S38" s="15">
        <f t="shared" si="3"/>
        <v>114000</v>
      </c>
      <c r="T38" s="20">
        <v>1</v>
      </c>
      <c r="U38" s="2"/>
      <c r="V38" s="2"/>
      <c r="W38" s="2"/>
      <c r="X38" s="2"/>
      <c r="Y38" s="2"/>
      <c r="Z38" s="2"/>
    </row>
    <row r="39" spans="1:26" x14ac:dyDescent="0.15">
      <c r="A39" s="12"/>
      <c r="B39" s="13" t="s">
        <v>23</v>
      </c>
      <c r="C39" s="14"/>
      <c r="D39" s="14"/>
      <c r="E39" s="14"/>
      <c r="F39" s="14"/>
      <c r="G39" s="14"/>
      <c r="H39" s="14"/>
      <c r="I39" s="16">
        <f>SUM(I33:I38)</f>
        <v>44400</v>
      </c>
      <c r="J39" s="14"/>
      <c r="K39" s="14"/>
      <c r="L39" s="16">
        <f>SUM(L33:L38)</f>
        <v>0</v>
      </c>
      <c r="M39" s="14"/>
      <c r="N39" s="14"/>
      <c r="O39" s="16">
        <f>SUM(O33:O38)</f>
        <v>4796000</v>
      </c>
      <c r="P39" s="16">
        <f>SUM(P33:P38)</f>
        <v>4840400</v>
      </c>
      <c r="Q39" s="16">
        <f>SUM(Q33:Q38)</f>
        <v>4726400</v>
      </c>
      <c r="R39" s="14"/>
      <c r="S39" s="16">
        <f>SUM(S33:S38)</f>
        <v>114000</v>
      </c>
      <c r="T39" s="14"/>
      <c r="U39" s="14"/>
      <c r="V39" s="14"/>
      <c r="W39" s="14"/>
      <c r="X39" s="14"/>
      <c r="Y39" s="14"/>
      <c r="Z39" s="14"/>
    </row>
    <row r="40" spans="1:26" x14ac:dyDescent="0.15">
      <c r="T40" s="38">
        <f>Q39+S39</f>
        <v>4840400</v>
      </c>
    </row>
    <row r="42" spans="1:26" ht="21" x14ac:dyDescent="0.15">
      <c r="A42" s="3" t="s">
        <v>97</v>
      </c>
      <c r="B42" s="4" t="s">
        <v>183</v>
      </c>
      <c r="C42" s="89" t="s">
        <v>22</v>
      </c>
      <c r="D42" s="89"/>
      <c r="E42" s="90" t="s">
        <v>12</v>
      </c>
      <c r="F42" s="90"/>
      <c r="G42" s="92" t="s">
        <v>16</v>
      </c>
      <c r="H42" s="92"/>
      <c r="I42" s="92"/>
      <c r="J42" s="89" t="s">
        <v>21</v>
      </c>
      <c r="K42" s="89"/>
      <c r="L42" s="89"/>
      <c r="M42" s="90" t="s">
        <v>31</v>
      </c>
      <c r="N42" s="90"/>
      <c r="O42" s="89" t="s">
        <v>34</v>
      </c>
      <c r="P42" s="5" t="s">
        <v>23</v>
      </c>
      <c r="Q42" s="89" t="s">
        <v>3</v>
      </c>
      <c r="R42" s="89"/>
      <c r="S42" s="89" t="s">
        <v>4</v>
      </c>
      <c r="T42" s="89"/>
      <c r="U42" s="5" t="s">
        <v>3</v>
      </c>
      <c r="V42" s="5" t="s">
        <v>4</v>
      </c>
      <c r="W42" s="5" t="s">
        <v>3</v>
      </c>
      <c r="X42" s="5" t="s">
        <v>4</v>
      </c>
      <c r="Y42" s="5" t="s">
        <v>3</v>
      </c>
      <c r="Z42" s="5" t="s">
        <v>4</v>
      </c>
    </row>
    <row r="43" spans="1:26" x14ac:dyDescent="0.15">
      <c r="A43" s="6" t="s">
        <v>5</v>
      </c>
      <c r="B43" s="7" t="s">
        <v>6</v>
      </c>
      <c r="C43" s="6" t="s">
        <v>0</v>
      </c>
      <c r="D43" s="6" t="s">
        <v>2</v>
      </c>
      <c r="E43" s="6" t="s">
        <v>13</v>
      </c>
      <c r="F43" s="6" t="s">
        <v>15</v>
      </c>
      <c r="G43" s="6" t="s">
        <v>19</v>
      </c>
      <c r="H43" s="9" t="s">
        <v>20</v>
      </c>
      <c r="I43" s="6" t="s">
        <v>35</v>
      </c>
      <c r="J43" s="8" t="s">
        <v>17</v>
      </c>
      <c r="K43" s="6" t="s">
        <v>18</v>
      </c>
      <c r="L43" s="6" t="s">
        <v>24</v>
      </c>
      <c r="M43" s="6" t="s">
        <v>32</v>
      </c>
      <c r="N43" s="6" t="s">
        <v>33</v>
      </c>
      <c r="O43" s="89"/>
      <c r="P43" s="8" t="s">
        <v>7</v>
      </c>
      <c r="Q43" s="6" t="s">
        <v>7</v>
      </c>
      <c r="R43" s="8" t="s">
        <v>15</v>
      </c>
      <c r="S43" s="8" t="s">
        <v>7</v>
      </c>
      <c r="T43" s="8" t="s">
        <v>8</v>
      </c>
      <c r="U43" s="6" t="s">
        <v>7</v>
      </c>
      <c r="V43" s="8" t="s">
        <v>7</v>
      </c>
      <c r="W43" s="6" t="s">
        <v>7</v>
      </c>
      <c r="X43" s="8" t="s">
        <v>7</v>
      </c>
      <c r="Y43" s="6" t="s">
        <v>7</v>
      </c>
      <c r="Z43" s="8" t="s">
        <v>7</v>
      </c>
    </row>
    <row r="44" spans="1:26" s="2" customFormat="1" x14ac:dyDescent="0.15">
      <c r="A44" s="17" t="s">
        <v>98</v>
      </c>
      <c r="B44" s="2" t="s">
        <v>258</v>
      </c>
      <c r="C44" s="83">
        <v>41091</v>
      </c>
      <c r="D44" s="83">
        <v>42582</v>
      </c>
      <c r="E44" s="2">
        <v>810</v>
      </c>
      <c r="F44" s="2">
        <v>0.2</v>
      </c>
      <c r="G44" s="11" t="s">
        <v>49</v>
      </c>
      <c r="H44" s="2">
        <v>200</v>
      </c>
      <c r="I44" s="84">
        <f>E44*F44*H44</f>
        <v>32400</v>
      </c>
      <c r="J44" s="84"/>
      <c r="K44" s="84"/>
      <c r="L44" s="84"/>
      <c r="M44" s="84"/>
      <c r="N44" s="84"/>
      <c r="O44" s="84"/>
      <c r="P44" s="84">
        <f>I44+L44+M44+N44+O44</f>
        <v>32400</v>
      </c>
      <c r="Q44" s="84">
        <f>$P44*R44</f>
        <v>32400</v>
      </c>
      <c r="R44" s="20">
        <f>100%-T44</f>
        <v>1</v>
      </c>
      <c r="S44" s="84">
        <f>$P44*T44</f>
        <v>0</v>
      </c>
      <c r="T44" s="20">
        <v>0</v>
      </c>
    </row>
    <row r="45" spans="1:26" x14ac:dyDescent="0.15">
      <c r="A45" s="17" t="s">
        <v>99</v>
      </c>
      <c r="B45" s="2" t="s">
        <v>256</v>
      </c>
      <c r="C45" s="18">
        <v>41091</v>
      </c>
      <c r="D45" s="18">
        <v>41182</v>
      </c>
      <c r="E45" s="2">
        <v>60</v>
      </c>
      <c r="F45" s="2">
        <v>1</v>
      </c>
      <c r="G45" s="11" t="s">
        <v>49</v>
      </c>
      <c r="H45" s="15">
        <v>200</v>
      </c>
      <c r="I45" s="15">
        <f>E45*F45*H45</f>
        <v>12000</v>
      </c>
      <c r="J45" s="15"/>
      <c r="K45" s="15"/>
      <c r="L45" s="15">
        <f>J45+K45</f>
        <v>0</v>
      </c>
      <c r="M45" s="15"/>
      <c r="N45" s="15"/>
      <c r="O45" s="15"/>
      <c r="P45" s="15">
        <f>I45+L45+M45+N45+O45</f>
        <v>12000</v>
      </c>
      <c r="Q45" s="15">
        <f>$P45*R45</f>
        <v>12000</v>
      </c>
      <c r="R45" s="20">
        <f>100%-T45</f>
        <v>1</v>
      </c>
      <c r="S45" s="15">
        <f>$P45*T45</f>
        <v>0</v>
      </c>
      <c r="T45" s="20">
        <v>0</v>
      </c>
      <c r="U45" s="2"/>
      <c r="V45" s="2"/>
      <c r="W45" s="2"/>
      <c r="X45" s="2"/>
      <c r="Y45" s="2"/>
      <c r="Z45" s="2"/>
    </row>
    <row r="46" spans="1:26" x14ac:dyDescent="0.15">
      <c r="A46" s="17" t="s">
        <v>100</v>
      </c>
      <c r="B46" s="2" t="s">
        <v>234</v>
      </c>
      <c r="C46" s="18">
        <v>41183</v>
      </c>
      <c r="D46" s="18">
        <v>42582</v>
      </c>
      <c r="E46" s="2"/>
      <c r="F46" s="2"/>
      <c r="G46" s="18"/>
      <c r="H46" s="18"/>
      <c r="I46" s="15"/>
      <c r="J46" s="15"/>
      <c r="K46" s="15"/>
      <c r="L46" s="15"/>
      <c r="M46" s="15"/>
      <c r="N46" s="15"/>
      <c r="O46" s="86">
        <f>40*20000-24000</f>
        <v>776000</v>
      </c>
      <c r="P46" s="86">
        <f>I46+L46+M46+N46+O46</f>
        <v>776000</v>
      </c>
      <c r="Q46" s="15">
        <f>$P46*R46</f>
        <v>776000</v>
      </c>
      <c r="R46" s="20">
        <f>100%-T46</f>
        <v>1</v>
      </c>
      <c r="S46" s="15">
        <f>$P46*T46</f>
        <v>0</v>
      </c>
      <c r="T46" s="20">
        <v>0</v>
      </c>
      <c r="U46" s="2"/>
      <c r="V46" s="2"/>
      <c r="W46" s="2"/>
      <c r="X46" s="2"/>
      <c r="Y46" s="2"/>
      <c r="Z46" s="2"/>
    </row>
    <row r="47" spans="1:26" x14ac:dyDescent="0.15">
      <c r="A47" s="12"/>
      <c r="B47" s="13" t="s">
        <v>23</v>
      </c>
      <c r="C47" s="14"/>
      <c r="D47" s="14"/>
      <c r="E47" s="14"/>
      <c r="F47" s="14"/>
      <c r="G47" s="14"/>
      <c r="H47" s="14"/>
      <c r="I47" s="16">
        <f>SUM(I44:I46)</f>
        <v>44400</v>
      </c>
      <c r="J47" s="14"/>
      <c r="K47" s="14"/>
      <c r="L47" s="16">
        <f>SUM(L45:L46)</f>
        <v>0</v>
      </c>
      <c r="M47" s="14"/>
      <c r="N47" s="14"/>
      <c r="O47" s="16">
        <f>SUM(O44:O46)</f>
        <v>776000</v>
      </c>
      <c r="P47" s="16">
        <f>SUM(P44:P46)</f>
        <v>820400</v>
      </c>
      <c r="Q47" s="16">
        <f>SUM(Q44:Q46)</f>
        <v>820400</v>
      </c>
      <c r="R47" s="14"/>
      <c r="S47" s="16">
        <f>SUM(S44:S46)</f>
        <v>0</v>
      </c>
      <c r="T47" s="14"/>
      <c r="U47" s="14"/>
      <c r="V47" s="14"/>
      <c r="W47" s="14"/>
      <c r="X47" s="14"/>
      <c r="Y47" s="14"/>
      <c r="Z47" s="14"/>
    </row>
    <row r="50" spans="2:19" x14ac:dyDescent="0.15">
      <c r="B50" s="13" t="s">
        <v>50</v>
      </c>
      <c r="C50" s="2"/>
      <c r="D50" s="2"/>
      <c r="E50" s="2"/>
      <c r="F50" s="2"/>
      <c r="G50" s="2"/>
      <c r="H50" s="2"/>
      <c r="I50" s="16">
        <f>I39+I19+I9+I28+I47</f>
        <v>318000</v>
      </c>
      <c r="J50" s="2"/>
      <c r="K50" s="2"/>
      <c r="L50" s="16">
        <f>L39+L19+L9+L28+L47</f>
        <v>350000</v>
      </c>
      <c r="M50" s="2"/>
      <c r="N50" s="2"/>
      <c r="O50" s="16">
        <f>O39+O19+O9+O28+O47</f>
        <v>6610000</v>
      </c>
      <c r="P50" s="16">
        <f>P39+P19+P9+P28+P47</f>
        <v>7348000</v>
      </c>
      <c r="Q50" s="16">
        <f>Q39+Q19+Q9+Q28+Q47</f>
        <v>6982000</v>
      </c>
      <c r="S50" s="16">
        <f>S39+S19+S9+S28+S47</f>
        <v>366000</v>
      </c>
    </row>
    <row r="53" spans="2:19" x14ac:dyDescent="0.15">
      <c r="Q53" s="38" t="e">
        <f>#REF!+#REF!+#REF!+#REF!+#REF!</f>
        <v>#REF!</v>
      </c>
      <c r="S53" s="38">
        <f>Q50+S50</f>
        <v>7348000</v>
      </c>
    </row>
    <row r="54" spans="2:19" x14ac:dyDescent="0.15">
      <c r="D54" s="1">
        <f>5500/20/4</f>
        <v>68.75</v>
      </c>
    </row>
    <row r="55" spans="2:19" x14ac:dyDescent="0.15">
      <c r="I55" s="1" t="s">
        <v>83</v>
      </c>
    </row>
    <row r="56" spans="2:19" x14ac:dyDescent="0.15">
      <c r="G56" s="1" t="s">
        <v>82</v>
      </c>
      <c r="H56" s="1">
        <v>224</v>
      </c>
      <c r="I56" s="48">
        <f>(H56*0.7)-103</f>
        <v>53.799999999999983</v>
      </c>
    </row>
    <row r="57" spans="2:19" x14ac:dyDescent="0.15">
      <c r="I57" s="1">
        <v>200</v>
      </c>
      <c r="J57" s="1" t="s">
        <v>84</v>
      </c>
    </row>
    <row r="59" spans="2:19" x14ac:dyDescent="0.15">
      <c r="D59" s="1">
        <f>810*200*4</f>
        <v>648000</v>
      </c>
    </row>
  </sheetData>
  <mergeCells count="53">
    <mergeCell ref="O42:O43"/>
    <mergeCell ref="Q42:R42"/>
    <mergeCell ref="S42:T42"/>
    <mergeCell ref="C42:D42"/>
    <mergeCell ref="E42:F42"/>
    <mergeCell ref="G42:I42"/>
    <mergeCell ref="J42:L42"/>
    <mergeCell ref="M42:N42"/>
    <mergeCell ref="W11:X11"/>
    <mergeCell ref="Y11:Z11"/>
    <mergeCell ref="C12:D12"/>
    <mergeCell ref="E12:F12"/>
    <mergeCell ref="G12:I12"/>
    <mergeCell ref="J12:L12"/>
    <mergeCell ref="M12:N12"/>
    <mergeCell ref="O12:O13"/>
    <mergeCell ref="Q12:R12"/>
    <mergeCell ref="S12:T12"/>
    <mergeCell ref="W3:X3"/>
    <mergeCell ref="Y3:Z3"/>
    <mergeCell ref="C4:D4"/>
    <mergeCell ref="E4:F4"/>
    <mergeCell ref="G4:I4"/>
    <mergeCell ref="J4:L4"/>
    <mergeCell ref="M4:N4"/>
    <mergeCell ref="O4:O5"/>
    <mergeCell ref="Q4:R4"/>
    <mergeCell ref="S4:T4"/>
    <mergeCell ref="M31:N31"/>
    <mergeCell ref="B1:T1"/>
    <mergeCell ref="U3:V3"/>
    <mergeCell ref="U30:V30"/>
    <mergeCell ref="U11:V11"/>
    <mergeCell ref="C31:D31"/>
    <mergeCell ref="E31:F31"/>
    <mergeCell ref="G31:I31"/>
    <mergeCell ref="J31:L31"/>
    <mergeCell ref="O31:O32"/>
    <mergeCell ref="C22:D22"/>
    <mergeCell ref="E22:F22"/>
    <mergeCell ref="G22:I22"/>
    <mergeCell ref="J22:L22"/>
    <mergeCell ref="M22:N22"/>
    <mergeCell ref="O22:O23"/>
    <mergeCell ref="Q31:R31"/>
    <mergeCell ref="S31:T31"/>
    <mergeCell ref="Y21:Z21"/>
    <mergeCell ref="U21:V21"/>
    <mergeCell ref="W21:X21"/>
    <mergeCell ref="Q22:R22"/>
    <mergeCell ref="S22:T22"/>
    <mergeCell ref="W30:X30"/>
    <mergeCell ref="Y30:Z30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2"/>
  <sheetViews>
    <sheetView topLeftCell="A4" zoomScale="80" zoomScaleNormal="80" workbookViewId="0">
      <selection activeCell="A33" sqref="A33"/>
    </sheetView>
  </sheetViews>
  <sheetFormatPr defaultColWidth="11" defaultRowHeight="10.5" x14ac:dyDescent="0.15"/>
  <cols>
    <col min="1" max="1" width="5.875" style="11" customWidth="1"/>
    <col min="2" max="2" width="51.875" style="2" customWidth="1"/>
    <col min="3" max="3" width="9.25" style="2" customWidth="1"/>
    <col min="4" max="4" width="8.25" style="2" customWidth="1"/>
    <col min="5" max="5" width="7.25" style="2" customWidth="1"/>
    <col min="6" max="8" width="8.125" style="2" customWidth="1"/>
    <col min="9" max="9" width="11.875" style="2" customWidth="1"/>
    <col min="10" max="10" width="11.75" style="2" customWidth="1"/>
    <col min="11" max="16" width="10.125" style="2" customWidth="1"/>
    <col min="17" max="17" width="8.875" style="2" bestFit="1" customWidth="1"/>
    <col min="18" max="18" width="6.5" style="2" customWidth="1"/>
    <col min="19" max="19" width="8.875" style="2" bestFit="1" customWidth="1"/>
    <col min="20" max="20" width="7" style="2" customWidth="1"/>
    <col min="21" max="21" width="9.75" style="2" customWidth="1"/>
    <col min="22" max="22" width="9.5" style="2" customWidth="1"/>
    <col min="23" max="23" width="9.875" style="2" customWidth="1"/>
    <col min="24" max="24" width="9.25" style="2" customWidth="1"/>
    <col min="25" max="25" width="9.75" style="2" customWidth="1"/>
    <col min="26" max="26" width="9.25" style="2" customWidth="1"/>
    <col min="27" max="16384" width="11" style="2"/>
  </cols>
  <sheetData>
    <row r="1" spans="1:26" x14ac:dyDescent="0.15">
      <c r="A1" s="10"/>
      <c r="B1" s="91" t="s">
        <v>101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6" ht="17.25" customHeight="1" x14ac:dyDescent="0.15">
      <c r="U2" s="89">
        <v>2011</v>
      </c>
      <c r="V2" s="89"/>
      <c r="W2" s="90">
        <v>2012</v>
      </c>
      <c r="X2" s="90"/>
      <c r="Y2" s="89">
        <v>2013</v>
      </c>
      <c r="Z2" s="89"/>
    </row>
    <row r="3" spans="1:26" ht="23.25" customHeight="1" x14ac:dyDescent="0.15">
      <c r="A3" s="3" t="s">
        <v>36</v>
      </c>
      <c r="B3" s="4" t="s">
        <v>102</v>
      </c>
      <c r="C3" s="89" t="s">
        <v>22</v>
      </c>
      <c r="D3" s="89"/>
      <c r="E3" s="90" t="s">
        <v>12</v>
      </c>
      <c r="F3" s="90"/>
      <c r="G3" s="92" t="s">
        <v>16</v>
      </c>
      <c r="H3" s="92"/>
      <c r="I3" s="92"/>
      <c r="J3" s="89" t="s">
        <v>21</v>
      </c>
      <c r="K3" s="89"/>
      <c r="L3" s="89"/>
      <c r="M3" s="90" t="s">
        <v>31</v>
      </c>
      <c r="N3" s="90"/>
      <c r="O3" s="89" t="s">
        <v>230</v>
      </c>
      <c r="P3" s="5" t="s">
        <v>23</v>
      </c>
      <c r="Q3" s="89" t="s">
        <v>3</v>
      </c>
      <c r="R3" s="89"/>
      <c r="S3" s="89" t="s">
        <v>4</v>
      </c>
      <c r="T3" s="89"/>
      <c r="U3" s="5" t="s">
        <v>3</v>
      </c>
      <c r="V3" s="5" t="s">
        <v>4</v>
      </c>
      <c r="W3" s="5" t="s">
        <v>3</v>
      </c>
      <c r="X3" s="5" t="s">
        <v>4</v>
      </c>
      <c r="Y3" s="5" t="s">
        <v>3</v>
      </c>
      <c r="Z3" s="5" t="s">
        <v>4</v>
      </c>
    </row>
    <row r="4" spans="1:26" x14ac:dyDescent="0.15">
      <c r="A4" s="6" t="s">
        <v>5</v>
      </c>
      <c r="B4" s="7" t="s">
        <v>6</v>
      </c>
      <c r="C4" s="6" t="s">
        <v>0</v>
      </c>
      <c r="D4" s="6" t="s">
        <v>2</v>
      </c>
      <c r="E4" s="6" t="s">
        <v>13</v>
      </c>
      <c r="F4" s="6" t="s">
        <v>15</v>
      </c>
      <c r="G4" s="6" t="s">
        <v>19</v>
      </c>
      <c r="H4" s="9" t="s">
        <v>20</v>
      </c>
      <c r="I4" s="6" t="s">
        <v>35</v>
      </c>
      <c r="J4" s="8" t="s">
        <v>17</v>
      </c>
      <c r="K4" s="6" t="s">
        <v>18</v>
      </c>
      <c r="L4" s="6" t="s">
        <v>24</v>
      </c>
      <c r="M4" s="6" t="s">
        <v>32</v>
      </c>
      <c r="N4" s="6" t="s">
        <v>33</v>
      </c>
      <c r="O4" s="89"/>
      <c r="P4" s="8" t="s">
        <v>7</v>
      </c>
      <c r="Q4" s="6" t="s">
        <v>7</v>
      </c>
      <c r="R4" s="8" t="s">
        <v>15</v>
      </c>
      <c r="S4" s="8" t="s">
        <v>7</v>
      </c>
      <c r="T4" s="8" t="s">
        <v>8</v>
      </c>
      <c r="U4" s="6" t="s">
        <v>7</v>
      </c>
      <c r="V4" s="8" t="s">
        <v>7</v>
      </c>
      <c r="W4" s="6" t="s">
        <v>7</v>
      </c>
      <c r="X4" s="8" t="s">
        <v>7</v>
      </c>
      <c r="Y4" s="6" t="s">
        <v>7</v>
      </c>
      <c r="Z4" s="8" t="s">
        <v>7</v>
      </c>
    </row>
    <row r="5" spans="1:26" s="11" customFormat="1" x14ac:dyDescent="0.15">
      <c r="A5" s="17" t="s">
        <v>9</v>
      </c>
      <c r="B5" s="2" t="s">
        <v>258</v>
      </c>
      <c r="C5" s="83">
        <v>41122</v>
      </c>
      <c r="D5" s="83">
        <v>42582</v>
      </c>
      <c r="E5" s="2">
        <v>810</v>
      </c>
      <c r="F5" s="2">
        <v>0.25</v>
      </c>
      <c r="G5" s="11" t="s">
        <v>49</v>
      </c>
      <c r="H5" s="2">
        <v>200</v>
      </c>
      <c r="I5" s="84">
        <f>E5*F5*H5</f>
        <v>40500</v>
      </c>
      <c r="J5" s="84"/>
      <c r="K5" s="84"/>
      <c r="L5" s="84">
        <f>J5+K5</f>
        <v>0</v>
      </c>
      <c r="M5" s="84"/>
      <c r="N5" s="84"/>
      <c r="O5" s="84"/>
      <c r="P5" s="84">
        <f>I5+L5+M5+N5+O5</f>
        <v>40500</v>
      </c>
      <c r="Q5" s="84">
        <f>$P5*R5</f>
        <v>40500</v>
      </c>
      <c r="R5" s="20">
        <f>100%-T5</f>
        <v>1</v>
      </c>
      <c r="S5" s="84">
        <f>$P5*T5</f>
        <v>0</v>
      </c>
      <c r="T5" s="20">
        <v>0</v>
      </c>
    </row>
    <row r="6" spans="1:26" ht="11.45" customHeight="1" x14ac:dyDescent="0.15">
      <c r="A6" s="17" t="s">
        <v>10</v>
      </c>
      <c r="B6" s="2" t="s">
        <v>75</v>
      </c>
      <c r="C6" s="18">
        <v>41091</v>
      </c>
      <c r="D6" s="21">
        <v>41182</v>
      </c>
      <c r="E6" s="2">
        <v>60</v>
      </c>
      <c r="F6" s="2">
        <v>1</v>
      </c>
      <c r="G6" s="11" t="s">
        <v>49</v>
      </c>
      <c r="H6" s="2">
        <v>200</v>
      </c>
      <c r="I6" s="15">
        <f>E6*F6*H6</f>
        <v>12000</v>
      </c>
      <c r="J6" s="15"/>
      <c r="K6" s="15"/>
      <c r="L6" s="15">
        <f>J6+K6</f>
        <v>0</v>
      </c>
      <c r="M6" s="15"/>
      <c r="N6" s="15"/>
      <c r="O6" s="15"/>
      <c r="P6" s="15">
        <f>I6+L6+M6+N6+O6</f>
        <v>12000</v>
      </c>
      <c r="Q6" s="15">
        <f>$P6*R6</f>
        <v>0</v>
      </c>
      <c r="R6" s="20">
        <f>100%-T6</f>
        <v>0</v>
      </c>
      <c r="S6" s="15">
        <f>$P6*T6</f>
        <v>12000</v>
      </c>
      <c r="T6" s="20">
        <v>1</v>
      </c>
    </row>
    <row r="7" spans="1:26" ht="11.45" customHeight="1" x14ac:dyDescent="0.15">
      <c r="A7" s="17" t="s">
        <v>11</v>
      </c>
      <c r="B7" s="2" t="s">
        <v>76</v>
      </c>
      <c r="C7" s="18">
        <f>D6</f>
        <v>41182</v>
      </c>
      <c r="D7" s="18">
        <f>C7+E7</f>
        <v>41242</v>
      </c>
      <c r="E7" s="2">
        <v>60</v>
      </c>
      <c r="F7" s="2">
        <v>1</v>
      </c>
      <c r="G7" s="11" t="s">
        <v>49</v>
      </c>
      <c r="H7" s="2">
        <f>H6</f>
        <v>200</v>
      </c>
      <c r="I7" s="15">
        <f>E7*F7*H7</f>
        <v>12000</v>
      </c>
      <c r="J7" s="15"/>
      <c r="K7" s="15"/>
      <c r="L7" s="15">
        <f>J7+K7</f>
        <v>0</v>
      </c>
      <c r="M7" s="15"/>
      <c r="N7" s="15"/>
      <c r="O7" s="15"/>
      <c r="P7" s="15">
        <f>I7+L7+M7+N7+O7</f>
        <v>12000</v>
      </c>
      <c r="Q7" s="15">
        <f>$P7*R7</f>
        <v>0</v>
      </c>
      <c r="R7" s="20">
        <f>100%-T7</f>
        <v>0</v>
      </c>
      <c r="S7" s="15">
        <f>$P7*T7</f>
        <v>12000</v>
      </c>
      <c r="T7" s="20">
        <v>1</v>
      </c>
    </row>
    <row r="8" spans="1:26" ht="11.45" customHeight="1" x14ac:dyDescent="0.15">
      <c r="A8" s="17" t="s">
        <v>240</v>
      </c>
      <c r="B8" s="2" t="s">
        <v>239</v>
      </c>
      <c r="C8" s="81"/>
      <c r="D8" s="81"/>
      <c r="G8" s="11"/>
      <c r="I8" s="82"/>
      <c r="J8" s="82"/>
      <c r="K8" s="82"/>
      <c r="L8" s="82"/>
      <c r="M8" s="82"/>
      <c r="N8" s="82"/>
      <c r="O8" s="82">
        <v>50000</v>
      </c>
      <c r="P8" s="82">
        <f>I8+L8+M8+N8+O8</f>
        <v>50000</v>
      </c>
      <c r="Q8" s="82">
        <f>$P8*R8</f>
        <v>50000</v>
      </c>
      <c r="R8" s="20">
        <f>100%-T8</f>
        <v>1</v>
      </c>
      <c r="S8" s="82">
        <f>$P8*T8</f>
        <v>0</v>
      </c>
      <c r="T8" s="20">
        <v>0</v>
      </c>
    </row>
    <row r="9" spans="1:26" ht="11.45" customHeight="1" x14ac:dyDescent="0.15">
      <c r="A9" s="12"/>
      <c r="B9" s="13" t="s">
        <v>23</v>
      </c>
      <c r="C9" s="14"/>
      <c r="D9" s="14"/>
      <c r="E9" s="14"/>
      <c r="F9" s="14"/>
      <c r="G9" s="14"/>
      <c r="H9" s="14"/>
      <c r="I9" s="16">
        <f>SUM(I5:I8)</f>
        <v>64500</v>
      </c>
      <c r="J9" s="14"/>
      <c r="K9" s="14"/>
      <c r="L9" s="14"/>
      <c r="M9" s="14"/>
      <c r="N9" s="14"/>
      <c r="O9" s="16">
        <f>SUM(O5:O8)</f>
        <v>50000</v>
      </c>
      <c r="P9" s="16">
        <f>SUM(P5:P8)</f>
        <v>114500</v>
      </c>
      <c r="Q9" s="16">
        <f>SUM(Q5:Q8)</f>
        <v>90500</v>
      </c>
      <c r="R9" s="14"/>
      <c r="S9" s="16">
        <f>SUM(S5:S8)</f>
        <v>24000</v>
      </c>
      <c r="T9" s="14"/>
      <c r="U9" s="14"/>
      <c r="V9" s="14"/>
      <c r="W9" s="14"/>
      <c r="X9" s="14"/>
      <c r="Y9" s="14"/>
      <c r="Z9" s="14"/>
    </row>
    <row r="10" spans="1:26" ht="11.45" customHeight="1" x14ac:dyDescent="0.15"/>
    <row r="11" spans="1:26" ht="11.45" customHeight="1" x14ac:dyDescent="0.15">
      <c r="U11" s="89">
        <v>2011</v>
      </c>
      <c r="V11" s="89"/>
      <c r="W11" s="90">
        <v>2012</v>
      </c>
      <c r="X11" s="90"/>
      <c r="Y11" s="89">
        <v>2013</v>
      </c>
      <c r="Z11" s="89"/>
    </row>
    <row r="12" spans="1:26" ht="23.25" customHeight="1" x14ac:dyDescent="0.15">
      <c r="A12" s="3" t="s">
        <v>37</v>
      </c>
      <c r="B12" s="4" t="s">
        <v>103</v>
      </c>
      <c r="C12" s="89" t="s">
        <v>22</v>
      </c>
      <c r="D12" s="89"/>
      <c r="E12" s="90" t="s">
        <v>12</v>
      </c>
      <c r="F12" s="90"/>
      <c r="G12" s="92" t="s">
        <v>16</v>
      </c>
      <c r="H12" s="92"/>
      <c r="I12" s="92"/>
      <c r="J12" s="89" t="s">
        <v>21</v>
      </c>
      <c r="K12" s="89"/>
      <c r="L12" s="89"/>
      <c r="M12" s="90" t="s">
        <v>31</v>
      </c>
      <c r="N12" s="90"/>
      <c r="O12" s="89" t="s">
        <v>230</v>
      </c>
      <c r="P12" s="5" t="s">
        <v>23</v>
      </c>
      <c r="Q12" s="89" t="s">
        <v>3</v>
      </c>
      <c r="R12" s="89"/>
      <c r="S12" s="90" t="s">
        <v>4</v>
      </c>
      <c r="T12" s="90"/>
      <c r="U12" s="5" t="s">
        <v>3</v>
      </c>
      <c r="V12" s="5" t="s">
        <v>4</v>
      </c>
      <c r="W12" s="5" t="s">
        <v>3</v>
      </c>
      <c r="X12" s="5" t="s">
        <v>4</v>
      </c>
      <c r="Y12" s="5" t="s">
        <v>3</v>
      </c>
      <c r="Z12" s="5" t="s">
        <v>4</v>
      </c>
    </row>
    <row r="13" spans="1:26" ht="11.45" customHeight="1" x14ac:dyDescent="0.15">
      <c r="A13" s="6" t="s">
        <v>5</v>
      </c>
      <c r="B13" s="7" t="s">
        <v>6</v>
      </c>
      <c r="C13" s="6" t="s">
        <v>0</v>
      </c>
      <c r="D13" s="6" t="s">
        <v>2</v>
      </c>
      <c r="E13" s="6" t="s">
        <v>13</v>
      </c>
      <c r="F13" s="6" t="s">
        <v>15</v>
      </c>
      <c r="G13" s="6" t="s">
        <v>19</v>
      </c>
      <c r="H13" s="9" t="s">
        <v>20</v>
      </c>
      <c r="I13" s="6" t="s">
        <v>35</v>
      </c>
      <c r="J13" s="8" t="s">
        <v>17</v>
      </c>
      <c r="K13" s="6" t="s">
        <v>18</v>
      </c>
      <c r="L13" s="6" t="s">
        <v>24</v>
      </c>
      <c r="M13" s="6" t="s">
        <v>32</v>
      </c>
      <c r="N13" s="6" t="s">
        <v>33</v>
      </c>
      <c r="O13" s="89"/>
      <c r="P13" s="8" t="s">
        <v>7</v>
      </c>
      <c r="Q13" s="6" t="s">
        <v>7</v>
      </c>
      <c r="R13" s="8" t="s">
        <v>15</v>
      </c>
      <c r="S13" s="8" t="s">
        <v>7</v>
      </c>
      <c r="T13" s="8" t="s">
        <v>8</v>
      </c>
      <c r="U13" s="6" t="s">
        <v>7</v>
      </c>
      <c r="V13" s="8" t="s">
        <v>7</v>
      </c>
      <c r="W13" s="6" t="s">
        <v>7</v>
      </c>
      <c r="X13" s="8" t="s">
        <v>7</v>
      </c>
      <c r="Y13" s="6" t="s">
        <v>7</v>
      </c>
      <c r="Z13" s="8" t="s">
        <v>7</v>
      </c>
    </row>
    <row r="14" spans="1:26" s="11" customFormat="1" x14ac:dyDescent="0.15">
      <c r="A14" s="11" t="s">
        <v>39</v>
      </c>
      <c r="B14" s="2" t="s">
        <v>258</v>
      </c>
      <c r="C14" s="83">
        <f>D12+31</f>
        <v>31</v>
      </c>
      <c r="D14" s="83">
        <v>42582</v>
      </c>
      <c r="E14" s="2">
        <v>810</v>
      </c>
      <c r="F14" s="2">
        <v>0.5</v>
      </c>
      <c r="G14" s="11" t="s">
        <v>49</v>
      </c>
      <c r="H14" s="2">
        <v>200</v>
      </c>
      <c r="I14" s="84">
        <f>E14*F14*H14</f>
        <v>81000</v>
      </c>
      <c r="J14" s="2"/>
      <c r="K14" s="2"/>
      <c r="L14" s="84">
        <f t="shared" ref="L14" si="0">J14+K14</f>
        <v>0</v>
      </c>
      <c r="M14" s="2"/>
      <c r="N14" s="84"/>
      <c r="O14" s="2"/>
      <c r="P14" s="84">
        <f t="shared" ref="P14" si="1">I14+L14+M14+N14+O14</f>
        <v>81000</v>
      </c>
      <c r="Q14" s="84">
        <f t="shared" ref="Q14" si="2">$P14*R14</f>
        <v>81000</v>
      </c>
      <c r="R14" s="20">
        <f t="shared" ref="R14" si="3">100%-T14</f>
        <v>1</v>
      </c>
      <c r="S14" s="84">
        <f t="shared" ref="S14" si="4">$P14*T14</f>
        <v>0</v>
      </c>
      <c r="T14" s="20">
        <v>0</v>
      </c>
    </row>
    <row r="15" spans="1:26" ht="11.45" customHeight="1" x14ac:dyDescent="0.15">
      <c r="A15" s="11" t="s">
        <v>40</v>
      </c>
      <c r="B15" s="2" t="s">
        <v>115</v>
      </c>
      <c r="C15" s="18">
        <v>41091</v>
      </c>
      <c r="D15" s="21">
        <v>41274</v>
      </c>
      <c r="E15" s="19">
        <v>120</v>
      </c>
      <c r="F15" s="19">
        <v>3</v>
      </c>
      <c r="G15" s="77" t="s">
        <v>49</v>
      </c>
      <c r="H15" s="2">
        <v>200</v>
      </c>
      <c r="I15" s="78">
        <f>E15*F15*H15+6000</f>
        <v>78000</v>
      </c>
      <c r="L15" s="15">
        <f t="shared" ref="L15:L21" si="5">J15+K15</f>
        <v>0</v>
      </c>
      <c r="N15" s="79"/>
      <c r="P15" s="15">
        <f t="shared" ref="P15:P21" si="6">I15+L15+M15+N15+O15</f>
        <v>78000</v>
      </c>
      <c r="Q15" s="15">
        <f>$P15*R15</f>
        <v>0</v>
      </c>
      <c r="R15" s="20">
        <f>100%-T15</f>
        <v>0</v>
      </c>
      <c r="S15" s="15">
        <f t="shared" ref="S15:S20" si="7">$P15*T15</f>
        <v>78000</v>
      </c>
      <c r="T15" s="20">
        <v>1</v>
      </c>
      <c r="U15" s="15">
        <f>N15+Q15+R15+S15+T15</f>
        <v>78001</v>
      </c>
      <c r="V15" s="15">
        <f>O15+R15+S15+T15+U15</f>
        <v>156002</v>
      </c>
      <c r="W15" s="15">
        <f>P15+S15+T15+U15+V15</f>
        <v>390004</v>
      </c>
    </row>
    <row r="16" spans="1:26" ht="11.45" customHeight="1" x14ac:dyDescent="0.15">
      <c r="A16" s="11" t="s">
        <v>41</v>
      </c>
      <c r="B16" s="2" t="s">
        <v>116</v>
      </c>
      <c r="C16" s="18">
        <f>D15+30</f>
        <v>41304</v>
      </c>
      <c r="D16" s="21">
        <f>C16+120</f>
        <v>41424</v>
      </c>
      <c r="E16" s="19">
        <v>120</v>
      </c>
      <c r="F16" s="19"/>
      <c r="G16" s="94" t="s">
        <v>202</v>
      </c>
      <c r="I16" s="93">
        <f>294000-6000</f>
        <v>288000</v>
      </c>
      <c r="J16" s="26"/>
      <c r="L16" s="15"/>
      <c r="N16" s="79"/>
      <c r="P16" s="15">
        <f t="shared" si="6"/>
        <v>288000</v>
      </c>
      <c r="Q16" s="15">
        <f t="shared" ref="Q16:Q21" si="8">$P16*R16</f>
        <v>288000</v>
      </c>
      <c r="R16" s="20">
        <f t="shared" ref="R16:R21" si="9">100%-T16</f>
        <v>1</v>
      </c>
      <c r="S16" s="15">
        <f t="shared" si="7"/>
        <v>0</v>
      </c>
      <c r="T16" s="20">
        <v>0</v>
      </c>
    </row>
    <row r="17" spans="1:26" ht="11.45" customHeight="1" x14ac:dyDescent="0.15">
      <c r="A17" s="11" t="s">
        <v>42</v>
      </c>
      <c r="B17" s="2" t="s">
        <v>113</v>
      </c>
      <c r="C17" s="18">
        <v>41275</v>
      </c>
      <c r="D17" s="21">
        <v>41455</v>
      </c>
      <c r="E17" s="19">
        <v>120</v>
      </c>
      <c r="F17" s="19"/>
      <c r="G17" s="94"/>
      <c r="I17" s="93"/>
      <c r="L17" s="15">
        <f t="shared" si="5"/>
        <v>0</v>
      </c>
      <c r="N17" s="79"/>
      <c r="P17" s="15"/>
      <c r="Q17" s="15">
        <f t="shared" si="8"/>
        <v>0</v>
      </c>
      <c r="R17" s="20">
        <f t="shared" si="9"/>
        <v>1</v>
      </c>
      <c r="S17" s="15">
        <f t="shared" si="7"/>
        <v>0</v>
      </c>
      <c r="T17" s="20">
        <v>0</v>
      </c>
    </row>
    <row r="18" spans="1:26" ht="11.45" customHeight="1" x14ac:dyDescent="0.15">
      <c r="A18" s="11" t="s">
        <v>43</v>
      </c>
      <c r="B18" s="2" t="s">
        <v>114</v>
      </c>
      <c r="C18" s="18">
        <v>41275</v>
      </c>
      <c r="D18" s="18">
        <v>41426</v>
      </c>
      <c r="E18" s="2">
        <v>30</v>
      </c>
      <c r="G18" s="94"/>
      <c r="I18" s="93"/>
      <c r="L18" s="15"/>
      <c r="N18" s="79"/>
      <c r="P18" s="15"/>
      <c r="Q18" s="15">
        <f>$P18*R18</f>
        <v>0</v>
      </c>
      <c r="R18" s="20">
        <f>100%-T18</f>
        <v>0</v>
      </c>
      <c r="S18" s="15">
        <f>$P18*T18</f>
        <v>0</v>
      </c>
      <c r="T18" s="20">
        <v>1</v>
      </c>
    </row>
    <row r="19" spans="1:26" ht="11.45" customHeight="1" x14ac:dyDescent="0.15">
      <c r="A19" s="11" t="s">
        <v>71</v>
      </c>
      <c r="B19" s="2" t="s">
        <v>235</v>
      </c>
      <c r="C19" s="25">
        <v>41426</v>
      </c>
      <c r="D19" s="25">
        <v>41518</v>
      </c>
      <c r="E19" s="19"/>
      <c r="F19" s="19"/>
      <c r="G19" s="85" t="s">
        <v>202</v>
      </c>
      <c r="H19" s="19"/>
      <c r="I19" s="15"/>
      <c r="L19" s="15"/>
      <c r="M19" s="15"/>
      <c r="N19" s="15">
        <f>'2P2. Repositorio'!E5</f>
        <v>400000</v>
      </c>
      <c r="P19" s="86">
        <f t="shared" si="6"/>
        <v>400000</v>
      </c>
      <c r="Q19" s="15">
        <f t="shared" si="8"/>
        <v>200000</v>
      </c>
      <c r="R19" s="20">
        <f t="shared" si="9"/>
        <v>0.5</v>
      </c>
      <c r="S19" s="15">
        <f t="shared" si="7"/>
        <v>200000</v>
      </c>
      <c r="T19" s="20">
        <v>0.5</v>
      </c>
    </row>
    <row r="20" spans="1:26" ht="11.45" customHeight="1" x14ac:dyDescent="0.15">
      <c r="A20" s="11" t="s">
        <v>112</v>
      </c>
      <c r="B20" s="2" t="s">
        <v>236</v>
      </c>
      <c r="C20" s="25">
        <v>41426</v>
      </c>
      <c r="D20" s="25">
        <v>41518</v>
      </c>
      <c r="E20" s="19"/>
      <c r="F20" s="19"/>
      <c r="G20" s="85" t="s">
        <v>202</v>
      </c>
      <c r="H20" s="19"/>
      <c r="I20" s="15"/>
      <c r="L20" s="15"/>
      <c r="M20" s="15">
        <f>'2P2. Repositorio'!E4+'2P2. Repositorio'!E3+'2P2. Repositorio'!E6</f>
        <v>447600</v>
      </c>
      <c r="N20" s="15"/>
      <c r="P20" s="86">
        <f t="shared" si="6"/>
        <v>447600</v>
      </c>
      <c r="Q20" s="15">
        <f t="shared" si="8"/>
        <v>447600</v>
      </c>
      <c r="R20" s="20">
        <f t="shared" si="9"/>
        <v>1</v>
      </c>
      <c r="S20" s="15">
        <f t="shared" si="7"/>
        <v>0</v>
      </c>
      <c r="T20" s="20">
        <v>0</v>
      </c>
    </row>
    <row r="21" spans="1:26" ht="11.45" customHeight="1" x14ac:dyDescent="0.15">
      <c r="A21" s="11" t="s">
        <v>117</v>
      </c>
      <c r="B21" s="2" t="s">
        <v>104</v>
      </c>
      <c r="C21" s="25">
        <v>41456</v>
      </c>
      <c r="D21" s="25">
        <v>42552</v>
      </c>
      <c r="E21" s="19"/>
      <c r="F21" s="19"/>
      <c r="G21" s="18"/>
      <c r="H21" s="19"/>
      <c r="I21" s="15"/>
      <c r="L21" s="15">
        <f t="shared" si="5"/>
        <v>0</v>
      </c>
      <c r="N21" s="15"/>
      <c r="O21" s="86">
        <v>150000</v>
      </c>
      <c r="P21" s="86">
        <f t="shared" si="6"/>
        <v>150000</v>
      </c>
      <c r="Q21" s="15">
        <f t="shared" si="8"/>
        <v>0</v>
      </c>
      <c r="R21" s="20">
        <f t="shared" si="9"/>
        <v>0</v>
      </c>
      <c r="S21" s="15">
        <f>$P21*T21</f>
        <v>150000</v>
      </c>
      <c r="T21" s="20">
        <v>1</v>
      </c>
    </row>
    <row r="22" spans="1:26" ht="11.45" customHeight="1" x14ac:dyDescent="0.15">
      <c r="A22" s="12"/>
      <c r="B22" s="13" t="s">
        <v>23</v>
      </c>
      <c r="C22" s="14"/>
      <c r="D22" s="14"/>
      <c r="E22" s="14"/>
      <c r="F22" s="14"/>
      <c r="G22" s="14"/>
      <c r="H22" s="14"/>
      <c r="I22" s="16">
        <f>SUM(I14:I21)</f>
        <v>447000</v>
      </c>
      <c r="J22" s="14"/>
      <c r="K22" s="14"/>
      <c r="L22" s="14"/>
      <c r="M22" s="16">
        <f>SUM(M14:M21)</f>
        <v>447600</v>
      </c>
      <c r="N22" s="16">
        <f>SUM(N14:N21)</f>
        <v>400000</v>
      </c>
      <c r="O22" s="16">
        <f>SUM(O14:O21)</f>
        <v>150000</v>
      </c>
      <c r="P22" s="16">
        <f>SUM(P14:P21)</f>
        <v>1444600</v>
      </c>
      <c r="Q22" s="16">
        <f>SUM(Q14:Q21)</f>
        <v>1016600</v>
      </c>
      <c r="R22" s="14"/>
      <c r="S22" s="16">
        <f>SUM(S14:S21)</f>
        <v>428000</v>
      </c>
      <c r="T22" s="14"/>
      <c r="U22" s="14"/>
      <c r="V22" s="14"/>
      <c r="W22" s="14"/>
      <c r="X22" s="14"/>
      <c r="Y22" s="14"/>
      <c r="Z22" s="14"/>
    </row>
    <row r="23" spans="1:26" ht="11.45" customHeight="1" x14ac:dyDescent="0.15"/>
    <row r="24" spans="1:26" ht="11.45" customHeight="1" x14ac:dyDescent="0.15">
      <c r="U24" s="89">
        <v>2011</v>
      </c>
      <c r="V24" s="89"/>
      <c r="W24" s="90">
        <v>2012</v>
      </c>
      <c r="X24" s="90"/>
      <c r="Y24" s="89">
        <v>2013</v>
      </c>
      <c r="Z24" s="89"/>
    </row>
    <row r="25" spans="1:26" ht="23.25" customHeight="1" x14ac:dyDescent="0.15">
      <c r="A25" s="3" t="s">
        <v>38</v>
      </c>
      <c r="B25" s="4" t="s">
        <v>109</v>
      </c>
      <c r="C25" s="89" t="s">
        <v>22</v>
      </c>
      <c r="D25" s="89"/>
      <c r="E25" s="90" t="s">
        <v>12</v>
      </c>
      <c r="F25" s="90"/>
      <c r="G25" s="92" t="s">
        <v>16</v>
      </c>
      <c r="H25" s="92"/>
      <c r="I25" s="92"/>
      <c r="J25" s="89" t="s">
        <v>21</v>
      </c>
      <c r="K25" s="89"/>
      <c r="L25" s="89"/>
      <c r="M25" s="90" t="s">
        <v>31</v>
      </c>
      <c r="N25" s="90"/>
      <c r="O25" s="89" t="s">
        <v>230</v>
      </c>
      <c r="P25" s="5" t="s">
        <v>23</v>
      </c>
      <c r="Q25" s="89" t="s">
        <v>3</v>
      </c>
      <c r="R25" s="89"/>
      <c r="S25" s="90" t="s">
        <v>4</v>
      </c>
      <c r="T25" s="90"/>
      <c r="U25" s="5" t="s">
        <v>3</v>
      </c>
      <c r="V25" s="5" t="s">
        <v>4</v>
      </c>
      <c r="W25" s="5" t="s">
        <v>3</v>
      </c>
      <c r="X25" s="5" t="s">
        <v>4</v>
      </c>
      <c r="Y25" s="5" t="s">
        <v>3</v>
      </c>
      <c r="Z25" s="5" t="s">
        <v>4</v>
      </c>
    </row>
    <row r="26" spans="1:26" ht="11.45" customHeight="1" x14ac:dyDescent="0.15">
      <c r="A26" s="6" t="s">
        <v>5</v>
      </c>
      <c r="B26" s="7" t="s">
        <v>6</v>
      </c>
      <c r="C26" s="6" t="s">
        <v>0</v>
      </c>
      <c r="D26" s="6" t="s">
        <v>2</v>
      </c>
      <c r="E26" s="6" t="s">
        <v>13</v>
      </c>
      <c r="F26" s="6" t="s">
        <v>15</v>
      </c>
      <c r="G26" s="6" t="s">
        <v>19</v>
      </c>
      <c r="H26" s="9" t="s">
        <v>20</v>
      </c>
      <c r="I26" s="6" t="s">
        <v>35</v>
      </c>
      <c r="J26" s="8" t="s">
        <v>17</v>
      </c>
      <c r="K26" s="6" t="s">
        <v>18</v>
      </c>
      <c r="L26" s="6" t="s">
        <v>24</v>
      </c>
      <c r="M26" s="6" t="s">
        <v>32</v>
      </c>
      <c r="N26" s="6" t="s">
        <v>33</v>
      </c>
      <c r="O26" s="89"/>
      <c r="P26" s="8" t="s">
        <v>7</v>
      </c>
      <c r="Q26" s="6" t="s">
        <v>7</v>
      </c>
      <c r="R26" s="8" t="s">
        <v>15</v>
      </c>
      <c r="S26" s="8" t="s">
        <v>7</v>
      </c>
      <c r="T26" s="8" t="s">
        <v>8</v>
      </c>
      <c r="U26" s="6" t="s">
        <v>7</v>
      </c>
      <c r="V26" s="8" t="s">
        <v>7</v>
      </c>
      <c r="W26" s="6" t="s">
        <v>7</v>
      </c>
      <c r="X26" s="8" t="s">
        <v>7</v>
      </c>
      <c r="Y26" s="6" t="s">
        <v>7</v>
      </c>
      <c r="Z26" s="8" t="s">
        <v>7</v>
      </c>
    </row>
    <row r="27" spans="1:26" s="11" customFormat="1" x14ac:dyDescent="0.15">
      <c r="A27" s="11" t="s">
        <v>44</v>
      </c>
      <c r="B27" s="2" t="s">
        <v>258</v>
      </c>
      <c r="C27" s="83">
        <f>D23+30</f>
        <v>30</v>
      </c>
      <c r="D27" s="83">
        <v>42582</v>
      </c>
      <c r="E27" s="2">
        <v>810</v>
      </c>
      <c r="F27" s="2">
        <v>0.25</v>
      </c>
      <c r="G27" s="11" t="s">
        <v>49</v>
      </c>
      <c r="H27" s="2">
        <v>200</v>
      </c>
      <c r="I27" s="84">
        <f>E27*F27*H27</f>
        <v>40500</v>
      </c>
      <c r="J27" s="2"/>
      <c r="K27" s="2"/>
      <c r="L27" s="84"/>
      <c r="M27" s="84"/>
      <c r="N27" s="84"/>
      <c r="O27" s="84"/>
      <c r="P27" s="84">
        <f t="shared" ref="P27" si="10">I27+L27+M27+N27+O27</f>
        <v>40500</v>
      </c>
      <c r="Q27" s="84">
        <f t="shared" ref="Q27" si="11">$P27*R27</f>
        <v>40500</v>
      </c>
      <c r="R27" s="20">
        <f t="shared" ref="R27" si="12">100%-T27</f>
        <v>1</v>
      </c>
      <c r="S27" s="84">
        <f t="shared" ref="S27" si="13">$P27*T27</f>
        <v>0</v>
      </c>
      <c r="T27" s="41">
        <v>0</v>
      </c>
    </row>
    <row r="28" spans="1:26" ht="11.45" customHeight="1" x14ac:dyDescent="0.15">
      <c r="A28" s="11" t="s">
        <v>45</v>
      </c>
      <c r="B28" s="2" t="s">
        <v>110</v>
      </c>
      <c r="C28" s="18">
        <v>41091</v>
      </c>
      <c r="D28" s="21">
        <v>41274</v>
      </c>
      <c r="E28" s="19">
        <v>120</v>
      </c>
      <c r="F28" s="19">
        <v>3</v>
      </c>
      <c r="G28" s="18" t="s">
        <v>49</v>
      </c>
      <c r="H28" s="2">
        <v>200</v>
      </c>
      <c r="I28" s="15">
        <f>E28*F28*H28</f>
        <v>72000</v>
      </c>
      <c r="L28" s="15"/>
      <c r="M28" s="15"/>
      <c r="N28" s="15"/>
      <c r="O28" s="15"/>
      <c r="P28" s="15">
        <f t="shared" ref="P28:P32" si="14">I28+L28+M28+N28+O28</f>
        <v>72000</v>
      </c>
      <c r="Q28" s="15">
        <f t="shared" ref="Q28:Q31" si="15">$P28*R28</f>
        <v>0</v>
      </c>
      <c r="R28" s="20">
        <f t="shared" ref="R28:R32" si="16">100%-T28</f>
        <v>0</v>
      </c>
      <c r="S28" s="15">
        <f t="shared" ref="S28:S31" si="17">$P28*T28</f>
        <v>72000</v>
      </c>
      <c r="T28" s="41">
        <v>1</v>
      </c>
    </row>
    <row r="29" spans="1:26" ht="11.45" customHeight="1" x14ac:dyDescent="0.15">
      <c r="A29" s="11" t="s">
        <v>46</v>
      </c>
      <c r="B29" s="2" t="s">
        <v>118</v>
      </c>
      <c r="C29" s="18">
        <v>41275</v>
      </c>
      <c r="D29" s="21">
        <v>41974</v>
      </c>
      <c r="E29" s="19">
        <v>120</v>
      </c>
      <c r="F29" s="19">
        <v>3</v>
      </c>
      <c r="G29" s="18" t="s">
        <v>49</v>
      </c>
      <c r="H29" s="2">
        <f>H28</f>
        <v>200</v>
      </c>
      <c r="I29" s="15">
        <f>E29*F29*H29</f>
        <v>72000</v>
      </c>
      <c r="L29" s="15"/>
      <c r="M29" s="86">
        <v>125000</v>
      </c>
      <c r="N29" s="86">
        <v>230000</v>
      </c>
      <c r="O29" s="15"/>
      <c r="P29" s="15">
        <f t="shared" si="14"/>
        <v>427000</v>
      </c>
      <c r="Q29" s="15">
        <f t="shared" si="15"/>
        <v>0</v>
      </c>
      <c r="R29" s="20">
        <f t="shared" si="16"/>
        <v>0</v>
      </c>
      <c r="S29" s="15">
        <f t="shared" si="17"/>
        <v>427000</v>
      </c>
      <c r="T29" s="41">
        <v>1</v>
      </c>
    </row>
    <row r="30" spans="1:26" ht="11.45" customHeight="1" x14ac:dyDescent="0.15">
      <c r="A30" s="11" t="s">
        <v>47</v>
      </c>
      <c r="B30" s="2" t="s">
        <v>119</v>
      </c>
      <c r="C30" s="18">
        <v>41275</v>
      </c>
      <c r="D30" s="21">
        <v>41974</v>
      </c>
      <c r="E30" s="19">
        <v>120</v>
      </c>
      <c r="F30" s="19">
        <v>3</v>
      </c>
      <c r="G30" s="18" t="s">
        <v>49</v>
      </c>
      <c r="H30" s="2">
        <f>H29</f>
        <v>200</v>
      </c>
      <c r="I30" s="15">
        <f>E30*F30*H30</f>
        <v>72000</v>
      </c>
      <c r="L30" s="15"/>
      <c r="M30" s="86">
        <v>125000</v>
      </c>
      <c r="N30" s="86">
        <v>230000</v>
      </c>
      <c r="O30" s="15"/>
      <c r="P30" s="15">
        <f t="shared" si="14"/>
        <v>427000</v>
      </c>
      <c r="Q30" s="15">
        <f t="shared" si="15"/>
        <v>0</v>
      </c>
      <c r="R30" s="20">
        <f t="shared" si="16"/>
        <v>0</v>
      </c>
      <c r="S30" s="15">
        <f t="shared" si="17"/>
        <v>427000</v>
      </c>
      <c r="T30" s="41">
        <v>1</v>
      </c>
    </row>
    <row r="31" spans="1:26" x14ac:dyDescent="0.15">
      <c r="A31" s="11" t="s">
        <v>48</v>
      </c>
      <c r="B31" s="2" t="s">
        <v>120</v>
      </c>
      <c r="C31" s="18">
        <v>41275</v>
      </c>
      <c r="D31" s="21">
        <v>41974</v>
      </c>
      <c r="E31" s="19">
        <v>120</v>
      </c>
      <c r="F31" s="19">
        <v>3</v>
      </c>
      <c r="G31" s="18" t="s">
        <v>49</v>
      </c>
      <c r="H31" s="2">
        <f>H30</f>
        <v>200</v>
      </c>
      <c r="I31" s="15">
        <f>E31*F31*H31</f>
        <v>72000</v>
      </c>
      <c r="L31" s="15"/>
      <c r="M31" s="86">
        <v>125000</v>
      </c>
      <c r="N31" s="86">
        <f>230000+32400</f>
        <v>262400</v>
      </c>
      <c r="O31" s="15"/>
      <c r="P31" s="15">
        <f t="shared" si="14"/>
        <v>459400</v>
      </c>
      <c r="Q31" s="15">
        <f t="shared" si="15"/>
        <v>0</v>
      </c>
      <c r="R31" s="20">
        <f t="shared" si="16"/>
        <v>0</v>
      </c>
      <c r="S31" s="15">
        <f t="shared" si="17"/>
        <v>459400</v>
      </c>
      <c r="T31" s="41">
        <v>1</v>
      </c>
    </row>
    <row r="32" spans="1:26" x14ac:dyDescent="0.15">
      <c r="A32" s="11" t="s">
        <v>72</v>
      </c>
      <c r="B32" s="2" t="s">
        <v>111</v>
      </c>
      <c r="C32" s="18"/>
      <c r="D32" s="18"/>
      <c r="G32" s="11"/>
      <c r="H32" s="15"/>
      <c r="I32" s="15"/>
      <c r="L32" s="15"/>
      <c r="M32" s="15"/>
      <c r="N32" s="15"/>
      <c r="O32" s="86">
        <v>105000</v>
      </c>
      <c r="P32" s="15">
        <f t="shared" si="14"/>
        <v>105000</v>
      </c>
      <c r="Q32" s="15">
        <v>5000</v>
      </c>
      <c r="R32" s="20">
        <f t="shared" si="16"/>
        <v>4.7619047619047672E-2</v>
      </c>
      <c r="S32" s="15">
        <v>100000</v>
      </c>
      <c r="T32" s="41">
        <f>S32/P32</f>
        <v>0.95238095238095233</v>
      </c>
    </row>
    <row r="33" spans="1:26" x14ac:dyDescent="0.15">
      <c r="A33" s="12"/>
      <c r="B33" s="13" t="s">
        <v>23</v>
      </c>
      <c r="C33" s="14"/>
      <c r="D33" s="14"/>
      <c r="E33" s="14"/>
      <c r="F33" s="14"/>
      <c r="G33" s="14"/>
      <c r="H33" s="14"/>
      <c r="I33" s="16">
        <f>SUM(I27:I32)</f>
        <v>328500</v>
      </c>
      <c r="J33" s="14"/>
      <c r="K33" s="14"/>
      <c r="L33" s="14"/>
      <c r="M33" s="16">
        <f>SUM(M27:M32)</f>
        <v>375000</v>
      </c>
      <c r="N33" s="16">
        <f>SUM(N27:N32)</f>
        <v>722400</v>
      </c>
      <c r="O33" s="16">
        <f>SUM(O27:O32)</f>
        <v>105000</v>
      </c>
      <c r="P33" s="16">
        <f>SUM(P27:P32)</f>
        <v>1530900</v>
      </c>
      <c r="Q33" s="16">
        <f>SUM(Q27:Q32)</f>
        <v>45500</v>
      </c>
      <c r="R33" s="14"/>
      <c r="S33" s="16">
        <f>SUM(S27:S32)</f>
        <v>1485400</v>
      </c>
      <c r="T33" s="14"/>
      <c r="U33" s="14"/>
      <c r="V33" s="14"/>
      <c r="W33" s="14"/>
      <c r="X33" s="14"/>
      <c r="Y33" s="14"/>
      <c r="Z33" s="14"/>
    </row>
    <row r="35" spans="1:26" x14ac:dyDescent="0.15">
      <c r="U35" s="89">
        <v>2011</v>
      </c>
      <c r="V35" s="89"/>
      <c r="W35" s="90">
        <v>2012</v>
      </c>
      <c r="X35" s="90"/>
      <c r="Y35" s="89">
        <v>2013</v>
      </c>
      <c r="Z35" s="89"/>
    </row>
    <row r="36" spans="1:26" x14ac:dyDescent="0.15">
      <c r="B36" s="13" t="s">
        <v>59</v>
      </c>
      <c r="I36" s="16">
        <f>I33+I22+I9</f>
        <v>840000</v>
      </c>
      <c r="L36" s="16">
        <f>L33+L22+L9</f>
        <v>0</v>
      </c>
      <c r="O36" s="16">
        <f>O33+O22+O9</f>
        <v>305000</v>
      </c>
      <c r="P36" s="16">
        <f>P33+P22+P9</f>
        <v>3090000</v>
      </c>
      <c r="Q36" s="16">
        <f>Q33+Q22+Q9</f>
        <v>1152600</v>
      </c>
      <c r="S36" s="16">
        <f>S33+S22+S9</f>
        <v>1937400</v>
      </c>
    </row>
    <row r="38" spans="1:26" x14ac:dyDescent="0.15">
      <c r="P38" s="15">
        <v>1783500</v>
      </c>
    </row>
    <row r="39" spans="1:26" x14ac:dyDescent="0.15">
      <c r="P39" s="26">
        <f>P38-P33</f>
        <v>252600</v>
      </c>
      <c r="Q39" s="26"/>
    </row>
    <row r="40" spans="1:26" x14ac:dyDescent="0.15">
      <c r="Q40" s="26">
        <f>Q36+S36</f>
        <v>3090000</v>
      </c>
    </row>
    <row r="41" spans="1:26" x14ac:dyDescent="0.15">
      <c r="P41" s="15">
        <v>3395000</v>
      </c>
    </row>
    <row r="42" spans="1:26" x14ac:dyDescent="0.15">
      <c r="P42" s="26">
        <f>P41-P36</f>
        <v>305000</v>
      </c>
    </row>
  </sheetData>
  <mergeCells count="39">
    <mergeCell ref="I16:I18"/>
    <mergeCell ref="G16:G18"/>
    <mergeCell ref="U35:V35"/>
    <mergeCell ref="W35:X35"/>
    <mergeCell ref="Y35:Z35"/>
    <mergeCell ref="U24:V24"/>
    <mergeCell ref="W24:X24"/>
    <mergeCell ref="Y24:Z24"/>
    <mergeCell ref="W2:X2"/>
    <mergeCell ref="Y2:Z2"/>
    <mergeCell ref="U11:V11"/>
    <mergeCell ref="W11:X11"/>
    <mergeCell ref="Y11:Z11"/>
    <mergeCell ref="U2:V2"/>
    <mergeCell ref="B1:T1"/>
    <mergeCell ref="S3:T3"/>
    <mergeCell ref="E3:F3"/>
    <mergeCell ref="J3:L3"/>
    <mergeCell ref="C3:D3"/>
    <mergeCell ref="Q3:R3"/>
    <mergeCell ref="G3:I3"/>
    <mergeCell ref="M3:N3"/>
    <mergeCell ref="O3:O4"/>
    <mergeCell ref="C25:D25"/>
    <mergeCell ref="E25:F25"/>
    <mergeCell ref="Q12:R12"/>
    <mergeCell ref="S12:T12"/>
    <mergeCell ref="M12:N12"/>
    <mergeCell ref="O12:O13"/>
    <mergeCell ref="G25:I25"/>
    <mergeCell ref="J25:L25"/>
    <mergeCell ref="Q25:R25"/>
    <mergeCell ref="S25:T25"/>
    <mergeCell ref="M25:N25"/>
    <mergeCell ref="O25:O26"/>
    <mergeCell ref="G12:I12"/>
    <mergeCell ref="C12:D12"/>
    <mergeCell ref="E12:F12"/>
    <mergeCell ref="J12:L12"/>
  </mergeCells>
  <phoneticPr fontId="4" type="noConversion"/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topLeftCell="A28" zoomScale="80" zoomScaleNormal="80" workbookViewId="0">
      <selection activeCell="E52" sqref="E52"/>
    </sheetView>
  </sheetViews>
  <sheetFormatPr defaultColWidth="11" defaultRowHeight="10.5" x14ac:dyDescent="0.15"/>
  <cols>
    <col min="1" max="1" width="5.875" style="11" customWidth="1"/>
    <col min="2" max="2" width="51.875" style="2" customWidth="1"/>
    <col min="3" max="3" width="9.25" style="2" customWidth="1"/>
    <col min="4" max="4" width="8.25" style="2" customWidth="1"/>
    <col min="5" max="5" width="7.25" style="2" customWidth="1"/>
    <col min="6" max="8" width="8.125" style="2" customWidth="1"/>
    <col min="9" max="9" width="9.75" style="2" customWidth="1"/>
    <col min="10" max="10" width="11.75" style="2" customWidth="1"/>
    <col min="11" max="16" width="10.125" style="2" customWidth="1"/>
    <col min="17" max="17" width="8.875" style="2" bestFit="1" customWidth="1"/>
    <col min="18" max="18" width="6.5" style="2" customWidth="1"/>
    <col min="19" max="19" width="8" style="2" bestFit="1" customWidth="1"/>
    <col min="20" max="20" width="7" style="2" customWidth="1"/>
    <col min="21" max="21" width="9.75" style="2" customWidth="1"/>
    <col min="22" max="22" width="9.5" style="2" customWidth="1"/>
    <col min="23" max="23" width="9.875" style="2" customWidth="1"/>
    <col min="24" max="24" width="9.25" style="2" customWidth="1"/>
    <col min="25" max="25" width="9.75" style="2" customWidth="1"/>
    <col min="26" max="26" width="9.25" style="2" customWidth="1"/>
    <col min="27" max="16384" width="11" style="2"/>
  </cols>
  <sheetData>
    <row r="1" spans="1:26" x14ac:dyDescent="0.15">
      <c r="A1" s="10"/>
      <c r="B1" s="91" t="s">
        <v>134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6" ht="17.25" customHeight="1" x14ac:dyDescent="0.15">
      <c r="U2" s="89">
        <v>2011</v>
      </c>
      <c r="V2" s="89"/>
      <c r="W2" s="90">
        <v>2012</v>
      </c>
      <c r="X2" s="90"/>
      <c r="Y2" s="89">
        <v>2013</v>
      </c>
      <c r="Z2" s="89"/>
    </row>
    <row r="3" spans="1:26" ht="23.25" customHeight="1" x14ac:dyDescent="0.15">
      <c r="A3" s="3" t="s">
        <v>204</v>
      </c>
      <c r="B3" s="4" t="s">
        <v>135</v>
      </c>
      <c r="C3" s="89" t="s">
        <v>22</v>
      </c>
      <c r="D3" s="89"/>
      <c r="E3" s="90" t="s">
        <v>12</v>
      </c>
      <c r="F3" s="90"/>
      <c r="G3" s="92" t="s">
        <v>16</v>
      </c>
      <c r="H3" s="92"/>
      <c r="I3" s="92"/>
      <c r="J3" s="89" t="s">
        <v>21</v>
      </c>
      <c r="K3" s="89"/>
      <c r="L3" s="89"/>
      <c r="M3" s="90" t="s">
        <v>31</v>
      </c>
      <c r="N3" s="90"/>
      <c r="O3" s="89" t="s">
        <v>230</v>
      </c>
      <c r="P3" s="5" t="s">
        <v>23</v>
      </c>
      <c r="Q3" s="89" t="s">
        <v>3</v>
      </c>
      <c r="R3" s="89"/>
      <c r="S3" s="89" t="s">
        <v>4</v>
      </c>
      <c r="T3" s="89"/>
      <c r="U3" s="5" t="s">
        <v>3</v>
      </c>
      <c r="V3" s="5" t="s">
        <v>4</v>
      </c>
      <c r="W3" s="5" t="s">
        <v>3</v>
      </c>
      <c r="X3" s="5" t="s">
        <v>4</v>
      </c>
      <c r="Y3" s="5" t="s">
        <v>3</v>
      </c>
      <c r="Z3" s="5" t="s">
        <v>4</v>
      </c>
    </row>
    <row r="4" spans="1:26" x14ac:dyDescent="0.15">
      <c r="A4" s="6" t="s">
        <v>5</v>
      </c>
      <c r="B4" s="7" t="s">
        <v>6</v>
      </c>
      <c r="C4" s="6" t="s">
        <v>0</v>
      </c>
      <c r="D4" s="6" t="s">
        <v>2</v>
      </c>
      <c r="E4" s="6" t="s">
        <v>13</v>
      </c>
      <c r="F4" s="6" t="s">
        <v>15</v>
      </c>
      <c r="G4" s="6" t="s">
        <v>19</v>
      </c>
      <c r="H4" s="9" t="s">
        <v>20</v>
      </c>
      <c r="I4" s="6" t="s">
        <v>35</v>
      </c>
      <c r="J4" s="8" t="s">
        <v>17</v>
      </c>
      <c r="K4" s="6" t="s">
        <v>18</v>
      </c>
      <c r="L4" s="6" t="s">
        <v>24</v>
      </c>
      <c r="M4" s="6" t="s">
        <v>32</v>
      </c>
      <c r="N4" s="6" t="s">
        <v>33</v>
      </c>
      <c r="O4" s="89"/>
      <c r="P4" s="8" t="s">
        <v>7</v>
      </c>
      <c r="Q4" s="6" t="s">
        <v>7</v>
      </c>
      <c r="R4" s="8" t="s">
        <v>15</v>
      </c>
      <c r="S4" s="8" t="s">
        <v>7</v>
      </c>
      <c r="T4" s="8" t="s">
        <v>8</v>
      </c>
      <c r="U4" s="6" t="s">
        <v>7</v>
      </c>
      <c r="V4" s="8" t="s">
        <v>7</v>
      </c>
      <c r="W4" s="6" t="s">
        <v>7</v>
      </c>
      <c r="X4" s="8" t="s">
        <v>7</v>
      </c>
      <c r="Y4" s="6" t="s">
        <v>7</v>
      </c>
      <c r="Z4" s="8" t="s">
        <v>7</v>
      </c>
    </row>
    <row r="5" spans="1:26" s="11" customFormat="1" x14ac:dyDescent="0.15">
      <c r="A5" s="17" t="s">
        <v>205</v>
      </c>
      <c r="B5" s="2" t="s">
        <v>258</v>
      </c>
      <c r="C5" s="25"/>
      <c r="D5" s="25"/>
      <c r="E5" s="2">
        <v>810</v>
      </c>
      <c r="F5" s="2">
        <v>0.25</v>
      </c>
      <c r="G5" s="11" t="s">
        <v>49</v>
      </c>
      <c r="H5" s="2">
        <v>200</v>
      </c>
      <c r="I5" s="84">
        <f>E5*F5*H5</f>
        <v>40500</v>
      </c>
      <c r="J5" s="84"/>
      <c r="K5" s="84"/>
      <c r="L5" s="84">
        <f>J5+K5</f>
        <v>0</v>
      </c>
      <c r="M5" s="84"/>
      <c r="N5" s="84"/>
      <c r="O5" s="84"/>
      <c r="P5" s="84">
        <f t="shared" ref="P5" si="0">I5+L5+M5+N5+O5</f>
        <v>40500</v>
      </c>
      <c r="Q5" s="84">
        <f t="shared" ref="Q5" si="1">$P5*R5</f>
        <v>40500</v>
      </c>
      <c r="R5" s="20">
        <f t="shared" ref="R5" si="2">100%-T5</f>
        <v>1</v>
      </c>
      <c r="S5" s="84">
        <f t="shared" ref="S5" si="3">$P5*T5</f>
        <v>0</v>
      </c>
      <c r="T5" s="20">
        <v>0</v>
      </c>
    </row>
    <row r="6" spans="1:26" ht="11.45" customHeight="1" x14ac:dyDescent="0.15">
      <c r="A6" s="17" t="s">
        <v>206</v>
      </c>
      <c r="B6" s="2" t="s">
        <v>133</v>
      </c>
      <c r="C6" s="18">
        <v>41091</v>
      </c>
      <c r="D6" s="21">
        <v>41609</v>
      </c>
      <c r="E6" s="19">
        <v>60</v>
      </c>
      <c r="F6" s="19">
        <v>2</v>
      </c>
      <c r="G6" s="18" t="s">
        <v>49</v>
      </c>
      <c r="H6" s="2">
        <v>200</v>
      </c>
      <c r="I6" s="15">
        <f>E6*F6*H6</f>
        <v>24000</v>
      </c>
      <c r="J6" s="15"/>
      <c r="K6" s="15"/>
      <c r="L6" s="15">
        <f>J6+K6</f>
        <v>0</v>
      </c>
      <c r="M6" s="15"/>
      <c r="N6" s="15"/>
      <c r="O6" s="15"/>
      <c r="P6" s="15">
        <f t="shared" ref="P6:P10" si="4">I6+L6+M6+N6+O6</f>
        <v>24000</v>
      </c>
      <c r="Q6" s="15">
        <f t="shared" ref="Q6:Q10" si="5">$P6*R6</f>
        <v>0</v>
      </c>
      <c r="R6" s="20">
        <f t="shared" ref="R6:R10" si="6">100%-T6</f>
        <v>0</v>
      </c>
      <c r="S6" s="15">
        <f t="shared" ref="S6:S10" si="7">$P6*T6</f>
        <v>24000</v>
      </c>
      <c r="T6" s="20">
        <v>1</v>
      </c>
    </row>
    <row r="7" spans="1:26" ht="11.45" customHeight="1" x14ac:dyDescent="0.15">
      <c r="A7" s="17" t="s">
        <v>207</v>
      </c>
      <c r="B7" s="2" t="s">
        <v>132</v>
      </c>
      <c r="C7" s="18"/>
      <c r="D7" s="21"/>
      <c r="E7" s="19">
        <v>60</v>
      </c>
      <c r="F7" s="19">
        <v>2</v>
      </c>
      <c r="G7" s="18" t="s">
        <v>49</v>
      </c>
      <c r="H7" s="2">
        <f>H6</f>
        <v>200</v>
      </c>
      <c r="I7" s="15">
        <f>E7*F7*H7</f>
        <v>24000</v>
      </c>
      <c r="J7" s="15"/>
      <c r="K7" s="15"/>
      <c r="L7" s="15">
        <f>J7+K7</f>
        <v>0</v>
      </c>
      <c r="M7" s="15"/>
      <c r="N7" s="15"/>
      <c r="O7" s="15"/>
      <c r="P7" s="15">
        <f t="shared" si="4"/>
        <v>24000</v>
      </c>
      <c r="Q7" s="15">
        <f t="shared" si="5"/>
        <v>0</v>
      </c>
      <c r="R7" s="20">
        <f t="shared" si="6"/>
        <v>0</v>
      </c>
      <c r="S7" s="15">
        <f t="shared" si="7"/>
        <v>24000</v>
      </c>
      <c r="T7" s="20">
        <v>1</v>
      </c>
    </row>
    <row r="8" spans="1:26" ht="11.45" customHeight="1" x14ac:dyDescent="0.15">
      <c r="A8" s="17" t="s">
        <v>208</v>
      </c>
      <c r="B8" s="2" t="s">
        <v>131</v>
      </c>
      <c r="C8" s="18"/>
      <c r="D8" s="21"/>
      <c r="E8" s="19">
        <v>60</v>
      </c>
      <c r="F8" s="19">
        <v>2</v>
      </c>
      <c r="G8" s="18" t="s">
        <v>49</v>
      </c>
      <c r="H8" s="2">
        <f>H7</f>
        <v>200</v>
      </c>
      <c r="I8" s="15">
        <f>E8*F8*H8</f>
        <v>24000</v>
      </c>
      <c r="J8" s="15"/>
      <c r="K8" s="15"/>
      <c r="L8" s="15">
        <f>J8+K8</f>
        <v>0</v>
      </c>
      <c r="M8" s="15"/>
      <c r="N8" s="15"/>
      <c r="O8" s="15"/>
      <c r="P8" s="15">
        <f t="shared" si="4"/>
        <v>24000</v>
      </c>
      <c r="Q8" s="15">
        <f t="shared" si="5"/>
        <v>0</v>
      </c>
      <c r="R8" s="20">
        <f t="shared" si="6"/>
        <v>0</v>
      </c>
      <c r="S8" s="15">
        <f t="shared" si="7"/>
        <v>24000</v>
      </c>
      <c r="T8" s="20">
        <v>1</v>
      </c>
    </row>
    <row r="9" spans="1:26" ht="11.45" customHeight="1" x14ac:dyDescent="0.15">
      <c r="A9" s="17" t="s">
        <v>209</v>
      </c>
      <c r="B9" s="2" t="s">
        <v>130</v>
      </c>
      <c r="C9" s="18"/>
      <c r="D9" s="18"/>
      <c r="E9" s="19">
        <v>60</v>
      </c>
      <c r="F9" s="19">
        <v>2</v>
      </c>
      <c r="G9" s="18" t="s">
        <v>49</v>
      </c>
      <c r="H9" s="2">
        <f>H8</f>
        <v>200</v>
      </c>
      <c r="I9" s="15">
        <f>E9*F9*H9</f>
        <v>24000</v>
      </c>
      <c r="J9" s="15"/>
      <c r="K9" s="15"/>
      <c r="L9" s="15">
        <f>J9+K9</f>
        <v>0</v>
      </c>
      <c r="M9" s="15"/>
      <c r="N9" s="15"/>
      <c r="O9" s="15"/>
      <c r="P9" s="15">
        <f t="shared" si="4"/>
        <v>24000</v>
      </c>
      <c r="Q9" s="15">
        <f t="shared" si="5"/>
        <v>0</v>
      </c>
      <c r="R9" s="20">
        <f t="shared" si="6"/>
        <v>0</v>
      </c>
      <c r="S9" s="15">
        <f t="shared" si="7"/>
        <v>24000</v>
      </c>
      <c r="T9" s="20">
        <v>1</v>
      </c>
    </row>
    <row r="10" spans="1:26" ht="11.45" customHeight="1" x14ac:dyDescent="0.15">
      <c r="A10" s="17" t="s">
        <v>262</v>
      </c>
      <c r="B10" s="2" t="s">
        <v>136</v>
      </c>
      <c r="C10" s="25"/>
      <c r="D10" s="25"/>
      <c r="E10" s="19"/>
      <c r="F10" s="19"/>
      <c r="G10" s="18"/>
      <c r="H10" s="19"/>
      <c r="I10" s="15"/>
      <c r="J10" s="15"/>
      <c r="K10" s="15"/>
      <c r="L10" s="15"/>
      <c r="M10" s="15"/>
      <c r="N10" s="15"/>
      <c r="O10" s="86">
        <v>100000</v>
      </c>
      <c r="P10" s="15">
        <f t="shared" si="4"/>
        <v>100000</v>
      </c>
      <c r="Q10" s="15">
        <f t="shared" si="5"/>
        <v>0</v>
      </c>
      <c r="R10" s="20">
        <f t="shared" si="6"/>
        <v>0</v>
      </c>
      <c r="S10" s="15">
        <f t="shared" si="7"/>
        <v>100000</v>
      </c>
      <c r="T10" s="20">
        <v>1</v>
      </c>
    </row>
    <row r="11" spans="1:26" ht="11.45" customHeight="1" x14ac:dyDescent="0.15">
      <c r="A11" s="12"/>
      <c r="B11" s="13" t="s">
        <v>23</v>
      </c>
      <c r="C11" s="14"/>
      <c r="D11" s="14"/>
      <c r="E11" s="14"/>
      <c r="F11" s="14"/>
      <c r="G11" s="14"/>
      <c r="H11" s="14"/>
      <c r="I11" s="16">
        <f>SUM(I5:I10)</f>
        <v>136500</v>
      </c>
      <c r="J11" s="14"/>
      <c r="K11" s="14"/>
      <c r="L11" s="14"/>
      <c r="M11" s="14"/>
      <c r="N11" s="14"/>
      <c r="O11" s="16">
        <f>SUM(O5:O10)</f>
        <v>100000</v>
      </c>
      <c r="P11" s="16">
        <f>SUM(P5:P10)</f>
        <v>236500</v>
      </c>
      <c r="Q11" s="16">
        <f>SUM(Q5:Q10)</f>
        <v>40500</v>
      </c>
      <c r="R11" s="14"/>
      <c r="S11" s="16">
        <f>SUM(S5:S10)</f>
        <v>196000</v>
      </c>
      <c r="T11" s="14"/>
      <c r="U11" s="14"/>
      <c r="V11" s="14"/>
      <c r="W11" s="14"/>
      <c r="X11" s="14"/>
      <c r="Y11" s="14"/>
      <c r="Z11" s="14"/>
    </row>
    <row r="12" spans="1:26" ht="11.45" customHeight="1" x14ac:dyDescent="0.15"/>
    <row r="13" spans="1:26" ht="11.45" customHeight="1" x14ac:dyDescent="0.15"/>
    <row r="14" spans="1:26" ht="10.5" customHeight="1" x14ac:dyDescent="0.15">
      <c r="A14" s="3" t="s">
        <v>210</v>
      </c>
      <c r="B14" s="4" t="s">
        <v>125</v>
      </c>
      <c r="C14" s="89" t="s">
        <v>22</v>
      </c>
      <c r="D14" s="89"/>
      <c r="E14" s="90" t="s">
        <v>12</v>
      </c>
      <c r="F14" s="90"/>
      <c r="G14" s="92" t="s">
        <v>16</v>
      </c>
      <c r="H14" s="92"/>
      <c r="I14" s="92"/>
      <c r="J14" s="89" t="s">
        <v>21</v>
      </c>
      <c r="K14" s="89"/>
      <c r="L14" s="89"/>
      <c r="M14" s="90" t="s">
        <v>31</v>
      </c>
      <c r="N14" s="90"/>
      <c r="O14" s="89" t="s">
        <v>230</v>
      </c>
      <c r="P14" s="5" t="s">
        <v>23</v>
      </c>
      <c r="Q14" s="89" t="s">
        <v>3</v>
      </c>
      <c r="R14" s="89"/>
      <c r="S14" s="90" t="s">
        <v>4</v>
      </c>
      <c r="T14" s="90"/>
      <c r="U14" s="5" t="s">
        <v>3</v>
      </c>
      <c r="V14" s="5" t="s">
        <v>4</v>
      </c>
      <c r="W14" s="5" t="s">
        <v>3</v>
      </c>
      <c r="X14" s="5" t="s">
        <v>4</v>
      </c>
      <c r="Y14" s="5" t="s">
        <v>3</v>
      </c>
      <c r="Z14" s="5" t="s">
        <v>4</v>
      </c>
    </row>
    <row r="15" spans="1:26" x14ac:dyDescent="0.15">
      <c r="A15" s="6" t="s">
        <v>5</v>
      </c>
      <c r="B15" s="7" t="s">
        <v>6</v>
      </c>
      <c r="C15" s="6" t="s">
        <v>0</v>
      </c>
      <c r="D15" s="6" t="s">
        <v>2</v>
      </c>
      <c r="E15" s="6" t="s">
        <v>13</v>
      </c>
      <c r="F15" s="6" t="s">
        <v>15</v>
      </c>
      <c r="G15" s="6" t="s">
        <v>19</v>
      </c>
      <c r="H15" s="9" t="s">
        <v>20</v>
      </c>
      <c r="I15" s="6" t="s">
        <v>35</v>
      </c>
      <c r="J15" s="8" t="s">
        <v>17</v>
      </c>
      <c r="K15" s="6" t="s">
        <v>18</v>
      </c>
      <c r="L15" s="6" t="s">
        <v>24</v>
      </c>
      <c r="M15" s="6" t="s">
        <v>32</v>
      </c>
      <c r="N15" s="6" t="s">
        <v>33</v>
      </c>
      <c r="O15" s="89"/>
      <c r="P15" s="8" t="s">
        <v>7</v>
      </c>
      <c r="Q15" s="6" t="s">
        <v>7</v>
      </c>
      <c r="R15" s="8" t="s">
        <v>15</v>
      </c>
      <c r="S15" s="8" t="s">
        <v>7</v>
      </c>
      <c r="T15" s="8" t="s">
        <v>8</v>
      </c>
      <c r="U15" s="6" t="s">
        <v>7</v>
      </c>
      <c r="V15" s="8" t="s">
        <v>7</v>
      </c>
      <c r="W15" s="6" t="s">
        <v>7</v>
      </c>
      <c r="X15" s="8" t="s">
        <v>7</v>
      </c>
      <c r="Y15" s="6" t="s">
        <v>7</v>
      </c>
      <c r="Z15" s="8" t="s">
        <v>7</v>
      </c>
    </row>
    <row r="16" spans="1:26" x14ac:dyDescent="0.15">
      <c r="A16" s="11" t="s">
        <v>211</v>
      </c>
      <c r="B16" s="2" t="s">
        <v>261</v>
      </c>
      <c r="C16" s="18">
        <v>41091</v>
      </c>
      <c r="D16" s="21">
        <v>41182</v>
      </c>
      <c r="E16" s="2">
        <v>30</v>
      </c>
      <c r="F16" s="2">
        <v>1</v>
      </c>
      <c r="G16" s="11" t="s">
        <v>49</v>
      </c>
      <c r="H16" s="2">
        <v>200</v>
      </c>
      <c r="I16" s="15">
        <f>E16*F16*H16</f>
        <v>6000</v>
      </c>
      <c r="P16" s="15">
        <f t="shared" ref="P16:P23" si="8">I16+L16+M16+N16+O16</f>
        <v>6000</v>
      </c>
      <c r="Q16" s="15">
        <f>$P16*R16</f>
        <v>0</v>
      </c>
      <c r="R16" s="20">
        <f t="shared" ref="R16:R24" si="9">100%-T16</f>
        <v>0</v>
      </c>
      <c r="S16" s="15">
        <f>$P16*T16</f>
        <v>6000</v>
      </c>
      <c r="T16" s="20">
        <v>1</v>
      </c>
    </row>
    <row r="17" spans="1:26" x14ac:dyDescent="0.15">
      <c r="A17" s="11" t="s">
        <v>212</v>
      </c>
      <c r="B17" s="2" t="s">
        <v>124</v>
      </c>
      <c r="E17" s="19"/>
      <c r="F17" s="19"/>
      <c r="G17" s="97" t="s">
        <v>202</v>
      </c>
      <c r="H17" s="19"/>
      <c r="I17" s="98">
        <f>'3P3. Sistema de causas'!F2</f>
        <v>360000</v>
      </c>
      <c r="L17" s="15">
        <f t="shared" ref="L17:L24" si="10">J17+K17</f>
        <v>0</v>
      </c>
      <c r="P17" s="96">
        <f>I17+L17+M17+O17</f>
        <v>360000</v>
      </c>
      <c r="Q17" s="15">
        <f>$P17*R17</f>
        <v>360000</v>
      </c>
      <c r="R17" s="20">
        <f t="shared" si="9"/>
        <v>1</v>
      </c>
      <c r="S17" s="15">
        <f>$P17*T17</f>
        <v>0</v>
      </c>
      <c r="T17" s="20">
        <v>0</v>
      </c>
    </row>
    <row r="18" spans="1:26" ht="10.5" customHeight="1" x14ac:dyDescent="0.15">
      <c r="A18" s="11" t="s">
        <v>213</v>
      </c>
      <c r="B18" s="2" t="s">
        <v>123</v>
      </c>
      <c r="C18" s="24"/>
      <c r="D18" s="24"/>
      <c r="E18" s="19"/>
      <c r="F18" s="19"/>
      <c r="G18" s="97"/>
      <c r="H18" s="19"/>
      <c r="I18" s="98"/>
      <c r="L18" s="15">
        <f t="shared" si="10"/>
        <v>0</v>
      </c>
      <c r="P18" s="96"/>
      <c r="Q18" s="15">
        <f>$P18*R18</f>
        <v>0</v>
      </c>
      <c r="R18" s="20">
        <f t="shared" si="9"/>
        <v>1</v>
      </c>
      <c r="S18" s="15">
        <f>$P18*T18</f>
        <v>0</v>
      </c>
      <c r="T18" s="20">
        <v>0</v>
      </c>
    </row>
    <row r="19" spans="1:26" ht="10.5" customHeight="1" x14ac:dyDescent="0.15">
      <c r="A19" s="11" t="s">
        <v>214</v>
      </c>
      <c r="B19" s="2" t="s">
        <v>14</v>
      </c>
      <c r="C19" s="24"/>
      <c r="D19" s="24"/>
      <c r="E19" s="19"/>
      <c r="F19" s="19"/>
      <c r="G19" s="97"/>
      <c r="H19" s="19"/>
      <c r="I19" s="98"/>
      <c r="L19" s="15">
        <f t="shared" si="10"/>
        <v>0</v>
      </c>
      <c r="P19" s="96"/>
      <c r="Q19" s="15">
        <f>$P19*R19</f>
        <v>0</v>
      </c>
      <c r="R19" s="20">
        <f t="shared" si="9"/>
        <v>1</v>
      </c>
      <c r="S19" s="15">
        <f>$P19*T19</f>
        <v>0</v>
      </c>
      <c r="T19" s="20">
        <v>0</v>
      </c>
    </row>
    <row r="20" spans="1:26" ht="10.5" customHeight="1" x14ac:dyDescent="0.15">
      <c r="A20" s="11" t="s">
        <v>215</v>
      </c>
      <c r="B20" s="2" t="s">
        <v>195</v>
      </c>
      <c r="C20" s="24"/>
      <c r="D20" s="24"/>
      <c r="E20" s="19"/>
      <c r="F20" s="19"/>
      <c r="G20" s="97"/>
      <c r="H20" s="19"/>
      <c r="I20" s="98"/>
      <c r="L20" s="15">
        <f t="shared" si="10"/>
        <v>0</v>
      </c>
      <c r="P20" s="96"/>
      <c r="Q20" s="15">
        <f>$P20*R20</f>
        <v>0</v>
      </c>
      <c r="R20" s="20">
        <f t="shared" si="9"/>
        <v>1</v>
      </c>
      <c r="S20" s="15">
        <f>$P20*T20</f>
        <v>0</v>
      </c>
      <c r="T20" s="20">
        <v>0</v>
      </c>
    </row>
    <row r="21" spans="1:26" ht="10.5" customHeight="1" x14ac:dyDescent="0.15">
      <c r="A21" s="11" t="s">
        <v>243</v>
      </c>
      <c r="B21" s="2" t="s">
        <v>251</v>
      </c>
      <c r="C21" s="24"/>
      <c r="D21" s="24"/>
      <c r="E21" s="19"/>
      <c r="F21" s="19"/>
      <c r="G21" s="81" t="s">
        <v>202</v>
      </c>
      <c r="H21" s="19"/>
      <c r="I21" s="80">
        <f>'3P3. Sistema de causas'!F4</f>
        <v>353000</v>
      </c>
      <c r="L21" s="82"/>
      <c r="P21" s="82">
        <f t="shared" si="8"/>
        <v>353000</v>
      </c>
      <c r="Q21" s="82">
        <f t="shared" ref="Q21:Q23" si="11">$P21*R21</f>
        <v>353000</v>
      </c>
      <c r="R21" s="20">
        <f t="shared" ref="R21:R23" si="12">100%-T21</f>
        <v>1</v>
      </c>
      <c r="S21" s="82">
        <f t="shared" ref="S21:S23" si="13">$P21*T21</f>
        <v>0</v>
      </c>
      <c r="T21" s="20">
        <v>0</v>
      </c>
    </row>
    <row r="22" spans="1:26" x14ac:dyDescent="0.15">
      <c r="A22" s="11" t="s">
        <v>244</v>
      </c>
      <c r="B22" s="2" t="s">
        <v>192</v>
      </c>
      <c r="C22" s="24"/>
      <c r="D22" s="24"/>
      <c r="E22" s="19"/>
      <c r="F22" s="19"/>
      <c r="G22" s="18" t="s">
        <v>202</v>
      </c>
      <c r="H22" s="19"/>
      <c r="I22" s="15"/>
      <c r="L22" s="15"/>
      <c r="M22" s="87">
        <f>'3P3. Sistema de causas'!F7+'3P3. Sistema de causas'!F8</f>
        <v>365000</v>
      </c>
      <c r="N22" s="87"/>
      <c r="O22" s="88"/>
      <c r="P22" s="86">
        <f t="shared" si="8"/>
        <v>365000</v>
      </c>
      <c r="Q22" s="82">
        <f t="shared" si="11"/>
        <v>365000</v>
      </c>
      <c r="R22" s="20">
        <f t="shared" si="12"/>
        <v>1</v>
      </c>
      <c r="S22" s="82">
        <f t="shared" si="13"/>
        <v>0</v>
      </c>
      <c r="T22" s="20">
        <v>0</v>
      </c>
    </row>
    <row r="23" spans="1:26" x14ac:dyDescent="0.15">
      <c r="A23" s="11" t="s">
        <v>252</v>
      </c>
      <c r="B23" s="2" t="s">
        <v>235</v>
      </c>
      <c r="C23" s="24"/>
      <c r="D23" s="24"/>
      <c r="E23" s="19"/>
      <c r="F23" s="19"/>
      <c r="G23" s="81" t="s">
        <v>202</v>
      </c>
      <c r="H23" s="19"/>
      <c r="I23" s="82"/>
      <c r="L23" s="82"/>
      <c r="M23" s="87"/>
      <c r="N23" s="87">
        <v>350000</v>
      </c>
      <c r="O23" s="88"/>
      <c r="P23" s="86">
        <f t="shared" si="8"/>
        <v>350000</v>
      </c>
      <c r="Q23" s="82">
        <f t="shared" si="11"/>
        <v>350000</v>
      </c>
      <c r="R23" s="20">
        <f t="shared" si="12"/>
        <v>1</v>
      </c>
      <c r="S23" s="82">
        <f t="shared" si="13"/>
        <v>0</v>
      </c>
      <c r="T23" s="20">
        <v>0</v>
      </c>
    </row>
    <row r="24" spans="1:26" x14ac:dyDescent="0.15">
      <c r="A24" s="11" t="s">
        <v>253</v>
      </c>
      <c r="B24" s="2" t="s">
        <v>52</v>
      </c>
      <c r="C24" s="24"/>
      <c r="D24" s="24"/>
      <c r="E24" s="19">
        <v>120</v>
      </c>
      <c r="F24" s="19">
        <v>2</v>
      </c>
      <c r="G24" s="18" t="s">
        <v>49</v>
      </c>
      <c r="H24" s="19">
        <v>200</v>
      </c>
      <c r="I24" s="15">
        <f t="shared" ref="I24" si="14">E24*F24*H24</f>
        <v>48000</v>
      </c>
      <c r="J24" s="15">
        <f>3*150*15*F24</f>
        <v>13500</v>
      </c>
      <c r="K24" s="15">
        <f>300*F24*15</f>
        <v>9000</v>
      </c>
      <c r="L24" s="15">
        <f t="shared" si="10"/>
        <v>22500</v>
      </c>
      <c r="N24" s="26"/>
      <c r="O24" s="86">
        <f>100000+6000</f>
        <v>106000</v>
      </c>
      <c r="P24" s="15">
        <f>I24+L24+M24+N24+O24</f>
        <v>176500</v>
      </c>
      <c r="Q24" s="15">
        <f>$P24*R24</f>
        <v>0</v>
      </c>
      <c r="R24" s="20">
        <f t="shared" si="9"/>
        <v>0</v>
      </c>
      <c r="S24" s="15">
        <f>$P24*T24</f>
        <v>176500</v>
      </c>
      <c r="T24" s="20">
        <v>1</v>
      </c>
    </row>
    <row r="25" spans="1:26" x14ac:dyDescent="0.15">
      <c r="A25" s="12"/>
      <c r="B25" s="13" t="s">
        <v>23</v>
      </c>
      <c r="C25" s="14"/>
      <c r="D25" s="14"/>
      <c r="E25" s="14"/>
      <c r="F25" s="14"/>
      <c r="G25" s="14"/>
      <c r="H25" s="14"/>
      <c r="I25" s="16">
        <f>SUM(I16:I24)</f>
        <v>767000</v>
      </c>
      <c r="J25" s="16"/>
      <c r="K25" s="14"/>
      <c r="L25" s="16">
        <f>SUM(L16:L24)</f>
        <v>22500</v>
      </c>
      <c r="M25" s="16">
        <f t="shared" ref="M25" si="15">SUM(M17:M24)</f>
        <v>365000</v>
      </c>
      <c r="N25" s="16">
        <f>SUM(N16:N24)</f>
        <v>350000</v>
      </c>
      <c r="O25" s="16">
        <f>SUM(O16:O24)</f>
        <v>106000</v>
      </c>
      <c r="P25" s="16">
        <f>SUM(P16:P24)</f>
        <v>1610500</v>
      </c>
      <c r="Q25" s="16">
        <f t="shared" ref="Q25" si="16">SUM(Q16:Q24)</f>
        <v>1428000</v>
      </c>
      <c r="R25" s="16"/>
      <c r="S25" s="16">
        <f>SUM(S16:S24)</f>
        <v>182500</v>
      </c>
      <c r="T25" s="14"/>
      <c r="U25" s="14"/>
      <c r="V25" s="14"/>
      <c r="W25" s="14"/>
      <c r="X25" s="14"/>
      <c r="Y25" s="14"/>
      <c r="Z25" s="14"/>
    </row>
    <row r="26" spans="1:26" ht="11.45" customHeight="1" x14ac:dyDescent="0.15"/>
    <row r="27" spans="1:26" ht="11.45" customHeight="1" x14ac:dyDescent="0.15">
      <c r="U27" s="89">
        <v>2011</v>
      </c>
      <c r="V27" s="89"/>
      <c r="W27" s="90">
        <v>2012</v>
      </c>
      <c r="X27" s="90"/>
      <c r="Y27" s="89">
        <v>2013</v>
      </c>
      <c r="Z27" s="89"/>
    </row>
    <row r="28" spans="1:26" ht="23.25" customHeight="1" x14ac:dyDescent="0.15">
      <c r="A28" s="3" t="s">
        <v>216</v>
      </c>
      <c r="B28" s="4" t="s">
        <v>129</v>
      </c>
      <c r="C28" s="89" t="s">
        <v>22</v>
      </c>
      <c r="D28" s="89"/>
      <c r="E28" s="90" t="s">
        <v>12</v>
      </c>
      <c r="F28" s="90"/>
      <c r="G28" s="92" t="s">
        <v>16</v>
      </c>
      <c r="H28" s="92"/>
      <c r="I28" s="92"/>
      <c r="J28" s="89" t="s">
        <v>21</v>
      </c>
      <c r="K28" s="89"/>
      <c r="L28" s="89"/>
      <c r="M28" s="90" t="s">
        <v>31</v>
      </c>
      <c r="N28" s="90"/>
      <c r="O28" s="89" t="s">
        <v>230</v>
      </c>
      <c r="P28" s="5" t="s">
        <v>23</v>
      </c>
      <c r="Q28" s="89" t="s">
        <v>3</v>
      </c>
      <c r="R28" s="89"/>
      <c r="S28" s="90" t="s">
        <v>4</v>
      </c>
      <c r="T28" s="90"/>
      <c r="U28" s="5" t="s">
        <v>3</v>
      </c>
      <c r="V28" s="5" t="s">
        <v>4</v>
      </c>
      <c r="W28" s="5" t="s">
        <v>3</v>
      </c>
      <c r="X28" s="5" t="s">
        <v>4</v>
      </c>
      <c r="Y28" s="5" t="s">
        <v>3</v>
      </c>
      <c r="Z28" s="5" t="s">
        <v>4</v>
      </c>
    </row>
    <row r="29" spans="1:26" ht="11.45" customHeight="1" x14ac:dyDescent="0.15">
      <c r="A29" s="6" t="s">
        <v>5</v>
      </c>
      <c r="B29" s="7" t="s">
        <v>6</v>
      </c>
      <c r="C29" s="6" t="s">
        <v>0</v>
      </c>
      <c r="D29" s="6" t="s">
        <v>2</v>
      </c>
      <c r="E29" s="6" t="s">
        <v>13</v>
      </c>
      <c r="F29" s="6" t="s">
        <v>15</v>
      </c>
      <c r="G29" s="6" t="s">
        <v>19</v>
      </c>
      <c r="H29" s="9" t="s">
        <v>20</v>
      </c>
      <c r="I29" s="6" t="s">
        <v>35</v>
      </c>
      <c r="J29" s="8" t="s">
        <v>17</v>
      </c>
      <c r="K29" s="6" t="s">
        <v>18</v>
      </c>
      <c r="L29" s="6" t="s">
        <v>24</v>
      </c>
      <c r="M29" s="6" t="s">
        <v>32</v>
      </c>
      <c r="N29" s="6" t="s">
        <v>33</v>
      </c>
      <c r="O29" s="89"/>
      <c r="P29" s="8" t="s">
        <v>7</v>
      </c>
      <c r="Q29" s="6" t="s">
        <v>7</v>
      </c>
      <c r="R29" s="8" t="s">
        <v>15</v>
      </c>
      <c r="S29" s="8" t="s">
        <v>7</v>
      </c>
      <c r="T29" s="8" t="s">
        <v>8</v>
      </c>
      <c r="U29" s="6" t="s">
        <v>7</v>
      </c>
      <c r="V29" s="8" t="s">
        <v>7</v>
      </c>
      <c r="W29" s="6" t="s">
        <v>7</v>
      </c>
      <c r="X29" s="8" t="s">
        <v>7</v>
      </c>
      <c r="Y29" s="6" t="s">
        <v>7</v>
      </c>
      <c r="Z29" s="8" t="s">
        <v>7</v>
      </c>
    </row>
    <row r="30" spans="1:26" s="11" customFormat="1" x14ac:dyDescent="0.15">
      <c r="A30" s="11" t="s">
        <v>217</v>
      </c>
      <c r="B30" s="2" t="s">
        <v>258</v>
      </c>
      <c r="C30" s="25"/>
      <c r="D30" s="25"/>
      <c r="E30" s="2">
        <v>810</v>
      </c>
      <c r="F30" s="2">
        <v>0.25</v>
      </c>
      <c r="G30" s="11" t="s">
        <v>49</v>
      </c>
      <c r="H30" s="2">
        <v>200</v>
      </c>
      <c r="I30" s="84">
        <f>E30*F30*H30</f>
        <v>40500</v>
      </c>
      <c r="J30" s="2"/>
      <c r="K30" s="2"/>
      <c r="L30" s="84">
        <f>J30+K30</f>
        <v>0</v>
      </c>
      <c r="M30" s="2"/>
      <c r="N30" s="2"/>
      <c r="O30" s="2"/>
      <c r="P30" s="84">
        <f>I30+L30+M30+N30+O30</f>
        <v>40500</v>
      </c>
      <c r="Q30" s="84">
        <f>$P30*R30</f>
        <v>40500</v>
      </c>
      <c r="R30" s="20">
        <f>100%-T30</f>
        <v>1</v>
      </c>
      <c r="S30" s="84">
        <f>$P30*T30</f>
        <v>0</v>
      </c>
      <c r="T30" s="20">
        <v>0</v>
      </c>
    </row>
    <row r="31" spans="1:26" ht="11.45" customHeight="1" x14ac:dyDescent="0.15">
      <c r="A31" s="11" t="s">
        <v>218</v>
      </c>
      <c r="B31" s="2" t="s">
        <v>128</v>
      </c>
      <c r="C31" s="18">
        <v>41091</v>
      </c>
      <c r="D31" s="21">
        <v>41182</v>
      </c>
      <c r="E31" s="19">
        <v>60</v>
      </c>
      <c r="F31" s="19">
        <v>2</v>
      </c>
      <c r="G31" s="18" t="s">
        <v>49</v>
      </c>
      <c r="H31" s="2">
        <v>200</v>
      </c>
      <c r="I31" s="15">
        <f>E31*F31*H31</f>
        <v>24000</v>
      </c>
      <c r="L31" s="15">
        <f>J31+K31</f>
        <v>0</v>
      </c>
      <c r="P31" s="15">
        <f>I31+L31+M31+N31+O31</f>
        <v>24000</v>
      </c>
      <c r="Q31" s="15">
        <f>$P31*R31</f>
        <v>0</v>
      </c>
      <c r="R31" s="20">
        <f>100%-T31</f>
        <v>0</v>
      </c>
      <c r="S31" s="15">
        <f>$P31*T31</f>
        <v>24000</v>
      </c>
      <c r="T31" s="20">
        <v>1</v>
      </c>
    </row>
    <row r="32" spans="1:26" ht="11.45" customHeight="1" x14ac:dyDescent="0.15">
      <c r="A32" s="11" t="s">
        <v>219</v>
      </c>
      <c r="B32" s="2" t="s">
        <v>127</v>
      </c>
      <c r="C32" s="18"/>
      <c r="D32" s="21"/>
      <c r="E32" s="19">
        <v>60</v>
      </c>
      <c r="F32" s="19">
        <v>2</v>
      </c>
      <c r="G32" s="18" t="s">
        <v>49</v>
      </c>
      <c r="H32" s="2">
        <f>H31</f>
        <v>200</v>
      </c>
      <c r="I32" s="15">
        <f>E32*F32*H32</f>
        <v>24000</v>
      </c>
      <c r="L32" s="15">
        <f>J32+K32</f>
        <v>0</v>
      </c>
      <c r="P32" s="15">
        <f>I32+L32+M32+N32+O32</f>
        <v>24000</v>
      </c>
      <c r="Q32" s="15">
        <f>$P32*R32</f>
        <v>0</v>
      </c>
      <c r="R32" s="20">
        <f>100%-T32</f>
        <v>0</v>
      </c>
      <c r="S32" s="15">
        <f>$P32*T32</f>
        <v>24000</v>
      </c>
      <c r="T32" s="20">
        <v>1</v>
      </c>
    </row>
    <row r="33" spans="1:26" ht="11.45" customHeight="1" x14ac:dyDescent="0.15">
      <c r="A33" s="11" t="s">
        <v>220</v>
      </c>
      <c r="B33" s="2" t="s">
        <v>126</v>
      </c>
      <c r="C33" s="18"/>
      <c r="D33" s="18"/>
      <c r="E33" s="19">
        <v>60</v>
      </c>
      <c r="F33" s="19">
        <v>2</v>
      </c>
      <c r="G33" s="18" t="s">
        <v>49</v>
      </c>
      <c r="H33" s="2">
        <f>H32</f>
        <v>200</v>
      </c>
      <c r="I33" s="15">
        <f>E33*F33*H33</f>
        <v>24000</v>
      </c>
      <c r="L33" s="15">
        <f>J33+K33</f>
        <v>0</v>
      </c>
      <c r="P33" s="15">
        <f>I33+L33+M33+N33+O33</f>
        <v>24000</v>
      </c>
      <c r="Q33" s="15">
        <f>$P33*R33</f>
        <v>0</v>
      </c>
      <c r="R33" s="20">
        <f>100%-T33</f>
        <v>0</v>
      </c>
      <c r="S33" s="15">
        <f>$P33*T33</f>
        <v>24000</v>
      </c>
      <c r="T33" s="20">
        <v>1</v>
      </c>
    </row>
    <row r="34" spans="1:26" x14ac:dyDescent="0.15">
      <c r="A34" s="11" t="s">
        <v>263</v>
      </c>
      <c r="B34" s="2" t="s">
        <v>136</v>
      </c>
      <c r="C34" s="24"/>
      <c r="D34" s="24"/>
      <c r="G34" s="18"/>
      <c r="H34" s="19"/>
      <c r="I34" s="15"/>
      <c r="J34" s="15"/>
      <c r="K34" s="15"/>
      <c r="L34" s="15"/>
      <c r="O34" s="86">
        <v>100000</v>
      </c>
      <c r="P34" s="15">
        <f>I34+L34+M34+N34+O34</f>
        <v>100000</v>
      </c>
      <c r="Q34" s="15">
        <f>$P34*R34</f>
        <v>0</v>
      </c>
      <c r="R34" s="20">
        <f>100%-T34</f>
        <v>0</v>
      </c>
      <c r="S34" s="15">
        <f>$P34*T34</f>
        <v>100000</v>
      </c>
      <c r="T34" s="20">
        <v>1</v>
      </c>
    </row>
    <row r="35" spans="1:26" x14ac:dyDescent="0.15">
      <c r="A35" s="12"/>
      <c r="B35" s="13" t="s">
        <v>23</v>
      </c>
      <c r="C35" s="14"/>
      <c r="D35" s="14"/>
      <c r="E35" s="14"/>
      <c r="F35" s="14"/>
      <c r="G35" s="14"/>
      <c r="H35" s="14"/>
      <c r="I35" s="16">
        <f>SUM(I30:I34)</f>
        <v>112500</v>
      </c>
      <c r="J35" s="14"/>
      <c r="K35" s="14"/>
      <c r="L35" s="14"/>
      <c r="M35" s="14"/>
      <c r="N35" s="14"/>
      <c r="O35" s="16">
        <f>SUM(O30:O34)</f>
        <v>100000</v>
      </c>
      <c r="P35" s="16">
        <f>SUM(P30:P34)</f>
        <v>212500</v>
      </c>
      <c r="Q35" s="16">
        <f>SUM(Q30:Q34)</f>
        <v>40500</v>
      </c>
      <c r="R35" s="14"/>
      <c r="S35" s="16">
        <f>SUM(S30:S34)</f>
        <v>172000</v>
      </c>
      <c r="T35" s="14"/>
      <c r="U35" s="14"/>
      <c r="V35" s="14"/>
      <c r="W35" s="14"/>
      <c r="X35" s="14"/>
      <c r="Y35" s="14"/>
      <c r="Z35" s="14"/>
    </row>
    <row r="38" spans="1:26" ht="10.5" customHeight="1" x14ac:dyDescent="0.15">
      <c r="A38" s="3" t="s">
        <v>221</v>
      </c>
      <c r="B38" s="4" t="s">
        <v>137</v>
      </c>
      <c r="C38" s="89" t="s">
        <v>22</v>
      </c>
      <c r="D38" s="89"/>
      <c r="E38" s="90" t="s">
        <v>12</v>
      </c>
      <c r="F38" s="90"/>
      <c r="G38" s="92" t="s">
        <v>16</v>
      </c>
      <c r="H38" s="92"/>
      <c r="I38" s="92"/>
      <c r="J38" s="89" t="s">
        <v>21</v>
      </c>
      <c r="K38" s="89"/>
      <c r="L38" s="89"/>
      <c r="M38" s="90" t="s">
        <v>31</v>
      </c>
      <c r="N38" s="90"/>
      <c r="O38" s="89" t="s">
        <v>230</v>
      </c>
      <c r="P38" s="5" t="s">
        <v>23</v>
      </c>
      <c r="Q38" s="89" t="s">
        <v>3</v>
      </c>
      <c r="R38" s="89"/>
      <c r="S38" s="90" t="s">
        <v>4</v>
      </c>
      <c r="T38" s="90"/>
      <c r="U38" s="5" t="s">
        <v>3</v>
      </c>
      <c r="V38" s="5" t="s">
        <v>4</v>
      </c>
      <c r="W38" s="5" t="s">
        <v>3</v>
      </c>
      <c r="X38" s="5" t="s">
        <v>4</v>
      </c>
      <c r="Y38" s="5" t="s">
        <v>3</v>
      </c>
      <c r="Z38" s="5" t="s">
        <v>4</v>
      </c>
    </row>
    <row r="39" spans="1:26" x14ac:dyDescent="0.15">
      <c r="A39" s="6" t="s">
        <v>5</v>
      </c>
      <c r="B39" s="7" t="s">
        <v>6</v>
      </c>
      <c r="C39" s="6" t="s">
        <v>0</v>
      </c>
      <c r="D39" s="6" t="s">
        <v>2</v>
      </c>
      <c r="E39" s="6" t="s">
        <v>13</v>
      </c>
      <c r="F39" s="6" t="s">
        <v>15</v>
      </c>
      <c r="G39" s="6" t="s">
        <v>19</v>
      </c>
      <c r="H39" s="9" t="s">
        <v>20</v>
      </c>
      <c r="I39" s="6" t="s">
        <v>35</v>
      </c>
      <c r="J39" s="8" t="s">
        <v>17</v>
      </c>
      <c r="K39" s="6" t="s">
        <v>18</v>
      </c>
      <c r="L39" s="6" t="s">
        <v>24</v>
      </c>
      <c r="M39" s="6" t="s">
        <v>32</v>
      </c>
      <c r="N39" s="6" t="s">
        <v>33</v>
      </c>
      <c r="O39" s="89"/>
      <c r="P39" s="8" t="s">
        <v>7</v>
      </c>
      <c r="Q39" s="6" t="s">
        <v>7</v>
      </c>
      <c r="R39" s="8" t="s">
        <v>15</v>
      </c>
      <c r="S39" s="8" t="s">
        <v>7</v>
      </c>
      <c r="T39" s="8" t="s">
        <v>8</v>
      </c>
      <c r="U39" s="6" t="s">
        <v>7</v>
      </c>
      <c r="V39" s="8" t="s">
        <v>7</v>
      </c>
      <c r="W39" s="6" t="s">
        <v>7</v>
      </c>
      <c r="X39" s="8" t="s">
        <v>7</v>
      </c>
      <c r="Y39" s="6" t="s">
        <v>7</v>
      </c>
      <c r="Z39" s="8" t="s">
        <v>7</v>
      </c>
    </row>
    <row r="40" spans="1:26" x14ac:dyDescent="0.15">
      <c r="A40" s="11" t="s">
        <v>242</v>
      </c>
      <c r="B40" s="2" t="s">
        <v>261</v>
      </c>
      <c r="C40" s="18">
        <v>41091</v>
      </c>
      <c r="D40" s="21">
        <v>41182</v>
      </c>
      <c r="E40" s="2">
        <v>30</v>
      </c>
      <c r="F40" s="2">
        <v>1</v>
      </c>
      <c r="G40" s="11" t="s">
        <v>49</v>
      </c>
      <c r="H40" s="2">
        <v>200</v>
      </c>
      <c r="I40" s="15">
        <f>E40*F40*H40</f>
        <v>6000</v>
      </c>
      <c r="P40" s="15">
        <f t="shared" ref="P40:P46" si="17">I40+L40+M40+N40+O40</f>
        <v>6000</v>
      </c>
      <c r="Q40" s="15">
        <f t="shared" ref="Q40:Q46" si="18">$P40*R40</f>
        <v>0</v>
      </c>
      <c r="R40" s="20">
        <f t="shared" ref="R40:R46" si="19">100%-T40</f>
        <v>0</v>
      </c>
      <c r="S40" s="15">
        <f t="shared" ref="S40:S46" si="20">$P40*T40</f>
        <v>6000</v>
      </c>
      <c r="T40" s="20">
        <v>1</v>
      </c>
    </row>
    <row r="41" spans="1:26" ht="11.25" customHeight="1" x14ac:dyDescent="0.15">
      <c r="A41" s="11" t="s">
        <v>245</v>
      </c>
      <c r="B41" s="2" t="s">
        <v>138</v>
      </c>
      <c r="E41" s="19"/>
      <c r="F41" s="19"/>
      <c r="G41" s="97" t="s">
        <v>202</v>
      </c>
      <c r="H41" s="19"/>
      <c r="I41" s="95">
        <f>'3P4. Sistema de expedientes'!F2</f>
        <v>132000</v>
      </c>
      <c r="L41" s="15">
        <f>J41+K41</f>
        <v>0</v>
      </c>
      <c r="P41" s="96">
        <f>I41+L42+M42+I42+O42</f>
        <v>132000</v>
      </c>
      <c r="Q41" s="15">
        <v>0</v>
      </c>
      <c r="R41" s="20">
        <f t="shared" si="19"/>
        <v>0</v>
      </c>
      <c r="S41" s="96">
        <f>P41*T41</f>
        <v>132000</v>
      </c>
      <c r="T41" s="20">
        <v>1</v>
      </c>
    </row>
    <row r="42" spans="1:26" ht="10.5" customHeight="1" x14ac:dyDescent="0.15">
      <c r="A42" s="11" t="s">
        <v>246</v>
      </c>
      <c r="B42" s="2" t="s">
        <v>123</v>
      </c>
      <c r="C42" s="24"/>
      <c r="D42" s="24"/>
      <c r="E42" s="19"/>
      <c r="F42" s="19"/>
      <c r="G42" s="97"/>
      <c r="H42" s="19"/>
      <c r="I42" s="95"/>
      <c r="L42" s="15">
        <f>J42+K42</f>
        <v>0</v>
      </c>
      <c r="P42" s="96"/>
      <c r="Q42" s="78">
        <f>$P41*R42</f>
        <v>0</v>
      </c>
      <c r="R42" s="20">
        <f t="shared" si="19"/>
        <v>0</v>
      </c>
      <c r="S42" s="96"/>
      <c r="T42" s="20">
        <v>1</v>
      </c>
    </row>
    <row r="43" spans="1:26" ht="10.5" customHeight="1" x14ac:dyDescent="0.15">
      <c r="A43" s="11" t="s">
        <v>247</v>
      </c>
      <c r="B43" s="2" t="s">
        <v>14</v>
      </c>
      <c r="C43" s="24"/>
      <c r="D43" s="24"/>
      <c r="E43" s="19"/>
      <c r="F43" s="19"/>
      <c r="G43" s="97"/>
      <c r="H43" s="19"/>
      <c r="I43" s="95"/>
      <c r="L43" s="15">
        <f>J43+K43</f>
        <v>0</v>
      </c>
      <c r="P43" s="96"/>
      <c r="Q43" s="15">
        <f t="shared" si="18"/>
        <v>0</v>
      </c>
      <c r="R43" s="20">
        <f t="shared" si="19"/>
        <v>0</v>
      </c>
      <c r="S43" s="96"/>
      <c r="T43" s="20">
        <v>1</v>
      </c>
    </row>
    <row r="44" spans="1:26" ht="10.5" customHeight="1" x14ac:dyDescent="0.15">
      <c r="A44" s="11" t="s">
        <v>248</v>
      </c>
      <c r="B44" s="2" t="s">
        <v>122</v>
      </c>
      <c r="C44" s="24"/>
      <c r="D44" s="24"/>
      <c r="E44" s="19"/>
      <c r="F44" s="19"/>
      <c r="G44" s="97"/>
      <c r="H44" s="19"/>
      <c r="I44" s="95"/>
      <c r="L44" s="15">
        <f>J44+K44</f>
        <v>0</v>
      </c>
      <c r="P44" s="96"/>
      <c r="Q44" s="15">
        <f>$P44*R44</f>
        <v>0</v>
      </c>
      <c r="R44" s="20">
        <f t="shared" si="19"/>
        <v>0</v>
      </c>
      <c r="S44" s="96"/>
      <c r="T44" s="20">
        <v>1</v>
      </c>
    </row>
    <row r="45" spans="1:26" x14ac:dyDescent="0.15">
      <c r="A45" s="11" t="s">
        <v>249</v>
      </c>
      <c r="B45" s="2" t="s">
        <v>121</v>
      </c>
      <c r="C45" s="24"/>
      <c r="D45" s="24"/>
      <c r="E45" s="19"/>
      <c r="F45" s="19"/>
      <c r="G45" s="18"/>
      <c r="H45" s="19"/>
      <c r="I45" s="15">
        <f t="shared" ref="I45" si="21">E45*F45*H45</f>
        <v>0</v>
      </c>
      <c r="L45" s="15">
        <f>J45+K45</f>
        <v>0</v>
      </c>
      <c r="M45" s="87">
        <f>'3P4. Sistema de expedientes'!F4+'3P4. Sistema de expedientes'!F5</f>
        <v>40000</v>
      </c>
      <c r="N45" s="87"/>
      <c r="O45" s="88"/>
      <c r="P45" s="86">
        <f t="shared" si="17"/>
        <v>40000</v>
      </c>
      <c r="Q45" s="15">
        <f t="shared" si="18"/>
        <v>0</v>
      </c>
      <c r="R45" s="20">
        <f t="shared" si="19"/>
        <v>0</v>
      </c>
      <c r="S45" s="15">
        <f t="shared" si="20"/>
        <v>40000</v>
      </c>
      <c r="T45" s="20">
        <v>1</v>
      </c>
    </row>
    <row r="46" spans="1:26" x14ac:dyDescent="0.15">
      <c r="A46" s="11" t="s">
        <v>250</v>
      </c>
      <c r="B46" s="2" t="s">
        <v>52</v>
      </c>
      <c r="C46" s="24"/>
      <c r="D46" s="24"/>
      <c r="E46" s="19"/>
      <c r="F46" s="19"/>
      <c r="G46" s="18"/>
      <c r="H46" s="19"/>
      <c r="I46" s="15"/>
      <c r="J46" s="15"/>
      <c r="K46" s="15"/>
      <c r="L46" s="15"/>
      <c r="M46" s="88"/>
      <c r="N46" s="87"/>
      <c r="O46" s="86">
        <v>60000</v>
      </c>
      <c r="P46" s="86">
        <f t="shared" si="17"/>
        <v>60000</v>
      </c>
      <c r="Q46" s="15">
        <f t="shared" si="18"/>
        <v>0</v>
      </c>
      <c r="R46" s="20">
        <f t="shared" si="19"/>
        <v>0</v>
      </c>
      <c r="S46" s="15">
        <f t="shared" si="20"/>
        <v>60000</v>
      </c>
      <c r="T46" s="20">
        <v>1</v>
      </c>
    </row>
    <row r="47" spans="1:26" x14ac:dyDescent="0.15">
      <c r="A47" s="12"/>
      <c r="B47" s="13" t="s">
        <v>23</v>
      </c>
      <c r="C47" s="14"/>
      <c r="D47" s="14"/>
      <c r="E47" s="14"/>
      <c r="F47" s="14"/>
      <c r="G47" s="14"/>
      <c r="H47" s="14"/>
      <c r="I47" s="16">
        <f>SUM(I40:I46)</f>
        <v>138000</v>
      </c>
      <c r="J47" s="14"/>
      <c r="K47" s="14"/>
      <c r="L47" s="16">
        <f>SUM(L41:L46)</f>
        <v>0</v>
      </c>
      <c r="M47" s="16">
        <f>SUM(M40:M46)</f>
        <v>40000</v>
      </c>
      <c r="N47" s="14"/>
      <c r="O47" s="16">
        <f>SUM(O40:O46)</f>
        <v>60000</v>
      </c>
      <c r="P47" s="16">
        <f>SUM(P40:P46)</f>
        <v>238000</v>
      </c>
      <c r="Q47" s="16">
        <f>SUM(Q40:Q46)</f>
        <v>0</v>
      </c>
      <c r="R47" s="14"/>
      <c r="S47" s="16">
        <f>SUM(S40:S46)</f>
        <v>238000</v>
      </c>
      <c r="T47" s="14"/>
      <c r="U47" s="14"/>
      <c r="V47" s="14"/>
      <c r="W47" s="14"/>
      <c r="X47" s="14"/>
      <c r="Y47" s="14"/>
      <c r="Z47" s="14"/>
    </row>
    <row r="50" spans="1:26" s="1" customFormat="1" ht="10.5" customHeight="1" x14ac:dyDescent="0.15">
      <c r="A50" s="3" t="s">
        <v>222</v>
      </c>
      <c r="B50" s="4" t="s">
        <v>139</v>
      </c>
      <c r="C50" s="89" t="s">
        <v>22</v>
      </c>
      <c r="D50" s="89"/>
      <c r="E50" s="90" t="s">
        <v>12</v>
      </c>
      <c r="F50" s="90"/>
      <c r="G50" s="92" t="s">
        <v>16</v>
      </c>
      <c r="H50" s="92"/>
      <c r="I50" s="92"/>
      <c r="J50" s="89" t="s">
        <v>21</v>
      </c>
      <c r="K50" s="89"/>
      <c r="L50" s="89"/>
      <c r="M50" s="90" t="s">
        <v>31</v>
      </c>
      <c r="N50" s="90"/>
      <c r="O50" s="89" t="s">
        <v>230</v>
      </c>
      <c r="P50" s="5" t="s">
        <v>23</v>
      </c>
      <c r="Q50" s="89" t="s">
        <v>3</v>
      </c>
      <c r="R50" s="89"/>
      <c r="S50" s="89" t="s">
        <v>4</v>
      </c>
      <c r="T50" s="89"/>
      <c r="U50" s="5" t="s">
        <v>3</v>
      </c>
      <c r="V50" s="5" t="s">
        <v>4</v>
      </c>
      <c r="W50" s="5" t="s">
        <v>3</v>
      </c>
      <c r="X50" s="5" t="s">
        <v>4</v>
      </c>
      <c r="Y50" s="5" t="s">
        <v>3</v>
      </c>
      <c r="Z50" s="5" t="s">
        <v>4</v>
      </c>
    </row>
    <row r="51" spans="1:26" s="1" customFormat="1" x14ac:dyDescent="0.15">
      <c r="A51" s="6" t="s">
        <v>5</v>
      </c>
      <c r="B51" s="7" t="s">
        <v>6</v>
      </c>
      <c r="C51" s="6" t="s">
        <v>0</v>
      </c>
      <c r="D51" s="6" t="s">
        <v>2</v>
      </c>
      <c r="E51" s="6" t="s">
        <v>13</v>
      </c>
      <c r="F51" s="6" t="s">
        <v>62</v>
      </c>
      <c r="G51" s="6" t="s">
        <v>19</v>
      </c>
      <c r="H51" s="9" t="s">
        <v>20</v>
      </c>
      <c r="I51" s="6" t="s">
        <v>35</v>
      </c>
      <c r="J51" s="8" t="s">
        <v>17</v>
      </c>
      <c r="K51" s="6" t="s">
        <v>18</v>
      </c>
      <c r="L51" s="6" t="s">
        <v>24</v>
      </c>
      <c r="M51" s="6" t="s">
        <v>32</v>
      </c>
      <c r="N51" s="6" t="s">
        <v>33</v>
      </c>
      <c r="O51" s="89"/>
      <c r="P51" s="8" t="s">
        <v>7</v>
      </c>
      <c r="Q51" s="6" t="s">
        <v>7</v>
      </c>
      <c r="R51" s="8" t="s">
        <v>15</v>
      </c>
      <c r="S51" s="8" t="s">
        <v>7</v>
      </c>
      <c r="T51" s="8" t="s">
        <v>8</v>
      </c>
      <c r="U51" s="6" t="s">
        <v>7</v>
      </c>
      <c r="V51" s="8" t="s">
        <v>7</v>
      </c>
      <c r="W51" s="6" t="s">
        <v>7</v>
      </c>
      <c r="X51" s="8" t="s">
        <v>7</v>
      </c>
      <c r="Y51" s="6" t="s">
        <v>7</v>
      </c>
      <c r="Z51" s="8" t="s">
        <v>7</v>
      </c>
    </row>
    <row r="52" spans="1:26" s="11" customFormat="1" x14ac:dyDescent="0.15">
      <c r="A52" s="17" t="s">
        <v>223</v>
      </c>
      <c r="B52" s="2" t="s">
        <v>258</v>
      </c>
      <c r="C52" s="83"/>
      <c r="D52" s="83"/>
      <c r="E52" s="2">
        <v>810</v>
      </c>
      <c r="F52" s="2">
        <v>0.5</v>
      </c>
      <c r="G52" s="11" t="s">
        <v>49</v>
      </c>
      <c r="H52" s="2">
        <v>200</v>
      </c>
      <c r="I52" s="84">
        <f>E52*F52*H52</f>
        <v>81000</v>
      </c>
      <c r="J52" s="84"/>
      <c r="K52" s="84"/>
      <c r="L52" s="84"/>
      <c r="M52" s="84"/>
      <c r="N52" s="84"/>
      <c r="O52" s="84"/>
      <c r="P52" s="84">
        <f>I52+L52+M52+N52+O52</f>
        <v>81000</v>
      </c>
      <c r="Q52" s="84">
        <f>$P52*R52</f>
        <v>81000</v>
      </c>
      <c r="R52" s="20">
        <f>100%-T52</f>
        <v>1</v>
      </c>
      <c r="S52" s="84">
        <f>$P52*T52</f>
        <v>0</v>
      </c>
      <c r="T52" s="20">
        <v>0</v>
      </c>
    </row>
    <row r="53" spans="1:26" s="1" customFormat="1" x14ac:dyDescent="0.15">
      <c r="A53" s="17" t="s">
        <v>224</v>
      </c>
      <c r="B53" s="2" t="s">
        <v>78</v>
      </c>
      <c r="C53" s="18"/>
      <c r="D53" s="18"/>
      <c r="E53" s="2">
        <v>60</v>
      </c>
      <c r="F53" s="2">
        <v>2</v>
      </c>
      <c r="G53" s="11" t="s">
        <v>49</v>
      </c>
      <c r="H53" s="2">
        <v>200</v>
      </c>
      <c r="I53" s="15">
        <f>E53*F53*H53</f>
        <v>24000</v>
      </c>
      <c r="J53" s="15"/>
      <c r="K53" s="15"/>
      <c r="L53" s="15">
        <f>J53+K53</f>
        <v>0</v>
      </c>
      <c r="M53" s="15"/>
      <c r="N53" s="15"/>
      <c r="O53" s="15"/>
      <c r="P53" s="15">
        <f>I53+L53+M53+N53+O53</f>
        <v>24000</v>
      </c>
      <c r="Q53" s="15">
        <f>$P53*R53</f>
        <v>0</v>
      </c>
      <c r="R53" s="20">
        <f>100%-T53</f>
        <v>0</v>
      </c>
      <c r="S53" s="15">
        <f>$P53*T53</f>
        <v>24000</v>
      </c>
      <c r="T53" s="20">
        <v>1</v>
      </c>
      <c r="U53" s="2"/>
      <c r="V53" s="2"/>
      <c r="W53" s="2"/>
      <c r="X53" s="2"/>
      <c r="Y53" s="2"/>
      <c r="Z53" s="2"/>
    </row>
    <row r="54" spans="1:26" s="1" customFormat="1" x14ac:dyDescent="0.15">
      <c r="A54" s="17" t="s">
        <v>225</v>
      </c>
      <c r="B54" s="2" t="s">
        <v>79</v>
      </c>
      <c r="C54" s="18"/>
      <c r="D54" s="18"/>
      <c r="E54" s="2">
        <v>60</v>
      </c>
      <c r="F54" s="2">
        <v>2</v>
      </c>
      <c r="G54" s="11" t="s">
        <v>49</v>
      </c>
      <c r="H54" s="2">
        <f>H53</f>
        <v>200</v>
      </c>
      <c r="I54" s="15">
        <f>E54*F54*H54</f>
        <v>24000</v>
      </c>
      <c r="J54" s="15"/>
      <c r="K54" s="15"/>
      <c r="L54" s="15"/>
      <c r="M54" s="15"/>
      <c r="N54" s="15"/>
      <c r="O54" s="15"/>
      <c r="P54" s="15">
        <f>I54+L54+M54+N54+O54</f>
        <v>24000</v>
      </c>
      <c r="Q54" s="15">
        <f>$P54*R54</f>
        <v>0</v>
      </c>
      <c r="R54" s="20">
        <f>100%-T54</f>
        <v>0</v>
      </c>
      <c r="S54" s="15">
        <f>$P54*T54</f>
        <v>24000</v>
      </c>
      <c r="T54" s="20">
        <v>1</v>
      </c>
      <c r="U54" s="2"/>
      <c r="V54" s="2"/>
      <c r="W54" s="2"/>
      <c r="X54" s="2"/>
      <c r="Y54" s="2"/>
      <c r="Z54" s="2"/>
    </row>
    <row r="55" spans="1:26" s="1" customFormat="1" x14ac:dyDescent="0.15">
      <c r="A55" s="17" t="s">
        <v>260</v>
      </c>
      <c r="B55" s="2" t="s">
        <v>140</v>
      </c>
      <c r="C55" s="18"/>
      <c r="D55" s="21"/>
      <c r="E55" s="2"/>
      <c r="F55" s="2"/>
      <c r="G55" s="11"/>
      <c r="H55" s="2"/>
      <c r="I55" s="15"/>
      <c r="J55" s="15"/>
      <c r="K55" s="15"/>
      <c r="L55" s="15"/>
      <c r="M55" s="15"/>
      <c r="N55" s="15"/>
      <c r="O55" s="86">
        <f>200000+81000</f>
        <v>281000</v>
      </c>
      <c r="P55" s="86">
        <f>I55+L55+M55+N55+O55</f>
        <v>281000</v>
      </c>
      <c r="Q55" s="15">
        <f>$P55*R55</f>
        <v>0</v>
      </c>
      <c r="R55" s="20">
        <f>100%-T55</f>
        <v>0</v>
      </c>
      <c r="S55" s="15">
        <f>$P55*T55</f>
        <v>281000</v>
      </c>
      <c r="T55" s="20">
        <v>1</v>
      </c>
      <c r="U55" s="2"/>
      <c r="V55" s="2"/>
      <c r="W55" s="2"/>
      <c r="X55" s="2"/>
      <c r="Y55" s="2"/>
      <c r="Z55" s="2"/>
    </row>
    <row r="56" spans="1:26" s="1" customFormat="1" x14ac:dyDescent="0.15">
      <c r="A56" s="12"/>
      <c r="B56" s="13" t="s">
        <v>23</v>
      </c>
      <c r="C56" s="14"/>
      <c r="D56" s="14"/>
      <c r="E56" s="14"/>
      <c r="F56" s="14"/>
      <c r="G56" s="14"/>
      <c r="H56" s="14"/>
      <c r="I56" s="16">
        <f>SUM(I52:I55)</f>
        <v>129000</v>
      </c>
      <c r="J56" s="14"/>
      <c r="K56" s="14"/>
      <c r="L56" s="16">
        <f>SUM(L52:L55)</f>
        <v>0</v>
      </c>
      <c r="M56" s="14"/>
      <c r="N56" s="14"/>
      <c r="O56" s="16">
        <f>SUM(O52:O55)</f>
        <v>281000</v>
      </c>
      <c r="P56" s="16">
        <f>SUM(P52:P55)</f>
        <v>410000</v>
      </c>
      <c r="Q56" s="16">
        <f>SUM(Q52:Q55)</f>
        <v>81000</v>
      </c>
      <c r="R56" s="14"/>
      <c r="S56" s="16">
        <f>SUM(S52:S55)</f>
        <v>329000</v>
      </c>
      <c r="T56" s="14"/>
      <c r="U56" s="14"/>
      <c r="V56" s="14"/>
      <c r="W56" s="14"/>
      <c r="X56" s="14"/>
      <c r="Y56" s="14"/>
      <c r="Z56" s="14"/>
    </row>
    <row r="58" spans="1:26" x14ac:dyDescent="0.15">
      <c r="B58" s="13" t="s">
        <v>200</v>
      </c>
      <c r="I58" s="16">
        <f>I11+I35+I25+I47+I56</f>
        <v>1283000</v>
      </c>
      <c r="L58" s="16">
        <f>L11+L35+L25+L47+L56</f>
        <v>22500</v>
      </c>
      <c r="O58" s="16">
        <f>O11+O35+O25+O47+O56</f>
        <v>647000</v>
      </c>
      <c r="P58" s="16">
        <f>P11+P35+P25+P47+P56</f>
        <v>2707500</v>
      </c>
      <c r="Q58" s="16">
        <f>Q11+Q35+Q25+Q47+Q56</f>
        <v>1590000</v>
      </c>
      <c r="S58" s="16">
        <f>S11+S35+S25+S47+S56</f>
        <v>1117500</v>
      </c>
    </row>
    <row r="61" spans="1:26" x14ac:dyDescent="0.15">
      <c r="Q61" s="26">
        <f>Q25+S25</f>
        <v>1610500</v>
      </c>
    </row>
    <row r="62" spans="1:26" x14ac:dyDescent="0.15">
      <c r="Q62" s="26">
        <f>Q58+S58</f>
        <v>2707500</v>
      </c>
    </row>
    <row r="64" spans="1:26" x14ac:dyDescent="0.15">
      <c r="S64" s="2">
        <f>71000/P22</f>
        <v>0.19452054794520549</v>
      </c>
    </row>
  </sheetData>
  <mergeCells count="54">
    <mergeCell ref="M14:N14"/>
    <mergeCell ref="U2:V2"/>
    <mergeCell ref="W2:X2"/>
    <mergeCell ref="Y2:Z2"/>
    <mergeCell ref="Q14:R14"/>
    <mergeCell ref="U27:V27"/>
    <mergeCell ref="W27:X27"/>
    <mergeCell ref="Y27:Z27"/>
    <mergeCell ref="S14:T14"/>
    <mergeCell ref="B1:T1"/>
    <mergeCell ref="S3:T3"/>
    <mergeCell ref="E3:F3"/>
    <mergeCell ref="J3:L3"/>
    <mergeCell ref="C3:D3"/>
    <mergeCell ref="Q3:R3"/>
    <mergeCell ref="G3:I3"/>
    <mergeCell ref="M3:N3"/>
    <mergeCell ref="O3:O4"/>
    <mergeCell ref="O14:O15"/>
    <mergeCell ref="P17:P20"/>
    <mergeCell ref="I17:I20"/>
    <mergeCell ref="C28:D28"/>
    <mergeCell ref="E28:F28"/>
    <mergeCell ref="S28:T28"/>
    <mergeCell ref="M28:N28"/>
    <mergeCell ref="O28:O29"/>
    <mergeCell ref="G28:I28"/>
    <mergeCell ref="J28:L28"/>
    <mergeCell ref="Q28:R28"/>
    <mergeCell ref="G17:G20"/>
    <mergeCell ref="C14:D14"/>
    <mergeCell ref="E14:F14"/>
    <mergeCell ref="G14:I14"/>
    <mergeCell ref="J14:L14"/>
    <mergeCell ref="C38:D38"/>
    <mergeCell ref="E38:F38"/>
    <mergeCell ref="G38:I38"/>
    <mergeCell ref="J38:L38"/>
    <mergeCell ref="O50:O51"/>
    <mergeCell ref="O38:O39"/>
    <mergeCell ref="M50:N50"/>
    <mergeCell ref="C50:D50"/>
    <mergeCell ref="E50:F50"/>
    <mergeCell ref="G50:I50"/>
    <mergeCell ref="J50:L50"/>
    <mergeCell ref="G41:G44"/>
    <mergeCell ref="M38:N38"/>
    <mergeCell ref="Q50:R50"/>
    <mergeCell ref="S50:T50"/>
    <mergeCell ref="Q38:R38"/>
    <mergeCell ref="S38:T38"/>
    <mergeCell ref="I41:I44"/>
    <mergeCell ref="P41:P44"/>
    <mergeCell ref="S41:S44"/>
  </mergeCells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5"/>
  <sheetViews>
    <sheetView zoomScale="80" zoomScaleNormal="80" workbookViewId="0">
      <selection activeCell="I27" sqref="I27"/>
    </sheetView>
  </sheetViews>
  <sheetFormatPr defaultColWidth="11" defaultRowHeight="10.5" x14ac:dyDescent="0.15"/>
  <cols>
    <col min="1" max="1" width="5.875" style="11" customWidth="1"/>
    <col min="2" max="2" width="57.75" style="2" customWidth="1"/>
    <col min="3" max="3" width="9.25" style="2" customWidth="1"/>
    <col min="4" max="4" width="8.25" style="2" customWidth="1"/>
    <col min="5" max="5" width="7.25" style="2" customWidth="1"/>
    <col min="6" max="8" width="8.125" style="2" customWidth="1"/>
    <col min="9" max="9" width="9.75" style="2" customWidth="1"/>
    <col min="10" max="10" width="11.75" style="2" customWidth="1"/>
    <col min="11" max="16" width="10.125" style="2" customWidth="1"/>
    <col min="17" max="17" width="8.875" style="2" bestFit="1" customWidth="1"/>
    <col min="18" max="18" width="6.5" style="2" customWidth="1"/>
    <col min="19" max="19" width="6.375" style="2" bestFit="1" customWidth="1"/>
    <col min="20" max="20" width="7" style="2" customWidth="1"/>
    <col min="21" max="21" width="9.75" style="2" customWidth="1"/>
    <col min="22" max="22" width="9.5" style="2" customWidth="1"/>
    <col min="23" max="23" width="9.875" style="2" customWidth="1"/>
    <col min="24" max="24" width="9.25" style="2" customWidth="1"/>
    <col min="25" max="25" width="9.75" style="2" customWidth="1"/>
    <col min="26" max="26" width="9.25" style="2" customWidth="1"/>
    <col min="27" max="16384" width="11" style="2"/>
  </cols>
  <sheetData>
    <row r="1" spans="1:26" x14ac:dyDescent="0.15">
      <c r="A1" s="10"/>
      <c r="B1" s="91" t="s">
        <v>141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6" ht="10.5" customHeight="1" x14ac:dyDescent="0.15">
      <c r="U2" s="89">
        <v>2011</v>
      </c>
      <c r="V2" s="89"/>
      <c r="W2" s="90">
        <v>2012</v>
      </c>
      <c r="X2" s="90"/>
      <c r="Y2" s="89">
        <v>2013</v>
      </c>
      <c r="Z2" s="89"/>
    </row>
    <row r="3" spans="1:26" ht="23.25" customHeight="1" x14ac:dyDescent="0.15">
      <c r="A3" s="3" t="s">
        <v>148</v>
      </c>
      <c r="B3" s="4" t="s">
        <v>147</v>
      </c>
      <c r="C3" s="89" t="s">
        <v>22</v>
      </c>
      <c r="D3" s="89"/>
      <c r="E3" s="90" t="s">
        <v>12</v>
      </c>
      <c r="F3" s="90"/>
      <c r="G3" s="92" t="s">
        <v>16</v>
      </c>
      <c r="H3" s="92"/>
      <c r="I3" s="92"/>
      <c r="J3" s="89" t="s">
        <v>21</v>
      </c>
      <c r="K3" s="89"/>
      <c r="L3" s="89"/>
      <c r="M3" s="90" t="s">
        <v>31</v>
      </c>
      <c r="N3" s="90"/>
      <c r="O3" s="89" t="s">
        <v>230</v>
      </c>
      <c r="P3" s="5" t="s">
        <v>23</v>
      </c>
      <c r="Q3" s="89" t="s">
        <v>3</v>
      </c>
      <c r="R3" s="89"/>
      <c r="S3" s="89" t="s">
        <v>4</v>
      </c>
      <c r="T3" s="89"/>
      <c r="U3" s="5" t="s">
        <v>3</v>
      </c>
      <c r="V3" s="5" t="s">
        <v>4</v>
      </c>
      <c r="W3" s="5" t="s">
        <v>3</v>
      </c>
      <c r="X3" s="5" t="s">
        <v>4</v>
      </c>
      <c r="Y3" s="5" t="s">
        <v>3</v>
      </c>
      <c r="Z3" s="5" t="s">
        <v>4</v>
      </c>
    </row>
    <row r="4" spans="1:26" x14ac:dyDescent="0.15">
      <c r="A4" s="6" t="s">
        <v>5</v>
      </c>
      <c r="B4" s="7" t="s">
        <v>6</v>
      </c>
      <c r="C4" s="6" t="s">
        <v>0</v>
      </c>
      <c r="D4" s="6" t="s">
        <v>2</v>
      </c>
      <c r="E4" s="6" t="s">
        <v>13</v>
      </c>
      <c r="F4" s="6" t="s">
        <v>15</v>
      </c>
      <c r="G4" s="6" t="s">
        <v>19</v>
      </c>
      <c r="H4" s="9" t="s">
        <v>20</v>
      </c>
      <c r="I4" s="6" t="s">
        <v>35</v>
      </c>
      <c r="J4" s="8" t="s">
        <v>17</v>
      </c>
      <c r="K4" s="6" t="s">
        <v>18</v>
      </c>
      <c r="L4" s="6" t="s">
        <v>24</v>
      </c>
      <c r="M4" s="6" t="s">
        <v>32</v>
      </c>
      <c r="N4" s="6" t="s">
        <v>33</v>
      </c>
      <c r="O4" s="89"/>
      <c r="P4" s="8" t="s">
        <v>7</v>
      </c>
      <c r="Q4" s="6" t="s">
        <v>7</v>
      </c>
      <c r="R4" s="8" t="s">
        <v>15</v>
      </c>
      <c r="S4" s="8" t="s">
        <v>7</v>
      </c>
      <c r="T4" s="8" t="s">
        <v>8</v>
      </c>
      <c r="U4" s="6" t="s">
        <v>7</v>
      </c>
      <c r="V4" s="8" t="s">
        <v>7</v>
      </c>
      <c r="W4" s="6" t="s">
        <v>7</v>
      </c>
      <c r="X4" s="8" t="s">
        <v>7</v>
      </c>
      <c r="Y4" s="6" t="s">
        <v>7</v>
      </c>
      <c r="Z4" s="8" t="s">
        <v>7</v>
      </c>
    </row>
    <row r="5" spans="1:26" s="11" customFormat="1" x14ac:dyDescent="0.15">
      <c r="A5" s="17" t="s">
        <v>149</v>
      </c>
      <c r="B5" s="2" t="s">
        <v>258</v>
      </c>
      <c r="C5" s="83">
        <v>41183</v>
      </c>
      <c r="D5" s="83">
        <v>42551</v>
      </c>
      <c r="E5" s="2">
        <v>810</v>
      </c>
      <c r="F5" s="2">
        <v>0.5</v>
      </c>
      <c r="G5" s="11" t="s">
        <v>49</v>
      </c>
      <c r="H5" s="2">
        <v>200</v>
      </c>
      <c r="I5" s="84">
        <f t="shared" ref="I5" si="0">E5*F5*H5</f>
        <v>81000</v>
      </c>
      <c r="J5" s="84"/>
      <c r="K5" s="84"/>
      <c r="L5" s="84"/>
      <c r="M5" s="84"/>
      <c r="N5" s="84"/>
      <c r="O5" s="84"/>
      <c r="P5" s="84">
        <f t="shared" ref="P5" si="1">I5+L5+M5+N5+O5</f>
        <v>81000</v>
      </c>
      <c r="Q5" s="84">
        <f t="shared" ref="Q5" si="2">$P5*R5</f>
        <v>81000</v>
      </c>
      <c r="R5" s="20">
        <f t="shared" ref="R5" si="3">100%-T5</f>
        <v>1</v>
      </c>
      <c r="S5" s="84">
        <f t="shared" ref="S5" si="4">$P5*T5</f>
        <v>0</v>
      </c>
      <c r="T5" s="20">
        <v>0</v>
      </c>
    </row>
    <row r="6" spans="1:26" ht="11.45" customHeight="1" x14ac:dyDescent="0.15">
      <c r="A6" s="17" t="s">
        <v>150</v>
      </c>
      <c r="B6" s="2" t="s">
        <v>142</v>
      </c>
      <c r="C6" s="18">
        <v>41183</v>
      </c>
      <c r="D6" s="18">
        <v>42551</v>
      </c>
      <c r="E6" s="19">
        <v>240</v>
      </c>
      <c r="F6" s="19">
        <v>2</v>
      </c>
      <c r="G6" s="18" t="s">
        <v>49</v>
      </c>
      <c r="H6" s="2">
        <v>200</v>
      </c>
      <c r="I6" s="15">
        <f t="shared" ref="I6:I10" si="5">E6*F6*H6</f>
        <v>96000</v>
      </c>
      <c r="J6" s="15"/>
      <c r="K6" s="15"/>
      <c r="L6" s="15">
        <f>J6+K6</f>
        <v>0</v>
      </c>
      <c r="M6" s="15"/>
      <c r="N6" s="15"/>
      <c r="O6" s="86">
        <v>310000</v>
      </c>
      <c r="P6" s="15">
        <f t="shared" ref="P6:P10" si="6">I6+L6+M6+N6+O6</f>
        <v>406000</v>
      </c>
      <c r="Q6" s="15">
        <f t="shared" ref="Q6:Q10" si="7">$P6*R6</f>
        <v>406000</v>
      </c>
      <c r="R6" s="20">
        <f t="shared" ref="R6:R10" si="8">100%-T6</f>
        <v>1</v>
      </c>
      <c r="S6" s="15">
        <f t="shared" ref="S6:S10" si="9">$P6*T6</f>
        <v>0</v>
      </c>
      <c r="T6" s="20">
        <v>0</v>
      </c>
    </row>
    <row r="7" spans="1:26" ht="11.45" customHeight="1" x14ac:dyDescent="0.15">
      <c r="A7" s="17" t="s">
        <v>151</v>
      </c>
      <c r="B7" s="2" t="s">
        <v>143</v>
      </c>
      <c r="C7" s="18">
        <v>41183</v>
      </c>
      <c r="D7" s="18">
        <v>42551</v>
      </c>
      <c r="E7" s="19">
        <v>240</v>
      </c>
      <c r="F7" s="19">
        <v>2</v>
      </c>
      <c r="G7" s="18" t="s">
        <v>49</v>
      </c>
      <c r="H7" s="2">
        <f>H6</f>
        <v>200</v>
      </c>
      <c r="I7" s="15">
        <f t="shared" si="5"/>
        <v>96000</v>
      </c>
      <c r="J7" s="15"/>
      <c r="K7" s="15"/>
      <c r="L7" s="15">
        <f>J7+K7</f>
        <v>0</v>
      </c>
      <c r="M7" s="15"/>
      <c r="N7" s="15"/>
      <c r="O7" s="86">
        <v>310000</v>
      </c>
      <c r="P7" s="15">
        <f t="shared" si="6"/>
        <v>406000</v>
      </c>
      <c r="Q7" s="15">
        <f t="shared" si="7"/>
        <v>406000</v>
      </c>
      <c r="R7" s="20">
        <f t="shared" si="8"/>
        <v>1</v>
      </c>
      <c r="S7" s="15">
        <f t="shared" si="9"/>
        <v>0</v>
      </c>
      <c r="T7" s="20">
        <v>0</v>
      </c>
    </row>
    <row r="8" spans="1:26" ht="11.45" customHeight="1" x14ac:dyDescent="0.15">
      <c r="A8" s="17" t="s">
        <v>152</v>
      </c>
      <c r="B8" s="2" t="s">
        <v>144</v>
      </c>
      <c r="C8" s="18">
        <v>41183</v>
      </c>
      <c r="D8" s="18">
        <v>42551</v>
      </c>
      <c r="E8" s="19">
        <v>240</v>
      </c>
      <c r="F8" s="19">
        <v>2</v>
      </c>
      <c r="G8" s="18" t="s">
        <v>49</v>
      </c>
      <c r="H8" s="2">
        <f>H7</f>
        <v>200</v>
      </c>
      <c r="I8" s="15">
        <f t="shared" si="5"/>
        <v>96000</v>
      </c>
      <c r="J8" s="15"/>
      <c r="K8" s="15"/>
      <c r="L8" s="15">
        <f>J8+K8</f>
        <v>0</v>
      </c>
      <c r="M8" s="15"/>
      <c r="N8" s="15"/>
      <c r="O8" s="86">
        <v>310000</v>
      </c>
      <c r="P8" s="15">
        <f t="shared" si="6"/>
        <v>406000</v>
      </c>
      <c r="Q8" s="15">
        <f t="shared" si="7"/>
        <v>406000</v>
      </c>
      <c r="R8" s="20">
        <f t="shared" si="8"/>
        <v>1</v>
      </c>
      <c r="S8" s="15">
        <f t="shared" si="9"/>
        <v>0</v>
      </c>
      <c r="T8" s="20">
        <v>0</v>
      </c>
    </row>
    <row r="9" spans="1:26" ht="11.45" customHeight="1" x14ac:dyDescent="0.15">
      <c r="A9" s="17" t="s">
        <v>153</v>
      </c>
      <c r="B9" s="2" t="s">
        <v>145</v>
      </c>
      <c r="C9" s="18">
        <v>41183</v>
      </c>
      <c r="D9" s="18">
        <v>42551</v>
      </c>
      <c r="E9" s="19">
        <v>240</v>
      </c>
      <c r="F9" s="19">
        <v>2</v>
      </c>
      <c r="G9" s="18" t="s">
        <v>49</v>
      </c>
      <c r="H9" s="2">
        <f>H8</f>
        <v>200</v>
      </c>
      <c r="I9" s="15">
        <f t="shared" si="5"/>
        <v>96000</v>
      </c>
      <c r="J9" s="15"/>
      <c r="K9" s="15"/>
      <c r="L9" s="15"/>
      <c r="M9" s="15"/>
      <c r="N9" s="15"/>
      <c r="O9" s="86">
        <v>310000</v>
      </c>
      <c r="P9" s="15">
        <f t="shared" si="6"/>
        <v>406000</v>
      </c>
      <c r="Q9" s="15">
        <f t="shared" si="7"/>
        <v>406000</v>
      </c>
      <c r="R9" s="20">
        <f t="shared" si="8"/>
        <v>1</v>
      </c>
      <c r="S9" s="15">
        <f t="shared" si="9"/>
        <v>0</v>
      </c>
      <c r="T9" s="20">
        <v>0</v>
      </c>
    </row>
    <row r="10" spans="1:26" ht="11.45" customHeight="1" x14ac:dyDescent="0.15">
      <c r="A10" s="17" t="s">
        <v>154</v>
      </c>
      <c r="B10" s="2" t="s">
        <v>146</v>
      </c>
      <c r="C10" s="18">
        <v>41183</v>
      </c>
      <c r="D10" s="18">
        <v>42551</v>
      </c>
      <c r="E10" s="19">
        <v>240</v>
      </c>
      <c r="F10" s="19">
        <v>2</v>
      </c>
      <c r="G10" s="18" t="s">
        <v>49</v>
      </c>
      <c r="H10" s="2">
        <f>H9</f>
        <v>200</v>
      </c>
      <c r="I10" s="15">
        <f t="shared" si="5"/>
        <v>96000</v>
      </c>
      <c r="J10" s="15"/>
      <c r="K10" s="15"/>
      <c r="L10" s="15"/>
      <c r="M10" s="15"/>
      <c r="N10" s="15"/>
      <c r="O10" s="86">
        <v>310000</v>
      </c>
      <c r="P10" s="15">
        <f t="shared" si="6"/>
        <v>406000</v>
      </c>
      <c r="Q10" s="15">
        <f t="shared" si="7"/>
        <v>406000</v>
      </c>
      <c r="R10" s="20">
        <f t="shared" si="8"/>
        <v>1</v>
      </c>
      <c r="S10" s="15">
        <f t="shared" si="9"/>
        <v>0</v>
      </c>
      <c r="T10" s="20">
        <v>0</v>
      </c>
    </row>
    <row r="11" spans="1:26" ht="11.45" customHeight="1" x14ac:dyDescent="0.15">
      <c r="A11" s="12"/>
      <c r="B11" s="13" t="s">
        <v>23</v>
      </c>
      <c r="C11" s="14"/>
      <c r="D11" s="14"/>
      <c r="E11" s="14"/>
      <c r="F11" s="14"/>
      <c r="G11" s="14"/>
      <c r="H11" s="14"/>
      <c r="I11" s="16">
        <f>SUM(I5:I10)</f>
        <v>561000</v>
      </c>
      <c r="J11" s="14"/>
      <c r="K11" s="14"/>
      <c r="L11" s="14"/>
      <c r="M11" s="14"/>
      <c r="N11" s="14"/>
      <c r="O11" s="16">
        <f>SUM(O5:O10)</f>
        <v>1550000</v>
      </c>
      <c r="P11" s="16">
        <f>SUM(P5:P10)</f>
        <v>2111000</v>
      </c>
      <c r="Q11" s="16">
        <f>SUM(Q5:Q10)</f>
        <v>2111000</v>
      </c>
      <c r="R11" s="14"/>
      <c r="S11" s="16">
        <f>SUM(S6:S10)</f>
        <v>0</v>
      </c>
      <c r="T11" s="14"/>
      <c r="U11" s="14"/>
      <c r="V11" s="14"/>
      <c r="W11" s="14"/>
      <c r="X11" s="14"/>
      <c r="Y11" s="14"/>
      <c r="Z11" s="14"/>
    </row>
    <row r="12" spans="1:26" ht="11.45" customHeight="1" x14ac:dyDescent="0.15"/>
    <row r="13" spans="1:26" ht="11.45" customHeight="1" x14ac:dyDescent="0.15">
      <c r="U13" s="89">
        <v>2011</v>
      </c>
      <c r="V13" s="89"/>
      <c r="W13" s="90">
        <v>2012</v>
      </c>
      <c r="X13" s="90"/>
      <c r="Y13" s="89">
        <v>2013</v>
      </c>
      <c r="Z13" s="89"/>
    </row>
    <row r="14" spans="1:26" ht="23.25" customHeight="1" x14ac:dyDescent="0.15">
      <c r="A14" s="3" t="s">
        <v>160</v>
      </c>
      <c r="B14" s="4" t="s">
        <v>155</v>
      </c>
      <c r="C14" s="89" t="s">
        <v>22</v>
      </c>
      <c r="D14" s="89"/>
      <c r="E14" s="90" t="s">
        <v>12</v>
      </c>
      <c r="F14" s="90"/>
      <c r="G14" s="92" t="s">
        <v>16</v>
      </c>
      <c r="H14" s="92"/>
      <c r="I14" s="92"/>
      <c r="J14" s="89" t="s">
        <v>21</v>
      </c>
      <c r="K14" s="89"/>
      <c r="L14" s="89"/>
      <c r="M14" s="90" t="s">
        <v>31</v>
      </c>
      <c r="N14" s="90"/>
      <c r="O14" s="89" t="s">
        <v>230</v>
      </c>
      <c r="P14" s="5" t="s">
        <v>23</v>
      </c>
      <c r="Q14" s="89" t="s">
        <v>3</v>
      </c>
      <c r="R14" s="89"/>
      <c r="S14" s="90" t="s">
        <v>4</v>
      </c>
      <c r="T14" s="90"/>
      <c r="U14" s="5" t="s">
        <v>3</v>
      </c>
      <c r="V14" s="5" t="s">
        <v>4</v>
      </c>
      <c r="W14" s="5" t="s">
        <v>3</v>
      </c>
      <c r="X14" s="5" t="s">
        <v>4</v>
      </c>
      <c r="Y14" s="5" t="s">
        <v>3</v>
      </c>
      <c r="Z14" s="5" t="s">
        <v>4</v>
      </c>
    </row>
    <row r="15" spans="1:26" ht="11.45" customHeight="1" x14ac:dyDescent="0.15">
      <c r="A15" s="6" t="s">
        <v>5</v>
      </c>
      <c r="B15" s="7" t="s">
        <v>6</v>
      </c>
      <c r="C15" s="6" t="s">
        <v>0</v>
      </c>
      <c r="D15" s="6" t="s">
        <v>2</v>
      </c>
      <c r="E15" s="6" t="s">
        <v>13</v>
      </c>
      <c r="F15" s="6" t="s">
        <v>15</v>
      </c>
      <c r="G15" s="6" t="s">
        <v>19</v>
      </c>
      <c r="H15" s="9" t="s">
        <v>20</v>
      </c>
      <c r="I15" s="6" t="s">
        <v>35</v>
      </c>
      <c r="J15" s="8" t="s">
        <v>17</v>
      </c>
      <c r="K15" s="6" t="s">
        <v>18</v>
      </c>
      <c r="L15" s="6" t="s">
        <v>24</v>
      </c>
      <c r="M15" s="6" t="s">
        <v>32</v>
      </c>
      <c r="N15" s="6" t="s">
        <v>33</v>
      </c>
      <c r="O15" s="89"/>
      <c r="P15" s="8" t="s">
        <v>7</v>
      </c>
      <c r="Q15" s="6" t="s">
        <v>7</v>
      </c>
      <c r="R15" s="8" t="s">
        <v>15</v>
      </c>
      <c r="S15" s="8" t="s">
        <v>7</v>
      </c>
      <c r="T15" s="8" t="s">
        <v>8</v>
      </c>
      <c r="U15" s="6" t="s">
        <v>7</v>
      </c>
      <c r="V15" s="8" t="s">
        <v>7</v>
      </c>
      <c r="W15" s="6" t="s">
        <v>7</v>
      </c>
      <c r="X15" s="8" t="s">
        <v>7</v>
      </c>
      <c r="Y15" s="6" t="s">
        <v>7</v>
      </c>
      <c r="Z15" s="8" t="s">
        <v>7</v>
      </c>
    </row>
    <row r="16" spans="1:26" s="11" customFormat="1" ht="11.45" customHeight="1" x14ac:dyDescent="0.15">
      <c r="A16" s="17" t="s">
        <v>156</v>
      </c>
      <c r="B16" s="2" t="s">
        <v>258</v>
      </c>
      <c r="C16" s="83"/>
      <c r="D16" s="83"/>
      <c r="E16" s="2">
        <v>810</v>
      </c>
      <c r="F16" s="2">
        <v>0.25</v>
      </c>
      <c r="G16" s="11" t="s">
        <v>49</v>
      </c>
      <c r="H16" s="2">
        <v>200</v>
      </c>
      <c r="I16" s="84">
        <f>E16*F16*H16</f>
        <v>40500</v>
      </c>
      <c r="J16" s="2"/>
      <c r="K16" s="2"/>
      <c r="L16" s="84">
        <f>J16+K16</f>
        <v>0</v>
      </c>
      <c r="M16" s="2"/>
      <c r="N16" s="2"/>
      <c r="O16" s="2"/>
      <c r="P16" s="84">
        <f>I16+L16+M16+N16+O16</f>
        <v>40500</v>
      </c>
      <c r="Q16" s="84">
        <f>$P16*R16</f>
        <v>40500</v>
      </c>
      <c r="R16" s="20">
        <f>100%-T16</f>
        <v>1</v>
      </c>
      <c r="S16" s="84">
        <f>$P16*T16</f>
        <v>0</v>
      </c>
      <c r="T16" s="20">
        <v>0</v>
      </c>
    </row>
    <row r="17" spans="1:26" ht="11.45" customHeight="1" x14ac:dyDescent="0.15">
      <c r="A17" s="17" t="s">
        <v>157</v>
      </c>
      <c r="B17" s="2" t="s">
        <v>78</v>
      </c>
      <c r="C17" s="18"/>
      <c r="D17" s="18"/>
      <c r="E17" s="2">
        <v>60</v>
      </c>
      <c r="F17" s="2">
        <v>2</v>
      </c>
      <c r="G17" s="11" t="s">
        <v>49</v>
      </c>
      <c r="H17" s="2">
        <v>200</v>
      </c>
      <c r="I17" s="15">
        <f>E17*F17*H17</f>
        <v>24000</v>
      </c>
      <c r="L17" s="15">
        <f>J17+K17</f>
        <v>0</v>
      </c>
      <c r="P17" s="15">
        <f>I17+L17+M17+N17+O17</f>
        <v>24000</v>
      </c>
      <c r="Q17" s="15">
        <f>$P17*R17</f>
        <v>0</v>
      </c>
      <c r="R17" s="20">
        <f>100%-T17</f>
        <v>0</v>
      </c>
      <c r="S17" s="15">
        <f>$P17*T17</f>
        <v>24000</v>
      </c>
      <c r="T17" s="20">
        <v>1</v>
      </c>
    </row>
    <row r="18" spans="1:26" ht="11.45" customHeight="1" x14ac:dyDescent="0.15">
      <c r="A18" s="17" t="s">
        <v>158</v>
      </c>
      <c r="B18" s="2" t="s">
        <v>79</v>
      </c>
      <c r="C18" s="18"/>
      <c r="D18" s="18"/>
      <c r="E18" s="2">
        <v>60</v>
      </c>
      <c r="F18" s="2">
        <v>2</v>
      </c>
      <c r="G18" s="11" t="s">
        <v>49</v>
      </c>
      <c r="H18" s="2">
        <f>H17</f>
        <v>200</v>
      </c>
      <c r="I18" s="15">
        <f>E18*F18*H18</f>
        <v>24000</v>
      </c>
      <c r="L18" s="15">
        <f>J18+K18</f>
        <v>0</v>
      </c>
      <c r="P18" s="15">
        <f>I18+L18+M18+N18+O18</f>
        <v>24000</v>
      </c>
      <c r="Q18" s="15">
        <f>$P18*R18</f>
        <v>0</v>
      </c>
      <c r="R18" s="20">
        <f>100%-T18</f>
        <v>0</v>
      </c>
      <c r="S18" s="15">
        <f>$P18*T18</f>
        <v>24000</v>
      </c>
      <c r="T18" s="20">
        <v>1</v>
      </c>
    </row>
    <row r="19" spans="1:26" ht="11.45" customHeight="1" x14ac:dyDescent="0.15">
      <c r="A19" s="17" t="s">
        <v>264</v>
      </c>
      <c r="B19" s="2" t="s">
        <v>159</v>
      </c>
      <c r="C19" s="18"/>
      <c r="D19" s="21"/>
      <c r="G19" s="11"/>
      <c r="I19" s="15"/>
      <c r="J19" s="15">
        <f>125*5*100+6500</f>
        <v>69000</v>
      </c>
      <c r="K19" s="15">
        <f>1000*100</f>
        <v>100000</v>
      </c>
      <c r="L19" s="15">
        <f>J19+K19</f>
        <v>169000</v>
      </c>
      <c r="O19" s="86">
        <f>180*2000</f>
        <v>360000</v>
      </c>
      <c r="P19" s="15">
        <f>I19+L19+M19+N19+O19</f>
        <v>529000</v>
      </c>
      <c r="Q19" s="15">
        <f>$P19*R19</f>
        <v>529000</v>
      </c>
      <c r="R19" s="20">
        <f>100%-T19</f>
        <v>1</v>
      </c>
      <c r="S19" s="15">
        <f>$P19*T19</f>
        <v>0</v>
      </c>
      <c r="T19" s="20">
        <v>0</v>
      </c>
    </row>
    <row r="20" spans="1:26" ht="11.45" customHeight="1" x14ac:dyDescent="0.15">
      <c r="A20" s="12"/>
      <c r="B20" s="13" t="s">
        <v>23</v>
      </c>
      <c r="C20" s="14"/>
      <c r="D20" s="14"/>
      <c r="E20" s="14"/>
      <c r="F20" s="14"/>
      <c r="G20" s="14"/>
      <c r="H20" s="14"/>
      <c r="I20" s="16">
        <f>SUM(I16:I19)</f>
        <v>88500</v>
      </c>
      <c r="J20" s="14"/>
      <c r="K20" s="14"/>
      <c r="L20" s="16">
        <f>SUM(L16:L19)</f>
        <v>169000</v>
      </c>
      <c r="M20" s="14"/>
      <c r="N20" s="14"/>
      <c r="O20" s="16">
        <f>SUM(O16:O19)</f>
        <v>360000</v>
      </c>
      <c r="P20" s="16">
        <f>SUM(P16:P19)</f>
        <v>617500</v>
      </c>
      <c r="Q20" s="16">
        <f>SUM(Q16:Q19)</f>
        <v>569500</v>
      </c>
      <c r="R20" s="14"/>
      <c r="S20" s="16">
        <f>SUM(S16:S19)</f>
        <v>48000</v>
      </c>
      <c r="T20" s="14"/>
      <c r="U20" s="14"/>
      <c r="V20" s="14"/>
      <c r="W20" s="14"/>
      <c r="X20" s="14"/>
      <c r="Y20" s="14"/>
      <c r="Z20" s="14"/>
    </row>
    <row r="21" spans="1:26" ht="11.45" customHeight="1" x14ac:dyDescent="0.15"/>
    <row r="22" spans="1:26" ht="11.45" customHeight="1" x14ac:dyDescent="0.15">
      <c r="U22" s="89">
        <v>2011</v>
      </c>
      <c r="V22" s="89"/>
      <c r="W22" s="90">
        <v>2012</v>
      </c>
      <c r="X22" s="90"/>
      <c r="Y22" s="89">
        <v>2013</v>
      </c>
      <c r="Z22" s="89"/>
    </row>
    <row r="23" spans="1:26" ht="23.25" customHeight="1" x14ac:dyDescent="0.15">
      <c r="A23" s="3" t="s">
        <v>161</v>
      </c>
      <c r="B23" s="4" t="s">
        <v>162</v>
      </c>
      <c r="C23" s="89" t="s">
        <v>22</v>
      </c>
      <c r="D23" s="89"/>
      <c r="E23" s="90" t="s">
        <v>12</v>
      </c>
      <c r="F23" s="90"/>
      <c r="G23" s="92" t="s">
        <v>16</v>
      </c>
      <c r="H23" s="92"/>
      <c r="I23" s="92"/>
      <c r="J23" s="89" t="s">
        <v>21</v>
      </c>
      <c r="K23" s="89"/>
      <c r="L23" s="89"/>
      <c r="M23" s="90" t="s">
        <v>31</v>
      </c>
      <c r="N23" s="90"/>
      <c r="O23" s="89" t="s">
        <v>230</v>
      </c>
      <c r="P23" s="5" t="s">
        <v>23</v>
      </c>
      <c r="Q23" s="89" t="s">
        <v>3</v>
      </c>
      <c r="R23" s="89"/>
      <c r="S23" s="90" t="s">
        <v>4</v>
      </c>
      <c r="T23" s="90"/>
      <c r="U23" s="5" t="s">
        <v>3</v>
      </c>
      <c r="V23" s="5" t="s">
        <v>4</v>
      </c>
      <c r="W23" s="5" t="s">
        <v>3</v>
      </c>
      <c r="X23" s="5" t="s">
        <v>4</v>
      </c>
      <c r="Y23" s="5" t="s">
        <v>3</v>
      </c>
      <c r="Z23" s="5" t="s">
        <v>4</v>
      </c>
    </row>
    <row r="24" spans="1:26" ht="11.45" customHeight="1" x14ac:dyDescent="0.15">
      <c r="A24" s="6" t="s">
        <v>5</v>
      </c>
      <c r="B24" s="7" t="s">
        <v>6</v>
      </c>
      <c r="C24" s="6" t="s">
        <v>0</v>
      </c>
      <c r="D24" s="6" t="s">
        <v>2</v>
      </c>
      <c r="E24" s="6" t="s">
        <v>13</v>
      </c>
      <c r="F24" s="6" t="s">
        <v>15</v>
      </c>
      <c r="G24" s="6" t="s">
        <v>19</v>
      </c>
      <c r="H24" s="9" t="s">
        <v>20</v>
      </c>
      <c r="I24" s="6" t="s">
        <v>35</v>
      </c>
      <c r="J24" s="8" t="s">
        <v>17</v>
      </c>
      <c r="K24" s="6" t="s">
        <v>18</v>
      </c>
      <c r="L24" s="6" t="s">
        <v>24</v>
      </c>
      <c r="M24" s="6" t="s">
        <v>32</v>
      </c>
      <c r="N24" s="6" t="s">
        <v>33</v>
      </c>
      <c r="O24" s="89"/>
      <c r="P24" s="8" t="s">
        <v>7</v>
      </c>
      <c r="Q24" s="6" t="s">
        <v>7</v>
      </c>
      <c r="R24" s="8" t="s">
        <v>15</v>
      </c>
      <c r="S24" s="8" t="s">
        <v>7</v>
      </c>
      <c r="T24" s="8" t="s">
        <v>8</v>
      </c>
      <c r="U24" s="6" t="s">
        <v>7</v>
      </c>
      <c r="V24" s="8" t="s">
        <v>7</v>
      </c>
      <c r="W24" s="6" t="s">
        <v>7</v>
      </c>
      <c r="X24" s="8" t="s">
        <v>7</v>
      </c>
      <c r="Y24" s="6" t="s">
        <v>7</v>
      </c>
      <c r="Z24" s="8" t="s">
        <v>7</v>
      </c>
    </row>
    <row r="25" spans="1:26" s="11" customFormat="1" ht="11.45" customHeight="1" x14ac:dyDescent="0.15">
      <c r="A25" s="11" t="s">
        <v>164</v>
      </c>
      <c r="B25" s="2" t="s">
        <v>258</v>
      </c>
      <c r="C25" s="83"/>
      <c r="D25" s="83"/>
      <c r="E25" s="2">
        <v>810</v>
      </c>
      <c r="F25" s="2">
        <v>0.25</v>
      </c>
      <c r="G25" s="11" t="s">
        <v>49</v>
      </c>
      <c r="H25" s="2">
        <v>200</v>
      </c>
      <c r="I25" s="84">
        <f>E25*F25*H25</f>
        <v>40500</v>
      </c>
      <c r="J25" s="2"/>
      <c r="K25" s="2"/>
      <c r="L25" s="84">
        <f>J25+K25</f>
        <v>0</v>
      </c>
      <c r="M25" s="2"/>
      <c r="N25" s="2"/>
      <c r="O25" s="2"/>
      <c r="P25" s="84">
        <f>I25+L25+M25+N25+O25</f>
        <v>40500</v>
      </c>
      <c r="Q25" s="84">
        <f>$P25*R25</f>
        <v>40500</v>
      </c>
      <c r="R25" s="20">
        <f>100%-T25</f>
        <v>1</v>
      </c>
      <c r="S25" s="84">
        <f>$P25*T25</f>
        <v>0</v>
      </c>
      <c r="T25" s="20">
        <v>0</v>
      </c>
    </row>
    <row r="26" spans="1:26" ht="11.45" customHeight="1" x14ac:dyDescent="0.15">
      <c r="A26" s="11" t="s">
        <v>165</v>
      </c>
      <c r="B26" s="2" t="s">
        <v>163</v>
      </c>
      <c r="C26" s="24"/>
      <c r="D26" s="24"/>
      <c r="E26" s="2">
        <v>120</v>
      </c>
      <c r="F26" s="2">
        <v>2</v>
      </c>
      <c r="G26" s="18" t="s">
        <v>49</v>
      </c>
      <c r="H26" s="2">
        <v>200</v>
      </c>
      <c r="I26" s="15">
        <f>E26*F26*H26</f>
        <v>48000</v>
      </c>
      <c r="L26" s="15">
        <f>J26+K26</f>
        <v>0</v>
      </c>
      <c r="N26" s="86">
        <v>200000</v>
      </c>
      <c r="P26" s="15">
        <f>I26+L26+M26+N26+O26</f>
        <v>248000</v>
      </c>
      <c r="Q26" s="15">
        <f>$P26*R26</f>
        <v>248000</v>
      </c>
      <c r="R26" s="20">
        <f>100%-T26</f>
        <v>1</v>
      </c>
      <c r="S26" s="15">
        <f>$P26*T26</f>
        <v>0</v>
      </c>
      <c r="T26" s="20">
        <v>0</v>
      </c>
    </row>
    <row r="27" spans="1:26" ht="11.45" customHeight="1" x14ac:dyDescent="0.15">
      <c r="A27" s="11" t="s">
        <v>166</v>
      </c>
      <c r="B27" s="2" t="s">
        <v>257</v>
      </c>
      <c r="C27" s="24"/>
      <c r="D27" s="24"/>
      <c r="E27" s="2">
        <v>120</v>
      </c>
      <c r="F27" s="2">
        <v>5</v>
      </c>
      <c r="G27" s="18" t="s">
        <v>49</v>
      </c>
      <c r="H27" s="2">
        <f>H26</f>
        <v>200</v>
      </c>
      <c r="I27" s="15">
        <f>E27*F27*H27</f>
        <v>120000</v>
      </c>
      <c r="L27" s="15">
        <f>J27+K27</f>
        <v>0</v>
      </c>
      <c r="P27" s="15">
        <f>I27+L27+M27+N27+O27</f>
        <v>120000</v>
      </c>
      <c r="Q27" s="15">
        <f>$P27*R27</f>
        <v>120000</v>
      </c>
      <c r="R27" s="20">
        <f>100%-T27</f>
        <v>1</v>
      </c>
      <c r="S27" s="15">
        <f>$P27*T27</f>
        <v>0</v>
      </c>
      <c r="T27" s="20">
        <v>0</v>
      </c>
    </row>
    <row r="28" spans="1:26" x14ac:dyDescent="0.15">
      <c r="A28" s="12"/>
      <c r="B28" s="13" t="s">
        <v>23</v>
      </c>
      <c r="C28" s="14"/>
      <c r="D28" s="14"/>
      <c r="E28" s="14"/>
      <c r="F28" s="14"/>
      <c r="G28" s="14"/>
      <c r="H28" s="14"/>
      <c r="I28" s="16">
        <f>SUM(I25:I27)</f>
        <v>208500</v>
      </c>
      <c r="J28" s="14"/>
      <c r="K28" s="14"/>
      <c r="L28" s="16">
        <f>SUM(L26:L27)</f>
        <v>0</v>
      </c>
      <c r="M28" s="14"/>
      <c r="N28" s="16">
        <f>SUM(N25:N27)</f>
        <v>200000</v>
      </c>
      <c r="O28" s="16">
        <f>SUM(O26:O27)</f>
        <v>0</v>
      </c>
      <c r="P28" s="16">
        <f>SUM(P25:P27)</f>
        <v>408500</v>
      </c>
      <c r="Q28" s="16">
        <f>SUM(Q25:Q27)</f>
        <v>408500</v>
      </c>
      <c r="R28" s="14"/>
      <c r="S28" s="16">
        <f>SUM(S26:S27)</f>
        <v>0</v>
      </c>
      <c r="T28" s="14"/>
      <c r="U28" s="14"/>
      <c r="V28" s="14"/>
      <c r="W28" s="14"/>
      <c r="X28" s="14"/>
      <c r="Y28" s="14"/>
      <c r="Z28" s="14"/>
    </row>
    <row r="30" spans="1:26" x14ac:dyDescent="0.15">
      <c r="B30" s="13" t="s">
        <v>178</v>
      </c>
      <c r="I30" s="16">
        <f>I28+I20+I11</f>
        <v>858000</v>
      </c>
      <c r="L30" s="16">
        <f>L28+L20+L11</f>
        <v>169000</v>
      </c>
      <c r="P30" s="16">
        <f>P28+P20+P11</f>
        <v>3137000</v>
      </c>
      <c r="Q30" s="16">
        <f>Q28+Q20+Q11</f>
        <v>3089000</v>
      </c>
      <c r="S30" s="16">
        <f>S28+S20+S11</f>
        <v>48000</v>
      </c>
    </row>
    <row r="33" spans="15:16" x14ac:dyDescent="0.15">
      <c r="P33" s="63" t="s">
        <v>226</v>
      </c>
    </row>
    <row r="34" spans="15:16" x14ac:dyDescent="0.15">
      <c r="P34" s="15">
        <v>938500</v>
      </c>
    </row>
    <row r="35" spans="15:16" x14ac:dyDescent="0.15">
      <c r="O35" s="2" t="s">
        <v>227</v>
      </c>
      <c r="P35" s="26">
        <f>P34-P20</f>
        <v>321000</v>
      </c>
    </row>
  </sheetData>
  <mergeCells count="34">
    <mergeCell ref="Q23:R23"/>
    <mergeCell ref="S23:T23"/>
    <mergeCell ref="O23:O24"/>
    <mergeCell ref="C23:D23"/>
    <mergeCell ref="E23:F23"/>
    <mergeCell ref="G23:I23"/>
    <mergeCell ref="J23:L23"/>
    <mergeCell ref="M23:N23"/>
    <mergeCell ref="Y22:Z22"/>
    <mergeCell ref="Q3:R3"/>
    <mergeCell ref="S3:T3"/>
    <mergeCell ref="U13:V13"/>
    <mergeCell ref="W13:X13"/>
    <mergeCell ref="Y13:Z13"/>
    <mergeCell ref="Q14:R14"/>
    <mergeCell ref="S14:T14"/>
    <mergeCell ref="U22:V22"/>
    <mergeCell ref="W22:X22"/>
    <mergeCell ref="O14:O15"/>
    <mergeCell ref="C3:D3"/>
    <mergeCell ref="E3:F3"/>
    <mergeCell ref="G3:I3"/>
    <mergeCell ref="J3:L3"/>
    <mergeCell ref="C14:D14"/>
    <mergeCell ref="E14:F14"/>
    <mergeCell ref="G14:I14"/>
    <mergeCell ref="J14:L14"/>
    <mergeCell ref="M14:N14"/>
    <mergeCell ref="B1:T1"/>
    <mergeCell ref="U2:V2"/>
    <mergeCell ref="W2:X2"/>
    <mergeCell ref="Y2:Z2"/>
    <mergeCell ref="M3:N3"/>
    <mergeCell ref="O3:O4"/>
  </mergeCells>
  <phoneticPr fontId="4" type="noConversion"/>
  <pageMargins left="0.7" right="0.7" top="0.75" bottom="0.75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"/>
  <sheetViews>
    <sheetView topLeftCell="B1" zoomScaleNormal="100" workbookViewId="0">
      <selection activeCell="H5" sqref="H5"/>
    </sheetView>
  </sheetViews>
  <sheetFormatPr defaultColWidth="11" defaultRowHeight="11.25" x14ac:dyDescent="0.15"/>
  <cols>
    <col min="1" max="1" width="6.75" customWidth="1"/>
    <col min="2" max="2" width="50.375" bestFit="1" customWidth="1"/>
    <col min="3" max="3" width="13.375" customWidth="1"/>
    <col min="5" max="5" width="14.875" customWidth="1"/>
  </cols>
  <sheetData>
    <row r="2" spans="1:10" x14ac:dyDescent="0.15">
      <c r="C2" s="45" t="s">
        <v>90</v>
      </c>
      <c r="D2" s="45" t="s">
        <v>91</v>
      </c>
      <c r="E2" s="45" t="s">
        <v>92</v>
      </c>
      <c r="F2" s="45" t="s">
        <v>95</v>
      </c>
      <c r="G2" s="45" t="s">
        <v>96</v>
      </c>
      <c r="H2" s="27" t="s">
        <v>61</v>
      </c>
      <c r="J2" s="62" t="s">
        <v>226</v>
      </c>
    </row>
    <row r="3" spans="1:10" x14ac:dyDescent="0.15">
      <c r="A3" s="44" t="s">
        <v>85</v>
      </c>
      <c r="B3" s="43" t="s">
        <v>88</v>
      </c>
      <c r="H3" s="29">
        <f>SUM(H4:H5)</f>
        <v>3998000</v>
      </c>
      <c r="J3" s="60">
        <v>4437000</v>
      </c>
    </row>
    <row r="4" spans="1:10" x14ac:dyDescent="0.15">
      <c r="A4" s="17"/>
      <c r="B4" s="2" t="s">
        <v>94</v>
      </c>
      <c r="C4">
        <v>200</v>
      </c>
      <c r="D4">
        <v>120</v>
      </c>
      <c r="E4">
        <v>3</v>
      </c>
      <c r="F4" s="28">
        <f>C4*D4*E4</f>
        <v>72000</v>
      </c>
      <c r="G4">
        <v>52</v>
      </c>
      <c r="H4" s="28">
        <f>F4*G4+22000</f>
        <v>3766000</v>
      </c>
      <c r="J4" s="60">
        <f>J3-H3</f>
        <v>439000</v>
      </c>
    </row>
    <row r="5" spans="1:10" x14ac:dyDescent="0.15">
      <c r="A5" s="17"/>
      <c r="B5" s="2" t="s">
        <v>93</v>
      </c>
      <c r="C5">
        <v>580</v>
      </c>
      <c r="D5">
        <v>40</v>
      </c>
      <c r="E5">
        <v>1</v>
      </c>
      <c r="F5" s="28">
        <f>C5*D5*E5</f>
        <v>23200</v>
      </c>
      <c r="G5">
        <v>10</v>
      </c>
      <c r="H5" s="28">
        <f>F5*G5</f>
        <v>232000</v>
      </c>
      <c r="J5" s="61"/>
    </row>
    <row r="6" spans="1:10" x14ac:dyDescent="0.15">
      <c r="A6" s="17"/>
      <c r="B6" s="2"/>
      <c r="F6" s="28"/>
      <c r="J6" s="61"/>
    </row>
    <row r="7" spans="1:10" x14ac:dyDescent="0.15">
      <c r="A7" s="17"/>
      <c r="B7" s="2"/>
      <c r="E7" s="45" t="s">
        <v>182</v>
      </c>
      <c r="F7" s="28"/>
      <c r="G7" s="49">
        <f>(G4+G5)/4</f>
        <v>15.5</v>
      </c>
      <c r="J7" s="61"/>
    </row>
    <row r="8" spans="1:10" x14ac:dyDescent="0.15">
      <c r="A8" s="17"/>
      <c r="B8" s="2"/>
      <c r="E8" s="45"/>
      <c r="F8" s="28"/>
      <c r="G8" s="49"/>
      <c r="J8" s="61"/>
    </row>
    <row r="9" spans="1:10" x14ac:dyDescent="0.15">
      <c r="A9" s="17"/>
      <c r="B9" s="2"/>
      <c r="E9" s="45"/>
      <c r="F9" s="28"/>
      <c r="G9" s="49"/>
      <c r="J9" s="61"/>
    </row>
    <row r="10" spans="1:10" x14ac:dyDescent="0.15">
      <c r="A10" s="17"/>
      <c r="B10" s="2"/>
      <c r="J10" s="61"/>
    </row>
    <row r="11" spans="1:10" x14ac:dyDescent="0.15">
      <c r="A11" s="42" t="s">
        <v>86</v>
      </c>
      <c r="B11" s="43" t="s">
        <v>89</v>
      </c>
      <c r="J11" s="61"/>
    </row>
    <row r="12" spans="1:10" x14ac:dyDescent="0.15">
      <c r="B12" s="2" t="s">
        <v>94</v>
      </c>
      <c r="C12">
        <v>250</v>
      </c>
      <c r="D12">
        <v>35</v>
      </c>
      <c r="E12">
        <v>2</v>
      </c>
      <c r="F12" s="28">
        <f>C12*D12*E12</f>
        <v>17500</v>
      </c>
      <c r="G12">
        <v>30</v>
      </c>
      <c r="H12" s="29">
        <f>F12*G12-25000</f>
        <v>500000</v>
      </c>
      <c r="J12" s="61"/>
    </row>
    <row r="13" spans="1:10" x14ac:dyDescent="0.15">
      <c r="B13" s="2"/>
      <c r="F13" s="28"/>
      <c r="H13" s="29"/>
      <c r="J13" s="61"/>
    </row>
    <row r="14" spans="1:10" x14ac:dyDescent="0.15">
      <c r="B14" s="43" t="s">
        <v>184</v>
      </c>
      <c r="H14" s="29">
        <f>SUM(H15:H16)</f>
        <v>184000</v>
      </c>
      <c r="J14" s="61"/>
    </row>
    <row r="15" spans="1:10" x14ac:dyDescent="0.15">
      <c r="B15" s="34" t="s">
        <v>186</v>
      </c>
      <c r="C15">
        <v>600</v>
      </c>
      <c r="D15">
        <v>7</v>
      </c>
      <c r="E15">
        <v>1</v>
      </c>
      <c r="F15" s="28">
        <f>C15*D15*E15</f>
        <v>4200</v>
      </c>
      <c r="G15">
        <v>20</v>
      </c>
      <c r="H15" s="28">
        <f>F15*G15</f>
        <v>84000</v>
      </c>
      <c r="J15" s="61"/>
    </row>
    <row r="16" spans="1:10" x14ac:dyDescent="0.15">
      <c r="B16" t="s">
        <v>185</v>
      </c>
      <c r="H16" s="28">
        <v>100000</v>
      </c>
      <c r="J16" s="61"/>
    </row>
    <row r="17" spans="3:10" x14ac:dyDescent="0.15">
      <c r="J17" s="61"/>
    </row>
    <row r="18" spans="3:10" x14ac:dyDescent="0.15">
      <c r="J18" s="61"/>
    </row>
    <row r="19" spans="3:10" x14ac:dyDescent="0.15">
      <c r="J19" s="62" t="s">
        <v>226</v>
      </c>
    </row>
    <row r="20" spans="3:10" x14ac:dyDescent="0.15">
      <c r="G20" s="50">
        <f>G4+G5+G12</f>
        <v>92</v>
      </c>
      <c r="H20" s="31">
        <f>H4+H5+H12+H14</f>
        <v>4682000</v>
      </c>
      <c r="J20" s="60">
        <v>5431000</v>
      </c>
    </row>
    <row r="21" spans="3:10" x14ac:dyDescent="0.15">
      <c r="J21" s="60">
        <f>J20-H20</f>
        <v>749000</v>
      </c>
    </row>
    <row r="23" spans="3:10" x14ac:dyDescent="0.15">
      <c r="E23" s="45" t="s">
        <v>182</v>
      </c>
      <c r="F23" s="45"/>
      <c r="G23" s="49">
        <f>G20/4</f>
        <v>23</v>
      </c>
    </row>
    <row r="24" spans="3:10" x14ac:dyDescent="0.15">
      <c r="H24" s="28"/>
    </row>
    <row r="29" spans="3:10" x14ac:dyDescent="0.15">
      <c r="C29" s="46">
        <f>3000000*0.25/27000</f>
        <v>27.777777777777779</v>
      </c>
    </row>
  </sheetData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E4" sqref="E4"/>
    </sheetView>
  </sheetViews>
  <sheetFormatPr defaultColWidth="11" defaultRowHeight="11.25" x14ac:dyDescent="0.15"/>
  <cols>
    <col min="2" max="2" width="21.75" customWidth="1"/>
  </cols>
  <sheetData>
    <row r="1" spans="1:7" x14ac:dyDescent="0.15">
      <c r="E1" s="29"/>
      <c r="F1" s="29"/>
      <c r="G1" s="29"/>
    </row>
    <row r="2" spans="1:7" x14ac:dyDescent="0.15">
      <c r="A2" s="30" t="s">
        <v>105</v>
      </c>
      <c r="E2" s="29"/>
      <c r="F2" s="29"/>
      <c r="G2" s="29"/>
    </row>
    <row r="3" spans="1:7" x14ac:dyDescent="0.15">
      <c r="A3" t="s">
        <v>106</v>
      </c>
      <c r="C3">
        <v>180</v>
      </c>
      <c r="D3" s="28">
        <v>820</v>
      </c>
      <c r="E3" s="28">
        <f>C3*D3</f>
        <v>147600</v>
      </c>
      <c r="F3" s="29">
        <f>E3/C3</f>
        <v>820</v>
      </c>
      <c r="G3" s="29"/>
    </row>
    <row r="4" spans="1:7" x14ac:dyDescent="0.15">
      <c r="A4" t="s">
        <v>65</v>
      </c>
      <c r="B4" t="s">
        <v>107</v>
      </c>
      <c r="E4" s="47">
        <v>100000</v>
      </c>
      <c r="F4" s="29"/>
      <c r="G4" s="29"/>
    </row>
    <row r="5" spans="1:7" x14ac:dyDescent="0.15">
      <c r="A5" t="s">
        <v>66</v>
      </c>
      <c r="E5" s="47">
        <v>400000</v>
      </c>
      <c r="F5" s="29"/>
      <c r="G5" s="29"/>
    </row>
    <row r="6" spans="1:7" x14ac:dyDescent="0.15">
      <c r="A6" t="s">
        <v>108</v>
      </c>
      <c r="E6" s="47">
        <v>200000</v>
      </c>
      <c r="F6" s="29"/>
      <c r="G6" s="29"/>
    </row>
    <row r="7" spans="1:7" x14ac:dyDescent="0.15">
      <c r="A7" t="s">
        <v>61</v>
      </c>
      <c r="E7" s="29">
        <f>SUM(E3:E6)</f>
        <v>847600</v>
      </c>
      <c r="F7" s="29"/>
      <c r="G7" s="29"/>
    </row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D4" sqref="D4"/>
    </sheetView>
  </sheetViews>
  <sheetFormatPr defaultColWidth="11" defaultRowHeight="10.5" x14ac:dyDescent="0.15"/>
  <cols>
    <col min="1" max="1" width="21.5" style="1" customWidth="1"/>
    <col min="2" max="2" width="21.75" style="1" customWidth="1"/>
    <col min="3" max="3" width="11" style="1"/>
    <col min="4" max="4" width="8.875" style="1" customWidth="1"/>
    <col min="5" max="5" width="9.875" style="1" customWidth="1"/>
    <col min="6" max="6" width="10.625" style="1" customWidth="1"/>
    <col min="7" max="16384" width="11" style="1"/>
  </cols>
  <sheetData>
    <row r="1" spans="1:9" x14ac:dyDescent="0.15">
      <c r="A1" s="39" t="s">
        <v>58</v>
      </c>
      <c r="B1" s="39"/>
      <c r="C1" s="51" t="s">
        <v>189</v>
      </c>
      <c r="D1" s="51" t="s">
        <v>190</v>
      </c>
      <c r="E1" s="51" t="s">
        <v>191</v>
      </c>
      <c r="F1" s="37" t="s">
        <v>61</v>
      </c>
      <c r="G1" s="37" t="s">
        <v>61</v>
      </c>
      <c r="H1" s="37" t="s">
        <v>3</v>
      </c>
      <c r="I1" s="37" t="s">
        <v>60</v>
      </c>
    </row>
    <row r="2" spans="1:9" x14ac:dyDescent="0.15">
      <c r="A2" s="1" t="s">
        <v>193</v>
      </c>
      <c r="B2" s="1" t="s">
        <v>51</v>
      </c>
      <c r="C2" s="1">
        <v>6</v>
      </c>
      <c r="D2" s="1">
        <v>10</v>
      </c>
      <c r="E2" s="38">
        <f>300*20</f>
        <v>6000</v>
      </c>
      <c r="F2" s="38">
        <f>C2*D2*E2</f>
        <v>360000</v>
      </c>
      <c r="G2" s="38"/>
    </row>
    <row r="3" spans="1:9" x14ac:dyDescent="0.15">
      <c r="A3" s="1" t="s">
        <v>66</v>
      </c>
      <c r="F3" s="38">
        <v>350000</v>
      </c>
      <c r="H3" s="38"/>
    </row>
    <row r="4" spans="1:9" x14ac:dyDescent="0.15">
      <c r="A4" s="1" t="s">
        <v>194</v>
      </c>
      <c r="F4" s="38">
        <f>550000-91000-106000</f>
        <v>353000</v>
      </c>
      <c r="H4" s="38">
        <f>SUM(F2:F4)</f>
        <v>1063000</v>
      </c>
    </row>
    <row r="5" spans="1:9" x14ac:dyDescent="0.15">
      <c r="F5" s="38"/>
      <c r="H5" s="38"/>
    </row>
    <row r="6" spans="1:9" x14ac:dyDescent="0.15">
      <c r="F6" s="38"/>
      <c r="H6" s="38"/>
    </row>
    <row r="7" spans="1:9" x14ac:dyDescent="0.15">
      <c r="A7" s="1" t="s">
        <v>65</v>
      </c>
      <c r="F7" s="38">
        <v>175000</v>
      </c>
      <c r="G7" s="38"/>
    </row>
    <row r="8" spans="1:9" x14ac:dyDescent="0.15">
      <c r="A8" s="1" t="s">
        <v>106</v>
      </c>
      <c r="C8" s="1">
        <v>200</v>
      </c>
      <c r="E8" s="38">
        <v>950</v>
      </c>
      <c r="F8" s="38">
        <f>C8*E8</f>
        <v>190000</v>
      </c>
      <c r="G8" s="38"/>
    </row>
    <row r="9" spans="1:9" x14ac:dyDescent="0.15">
      <c r="G9" s="38"/>
      <c r="H9" s="51" t="s">
        <v>226</v>
      </c>
    </row>
    <row r="10" spans="1:9" x14ac:dyDescent="0.15">
      <c r="A10" s="53" t="s">
        <v>23</v>
      </c>
      <c r="F10" s="52">
        <f>SUM(F2:F8)</f>
        <v>1428000</v>
      </c>
      <c r="G10" s="52"/>
      <c r="H10" s="38">
        <v>1628000</v>
      </c>
      <c r="I10" s="52"/>
    </row>
    <row r="11" spans="1:9" x14ac:dyDescent="0.15">
      <c r="G11" s="52"/>
      <c r="H11" s="38">
        <f>H10-F10</f>
        <v>200000</v>
      </c>
      <c r="I11" s="52" t="s">
        <v>228</v>
      </c>
    </row>
    <row r="12" spans="1:9" x14ac:dyDescent="0.15">
      <c r="G12" s="52"/>
      <c r="H12" s="52"/>
      <c r="I12" s="52"/>
    </row>
    <row r="13" spans="1:9" x14ac:dyDescent="0.15">
      <c r="G13" s="52"/>
      <c r="H13" s="52"/>
      <c r="I13" s="52"/>
    </row>
    <row r="14" spans="1:9" x14ac:dyDescent="0.15">
      <c r="A14" s="39"/>
      <c r="G14" s="52"/>
      <c r="H14" s="52"/>
      <c r="I14" s="52"/>
    </row>
    <row r="15" spans="1:9" x14ac:dyDescent="0.15">
      <c r="F15" s="38"/>
      <c r="G15" s="38"/>
      <c r="H15" s="52"/>
      <c r="I15" s="52"/>
    </row>
    <row r="16" spans="1:9" x14ac:dyDescent="0.15">
      <c r="G16" s="38"/>
      <c r="H16" s="52"/>
      <c r="I16" s="52"/>
    </row>
    <row r="17" spans="1:9" x14ac:dyDescent="0.15">
      <c r="G17" s="38"/>
      <c r="H17" s="52"/>
      <c r="I17" s="52"/>
    </row>
    <row r="18" spans="1:9" x14ac:dyDescent="0.15">
      <c r="G18" s="38"/>
      <c r="H18" s="52"/>
      <c r="I18" s="52"/>
    </row>
    <row r="19" spans="1:9" x14ac:dyDescent="0.15">
      <c r="G19" s="52"/>
      <c r="H19" s="52"/>
      <c r="I19" s="52"/>
    </row>
    <row r="20" spans="1:9" x14ac:dyDescent="0.15">
      <c r="G20" s="52"/>
      <c r="H20" s="52"/>
      <c r="I20" s="52"/>
    </row>
    <row r="22" spans="1:9" x14ac:dyDescent="0.15">
      <c r="A22" s="39"/>
      <c r="B22" s="39"/>
      <c r="C22" s="39"/>
      <c r="D22" s="39"/>
      <c r="E22" s="39"/>
      <c r="G22" s="37"/>
    </row>
    <row r="23" spans="1:9" x14ac:dyDescent="0.15">
      <c r="F23" s="38"/>
      <c r="G23" s="38"/>
    </row>
    <row r="24" spans="1:9" x14ac:dyDescent="0.15">
      <c r="F24" s="38"/>
      <c r="G24" s="38"/>
    </row>
    <row r="25" spans="1:9" x14ac:dyDescent="0.15">
      <c r="G25" s="52"/>
    </row>
  </sheetData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G35" sqref="G35"/>
    </sheetView>
  </sheetViews>
  <sheetFormatPr defaultColWidth="11" defaultRowHeight="10.5" x14ac:dyDescent="0.15"/>
  <cols>
    <col min="1" max="1" width="25.625" style="1" customWidth="1"/>
    <col min="2" max="2" width="21.75" style="1" customWidth="1"/>
    <col min="3" max="3" width="11" style="1"/>
    <col min="4" max="4" width="8.875" style="1" customWidth="1"/>
    <col min="5" max="5" width="9.875" style="1" customWidth="1"/>
    <col min="6" max="6" width="10.625" style="1" customWidth="1"/>
    <col min="7" max="16384" width="11" style="1"/>
  </cols>
  <sheetData>
    <row r="1" spans="1:9" x14ac:dyDescent="0.15">
      <c r="A1" s="39" t="s">
        <v>196</v>
      </c>
      <c r="B1" s="39"/>
      <c r="C1" s="51" t="s">
        <v>189</v>
      </c>
      <c r="D1" s="51" t="s">
        <v>190</v>
      </c>
      <c r="E1" s="51" t="s">
        <v>191</v>
      </c>
      <c r="F1" s="37" t="s">
        <v>61</v>
      </c>
      <c r="G1" s="37" t="s">
        <v>61</v>
      </c>
      <c r="H1" s="37" t="s">
        <v>3</v>
      </c>
      <c r="I1" s="37" t="s">
        <v>60</v>
      </c>
    </row>
    <row r="2" spans="1:9" x14ac:dyDescent="0.15">
      <c r="A2" s="1" t="s">
        <v>193</v>
      </c>
      <c r="B2" s="1" t="s">
        <v>51</v>
      </c>
      <c r="C2" s="1">
        <v>4</v>
      </c>
      <c r="D2" s="1">
        <v>5</v>
      </c>
      <c r="E2" s="38">
        <f>300*22</f>
        <v>6600</v>
      </c>
      <c r="F2" s="38">
        <f>C2*D2*E2</f>
        <v>132000</v>
      </c>
      <c r="G2" s="38"/>
    </row>
    <row r="3" spans="1:9" x14ac:dyDescent="0.15">
      <c r="F3" s="38"/>
      <c r="H3" s="38"/>
    </row>
    <row r="4" spans="1:9" x14ac:dyDescent="0.15">
      <c r="A4" s="1" t="s">
        <v>65</v>
      </c>
      <c r="F4" s="38">
        <v>10000</v>
      </c>
      <c r="G4" s="38"/>
    </row>
    <row r="5" spans="1:9" x14ac:dyDescent="0.15">
      <c r="A5" s="1" t="s">
        <v>106</v>
      </c>
      <c r="C5" s="1">
        <v>30</v>
      </c>
      <c r="E5" s="38">
        <v>1000</v>
      </c>
      <c r="F5" s="38">
        <f>C5*E5</f>
        <v>30000</v>
      </c>
      <c r="G5" s="38"/>
    </row>
    <row r="6" spans="1:9" x14ac:dyDescent="0.15">
      <c r="G6" s="38"/>
    </row>
    <row r="7" spans="1:9" x14ac:dyDescent="0.15">
      <c r="A7" s="53" t="s">
        <v>23</v>
      </c>
      <c r="F7" s="52">
        <f>SUM(F2:F5)</f>
        <v>172000</v>
      </c>
      <c r="G7" s="52"/>
      <c r="H7" s="52">
        <f>SUM(H2:H2)</f>
        <v>0</v>
      </c>
      <c r="I7" s="52">
        <f>SUM(I2:I2)</f>
        <v>0</v>
      </c>
    </row>
    <row r="8" spans="1:9" x14ac:dyDescent="0.15">
      <c r="G8" s="52"/>
      <c r="H8" s="52"/>
      <c r="I8" s="52"/>
    </row>
    <row r="9" spans="1:9" x14ac:dyDescent="0.15">
      <c r="G9" s="52"/>
      <c r="H9" s="52"/>
      <c r="I9" s="52"/>
    </row>
    <row r="10" spans="1:9" x14ac:dyDescent="0.15">
      <c r="G10" s="52"/>
      <c r="H10" s="52"/>
      <c r="I10" s="52"/>
    </row>
    <row r="11" spans="1:9" x14ac:dyDescent="0.15">
      <c r="A11" s="39"/>
      <c r="G11" s="52"/>
      <c r="H11" s="52"/>
      <c r="I11" s="52"/>
    </row>
    <row r="12" spans="1:9" x14ac:dyDescent="0.15">
      <c r="F12" s="38"/>
      <c r="G12" s="38"/>
      <c r="H12" s="52"/>
      <c r="I12" s="52"/>
    </row>
    <row r="13" spans="1:9" x14ac:dyDescent="0.15">
      <c r="G13" s="38"/>
      <c r="H13" s="52"/>
      <c r="I13" s="52"/>
    </row>
    <row r="14" spans="1:9" x14ac:dyDescent="0.15">
      <c r="G14" s="38"/>
      <c r="H14" s="52"/>
      <c r="I14" s="52"/>
    </row>
    <row r="15" spans="1:9" x14ac:dyDescent="0.15">
      <c r="G15" s="38"/>
      <c r="H15" s="52"/>
      <c r="I15" s="52"/>
    </row>
    <row r="16" spans="1:9" x14ac:dyDescent="0.15">
      <c r="G16" s="52"/>
      <c r="H16" s="52"/>
      <c r="I16" s="52"/>
    </row>
    <row r="17" spans="1:9" x14ac:dyDescent="0.15">
      <c r="G17" s="52"/>
      <c r="H17" s="52"/>
      <c r="I17" s="52"/>
    </row>
    <row r="19" spans="1:9" x14ac:dyDescent="0.15">
      <c r="A19" s="39"/>
      <c r="B19" s="39"/>
      <c r="C19" s="39"/>
      <c r="D19" s="39"/>
      <c r="E19" s="39"/>
      <c r="G19" s="37"/>
    </row>
    <row r="20" spans="1:9" x14ac:dyDescent="0.15">
      <c r="F20" s="38"/>
      <c r="G20" s="38"/>
    </row>
    <row r="21" spans="1:9" x14ac:dyDescent="0.15">
      <c r="F21" s="38"/>
      <c r="G21" s="38"/>
    </row>
    <row r="22" spans="1:9" x14ac:dyDescent="0.15">
      <c r="G22" s="52"/>
    </row>
  </sheetData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08A3B5C77C0FC43A261BE7C95B5E886" ma:contentTypeVersion="0" ma:contentTypeDescription="A content type to manage public (operations) IDB documents" ma:contentTypeScope="" ma:versionID="59dd6b97d33a5861a25fc5581e6b7be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bfe46e4c83422ab72b735076e7988d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40482381</IDBDocs_x0020_Number>
    <TaxCatchAll xmlns="9c571b2f-e523-4ab2-ba2e-09e151a03ef4">
      <Value>2</Value>
      <Value>4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Reyes, Javier Ramiro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AR-L1247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RM-GIP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88B2A085-816B-459D-BCD8-51BB97438FB6}"/>
</file>

<file path=customXml/itemProps2.xml><?xml version="1.0" encoding="utf-8"?>
<ds:datastoreItem xmlns:ds="http://schemas.openxmlformats.org/officeDocument/2006/customXml" ds:itemID="{16C1061F-8A36-44F6-8EAE-75377BAAC649}"/>
</file>

<file path=customXml/itemProps3.xml><?xml version="1.0" encoding="utf-8"?>
<ds:datastoreItem xmlns:ds="http://schemas.openxmlformats.org/officeDocument/2006/customXml" ds:itemID="{A80A2FC8-B30D-4D41-88D6-F5354C8576EA}"/>
</file>

<file path=customXml/itemProps4.xml><?xml version="1.0" encoding="utf-8"?>
<ds:datastoreItem xmlns:ds="http://schemas.openxmlformats.org/officeDocument/2006/customXml" ds:itemID="{1EC1C5A1-A700-4443-8464-199F69F4BB92}"/>
</file>

<file path=customXml/itemProps5.xml><?xml version="1.0" encoding="utf-8"?>
<ds:datastoreItem xmlns:ds="http://schemas.openxmlformats.org/officeDocument/2006/customXml" ds:itemID="{C7A79702-81E0-4CE7-8F04-66B6FB2A47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Por productos</vt:lpstr>
      <vt:lpstr>Componente 1</vt:lpstr>
      <vt:lpstr>Componente 2</vt:lpstr>
      <vt:lpstr>Componente 3</vt:lpstr>
      <vt:lpstr>Componente 4</vt:lpstr>
      <vt:lpstr>1P4. Fondo de conocimiento</vt:lpstr>
      <vt:lpstr>2P2. Repositorio</vt:lpstr>
      <vt:lpstr>3P3. Sistema de causas</vt:lpstr>
      <vt:lpstr>3P4. Sistema de expedientes</vt:lpstr>
      <vt:lpstr>UE y M&amp;Eval</vt:lpstr>
      <vt:lpstr>Hoja8</vt:lpstr>
      <vt:lpstr>Hoja9</vt:lpstr>
      <vt:lpstr>Hoja10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Detallado</dc:title>
  <dc:creator>Ferdi</dc:creator>
  <cp:lastModifiedBy>Melissa Gonzalez</cp:lastModifiedBy>
  <cp:lastPrinted>2011-06-29T20:15:01Z</cp:lastPrinted>
  <dcterms:created xsi:type="dcterms:W3CDTF">2010-11-16T09:48:52Z</dcterms:created>
  <dcterms:modified xsi:type="dcterms:W3CDTF">2016-08-18T01:34:10Z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0x01010046CF21643EE8D14686A648AA6DAD089200A08A3B5C77C0FC43A261BE7C95B5E886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