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4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xl/comments5.xml" ContentType="application/vnd.openxmlformats-officedocument.spreadsheetml.comments+xml"/>
  <Override PartName="/customXml/itemProps5.xml" ContentType="application/vnd.openxmlformats-officedocument.customXmlProperties+xml"/>
  <Override PartName="/xl/comments6.xml" ContentType="application/vnd.openxmlformats-officedocument.spreadsheetml.comments+xml"/>
  <Override PartName="/docProps/core.xml" ContentType="application/vnd.openxmlformats-package.core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AR-LON/AR-L1307/15 LifeCycle Milestones/"/>
    </mc:Choice>
  </mc:AlternateContent>
  <xr:revisionPtr revIDLastSave="0" documentId="14_{69906225-03AF-4F23-A806-283BE2F61FBD}" xr6:coauthVersionLast="43" xr6:coauthVersionMax="43" xr10:uidLastSave="{00000000-0000-0000-0000-000000000000}"/>
  <bookViews>
    <workbookView xWindow="-108" yWindow="-108" windowWidth="23256" windowHeight="12576" tabRatio="686" firstSheet="1" activeTab="2" xr2:uid="{00000000-000D-0000-FFFF-FFFF00000000}"/>
  </bookViews>
  <sheets>
    <sheet name="CC (2)" sheetId="45" state="hidden" r:id="rId1"/>
    <sheet name="CC" sheetId="10" r:id="rId2"/>
    <sheet name="PEP (2)" sheetId="44" r:id="rId3"/>
    <sheet name="Detalle Plan de Adquisiciones" sheetId="39" state="hidden" r:id="rId4"/>
    <sheet name="Plan de Adquisiciones" sheetId="40" state="hidden" r:id="rId5"/>
    <sheet name="PA" sheetId="33" state="hidden" r:id="rId6"/>
    <sheet name="R41" sheetId="27" state="hidden" r:id="rId7"/>
    <sheet name="Re" sheetId="35" state="hidden" r:id="rId8"/>
    <sheet name="Tramo 4" sheetId="36" state="hidden" r:id="rId9"/>
    <sheet name="Inspeccion R41" sheetId="38" state="hidden" r:id="rId10"/>
    <sheet name="Inspeccion Re" sheetId="30" state="hidden" r:id="rId11"/>
    <sheet name="Fisc Tramo 2" sheetId="37" state="hidden" r:id="rId12"/>
  </sheets>
  <externalReferences>
    <externalReference r:id="rId13"/>
    <externalReference r:id="rId14"/>
  </externalReferences>
  <definedNames>
    <definedName name="_1" localSheetId="0" hidden="1">#REF!</definedName>
    <definedName name="_1" localSheetId="11" hidden="1">#REF!</definedName>
    <definedName name="_1" localSheetId="9" hidden="1">#REF!</definedName>
    <definedName name="_1" localSheetId="10" hidden="1">#REF!</definedName>
    <definedName name="_1" localSheetId="7" hidden="1">#REF!</definedName>
    <definedName name="_1" localSheetId="8" hidden="1">#REF!</definedName>
    <definedName name="_1" hidden="1">#REF!</definedName>
    <definedName name="_2" localSheetId="0">#REF!</definedName>
    <definedName name="_2" localSheetId="11">#REF!</definedName>
    <definedName name="_2" localSheetId="9">#REF!</definedName>
    <definedName name="_2" localSheetId="10">#REF!</definedName>
    <definedName name="_2" localSheetId="7">#REF!</definedName>
    <definedName name="_2" localSheetId="8">#REF!</definedName>
    <definedName name="_2">#REF!</definedName>
    <definedName name="_3" localSheetId="0">#REF!</definedName>
    <definedName name="_3" localSheetId="11">#REF!</definedName>
    <definedName name="_3" localSheetId="9">#REF!</definedName>
    <definedName name="_3" localSheetId="10">#REF!</definedName>
    <definedName name="_3" localSheetId="7">#REF!</definedName>
    <definedName name="_3" localSheetId="8">#REF!</definedName>
    <definedName name="_3">#REF!</definedName>
    <definedName name="_6" localSheetId="0">#REF!</definedName>
    <definedName name="_6" localSheetId="11">#REF!</definedName>
    <definedName name="_6" localSheetId="9">#REF!</definedName>
    <definedName name="_6" localSheetId="10">#REF!</definedName>
    <definedName name="_6" localSheetId="7">#REF!</definedName>
    <definedName name="_6" localSheetId="8">#REF!</definedName>
    <definedName name="_6">#REF!</definedName>
    <definedName name="_8" localSheetId="0">#REF!</definedName>
    <definedName name="_8" localSheetId="11">#REF!</definedName>
    <definedName name="_8" localSheetId="9">#REF!</definedName>
    <definedName name="_8" localSheetId="10">#REF!</definedName>
    <definedName name="_8" localSheetId="7">#REF!</definedName>
    <definedName name="_8" localSheetId="8">#REF!</definedName>
    <definedName name="_8">#REF!</definedName>
    <definedName name="_asd" localSheetId="0">#REF!</definedName>
    <definedName name="_asd" localSheetId="11">#REF!</definedName>
    <definedName name="_asd" localSheetId="9">#REF!</definedName>
    <definedName name="_asd">#REF!</definedName>
    <definedName name="_f" localSheetId="0">#REF!</definedName>
    <definedName name="_f" localSheetId="11">#REF!</definedName>
    <definedName name="_f" localSheetId="9">#REF!</definedName>
    <definedName name="_f" localSheetId="10">#REF!</definedName>
    <definedName name="_f" localSheetId="7">#REF!</definedName>
    <definedName name="_f" localSheetId="8">#REF!</definedName>
    <definedName name="_f">#REF!</definedName>
    <definedName name="_Fill" localSheetId="0" hidden="1">#REF!</definedName>
    <definedName name="_Fill" localSheetId="11" hidden="1">#REF!</definedName>
    <definedName name="_Fill" localSheetId="9" hidden="1">#REF!</definedName>
    <definedName name="_Fill" localSheetId="10" hidden="1">#REF!</definedName>
    <definedName name="_Fill" localSheetId="7" hidden="1">#REF!</definedName>
    <definedName name="_Fill" localSheetId="8" hidden="1">#REF!</definedName>
    <definedName name="_Fill" hidden="1">#REF!</definedName>
    <definedName name="aaa" localSheetId="0">#REF!</definedName>
    <definedName name="aaa" localSheetId="11">#REF!</definedName>
    <definedName name="aaa" localSheetId="9">#REF!</definedName>
    <definedName name="aaa" localSheetId="10">#REF!</definedName>
    <definedName name="aaa" localSheetId="6">#REF!</definedName>
    <definedName name="aaa" localSheetId="7">#REF!</definedName>
    <definedName name="aaa" localSheetId="8">#REF!</definedName>
    <definedName name="aaa">#REF!</definedName>
    <definedName name="Component1">[1]RRF!$C$8</definedName>
    <definedName name="Component11">[1]RRF!$C$44</definedName>
    <definedName name="Component2">[1]RRF!$C$12</definedName>
    <definedName name="Component3">[1]RRF!$C$19</definedName>
    <definedName name="Component4">[1]RRF!$C$26</definedName>
    <definedName name="Component7">[1]RRF!$C$31</definedName>
    <definedName name="Component8">[1]RRF!$C$35</definedName>
    <definedName name="Component9">[1]RRF!$C$40</definedName>
    <definedName name="d" localSheetId="0">#REF!</definedName>
    <definedName name="d" localSheetId="11">#REF!</definedName>
    <definedName name="d" localSheetId="9">#REF!</definedName>
    <definedName name="d" localSheetId="7">#REF!</definedName>
    <definedName name="d" localSheetId="8">#REF!</definedName>
    <definedName name="d">#REF!</definedName>
    <definedName name="DDD" localSheetId="0">#REF!</definedName>
    <definedName name="DDD" localSheetId="11">#REF!</definedName>
    <definedName name="DDD" localSheetId="9">#REF!</definedName>
    <definedName name="DDD" localSheetId="10">#REF!</definedName>
    <definedName name="DDD" localSheetId="6">#REF!</definedName>
    <definedName name="DDD" localSheetId="7">#REF!</definedName>
    <definedName name="DDD" localSheetId="8">#REF!</definedName>
    <definedName name="DDD">#REF!</definedName>
    <definedName name="dfg" localSheetId="0">#REF!</definedName>
    <definedName name="dfg" localSheetId="11">#REF!</definedName>
    <definedName name="dfg" localSheetId="9">#REF!</definedName>
    <definedName name="dfg">#REF!</definedName>
    <definedName name="dg" localSheetId="0">#REF!</definedName>
    <definedName name="dg" localSheetId="11">#REF!</definedName>
    <definedName name="dg" localSheetId="9">#REF!</definedName>
    <definedName name="dg">#REF!</definedName>
    <definedName name="e" localSheetId="0">#REF!</definedName>
    <definedName name="e" localSheetId="11">#REF!</definedName>
    <definedName name="e" localSheetId="9">#REF!</definedName>
    <definedName name="e" localSheetId="10">#REF!</definedName>
    <definedName name="e" localSheetId="7">#REF!</definedName>
    <definedName name="e" localSheetId="8">#REF!</definedName>
    <definedName name="e">#REF!</definedName>
    <definedName name="fdgg" localSheetId="0">#REF!</definedName>
    <definedName name="fdgg" localSheetId="11">#REF!</definedName>
    <definedName name="fdgg" localSheetId="9">#REF!</definedName>
    <definedName name="fdgg">#REF!</definedName>
    <definedName name="ffff" localSheetId="0">#REF!</definedName>
    <definedName name="ffff" localSheetId="11">#REF!</definedName>
    <definedName name="ffff" localSheetId="9">#REF!</definedName>
    <definedName name="ffff" localSheetId="10">#REF!</definedName>
    <definedName name="ffff" localSheetId="7">#REF!</definedName>
    <definedName name="ffff" localSheetId="8">#REF!</definedName>
    <definedName name="ffff">#REF!</definedName>
    <definedName name="GRAFI" localSheetId="0">#REF!</definedName>
    <definedName name="GRAFI" localSheetId="11">#REF!</definedName>
    <definedName name="GRAFI" localSheetId="9">#REF!</definedName>
    <definedName name="GRAFI" localSheetId="10">#REF!</definedName>
    <definedName name="GRAFI" localSheetId="7">#REF!</definedName>
    <definedName name="GRAFI" localSheetId="8">#REF!</definedName>
    <definedName name="GRAFI">#REF!</definedName>
    <definedName name="GRAFICO" localSheetId="0">#REF!</definedName>
    <definedName name="GRAFICO" localSheetId="11">#REF!</definedName>
    <definedName name="GRAFICO" localSheetId="9">#REF!</definedName>
    <definedName name="GRAFICO" localSheetId="10">#REF!</definedName>
    <definedName name="GRAFICO" localSheetId="7">#REF!</definedName>
    <definedName name="GRAFICO" localSheetId="8">#REF!</definedName>
    <definedName name="GRAFICO">#REF!</definedName>
    <definedName name="Level1">[1]MER!$J$15</definedName>
    <definedName name="Level11">[1]MER!$J$25</definedName>
    <definedName name="Level2">[1]MER!$J$16</definedName>
    <definedName name="Level3">[1]MER!$J$17</definedName>
    <definedName name="Level4">[1]MER!$J$18</definedName>
    <definedName name="Level7">[1]MER!$J$21</definedName>
    <definedName name="Level8">[1]MER!$J$22</definedName>
    <definedName name="Level9">[1]MER!$J$23</definedName>
    <definedName name="Np" localSheetId="0">#REF!</definedName>
    <definedName name="Np" localSheetId="11">#REF!</definedName>
    <definedName name="Np" localSheetId="9">#REF!</definedName>
    <definedName name="Np" localSheetId="7">#REF!</definedName>
    <definedName name="Np" localSheetId="8">#REF!</definedName>
    <definedName name="Np">#REF!</definedName>
    <definedName name="Nuevo" localSheetId="0">#REF!</definedName>
    <definedName name="Nuevo" localSheetId="11">#REF!</definedName>
    <definedName name="Nuevo" localSheetId="9">#REF!</definedName>
    <definedName name="Nuevo" localSheetId="10">#REF!</definedName>
    <definedName name="Nuevo" localSheetId="7">#REF!</definedName>
    <definedName name="Nuevo" localSheetId="8">#REF!</definedName>
    <definedName name="Nuevo">#REF!</definedName>
    <definedName name="Pres" localSheetId="0">#REF!</definedName>
    <definedName name="Pres" localSheetId="11">#REF!</definedName>
    <definedName name="Pres" localSheetId="9">#REF!</definedName>
    <definedName name="Pres" localSheetId="10">#REF!</definedName>
    <definedName name="Pres" localSheetId="6">#REF!</definedName>
    <definedName name="Pres" localSheetId="7">#REF!</definedName>
    <definedName name="Pres" localSheetId="8">#REF!</definedName>
    <definedName name="Pres">#REF!</definedName>
    <definedName name="_xlnm.Print_Area" localSheetId="6">'R41'!$A$1:$J$47</definedName>
    <definedName name="_xlnm.Print_Area" localSheetId="7">Re!$A$1:$J$47</definedName>
    <definedName name="_xlnm.Print_Area" localSheetId="8">'Tramo 4'!$A$1:$J$47</definedName>
    <definedName name="Print_Area_MI" localSheetId="0">#REF!</definedName>
    <definedName name="Print_Area_MI" localSheetId="11">#REF!</definedName>
    <definedName name="Print_Area_MI" localSheetId="9">#REF!</definedName>
    <definedName name="Print_Area_MI" localSheetId="10">#REF!</definedName>
    <definedName name="Print_Area_MI" localSheetId="6">#REF!</definedName>
    <definedName name="Print_Area_MI" localSheetId="7">#REF!</definedName>
    <definedName name="Print_Area_MI" localSheetId="8">#REF!</definedName>
    <definedName name="Print_Area_MI">#REF!</definedName>
    <definedName name="Resumen" localSheetId="0">#REF!</definedName>
    <definedName name="Resumen" localSheetId="11">#REF!</definedName>
    <definedName name="Resumen" localSheetId="9">#REF!</definedName>
    <definedName name="Resumen" localSheetId="10">#REF!</definedName>
    <definedName name="Resumen" localSheetId="6">#REF!</definedName>
    <definedName name="Resumen" localSheetId="7">#REF!</definedName>
    <definedName name="Resumen" localSheetId="8">#REF!</definedName>
    <definedName name="Resumen">#REF!</definedName>
    <definedName name="Risk1">[1]RRF!$E$8</definedName>
    <definedName name="Risk11">[1]RRF!$E$44</definedName>
    <definedName name="Risk2">[1]RRF!$E$12</definedName>
    <definedName name="Risk3">[1]RRF!$E$19</definedName>
    <definedName name="Risk4">[1]RRF!$E$26</definedName>
    <definedName name="Risk7">[1]RRF!$E$31</definedName>
    <definedName name="Risk8">[1]RRF!$E$35</definedName>
    <definedName name="Risk9">[1]RRF!$E$40</definedName>
    <definedName name="s" localSheetId="0">#REF!</definedName>
    <definedName name="s" localSheetId="11">#REF!</definedName>
    <definedName name="s" localSheetId="9">#REF!</definedName>
    <definedName name="s" localSheetId="7">#REF!</definedName>
    <definedName name="s" localSheetId="8">#REF!</definedName>
    <definedName name="s">#REF!</definedName>
    <definedName name="SFGH" localSheetId="0">#REF!</definedName>
    <definedName name="SFGH" localSheetId="11">#REF!</definedName>
    <definedName name="SFGH" localSheetId="9">#REF!</definedName>
    <definedName name="SFGH" localSheetId="10">#REF!</definedName>
    <definedName name="SFGH" localSheetId="7">#REF!</definedName>
    <definedName name="SFGH" localSheetId="8">#REF!</definedName>
    <definedName name="SFGH">#REF!</definedName>
    <definedName name="si" localSheetId="0">#REF!</definedName>
    <definedName name="si" localSheetId="11">#REF!</definedName>
    <definedName name="si" localSheetId="9">#REF!</definedName>
    <definedName name="si" localSheetId="7">#REF!</definedName>
    <definedName name="si" localSheetId="8">#REF!</definedName>
    <definedName name="si">#REF!</definedName>
    <definedName name="Trmao2" localSheetId="0">#REF!</definedName>
    <definedName name="Trmao2" localSheetId="11">#REF!</definedName>
    <definedName name="Trmao2" localSheetId="9">#REF!</definedName>
    <definedName name="Trmao2" localSheetId="7">#REF!</definedName>
    <definedName name="Trmao2" localSheetId="8">#REF!</definedName>
    <definedName name="Trmao2">#REF!</definedName>
    <definedName name="Typeofrisk1">[1]RRF!$D$8</definedName>
    <definedName name="Typeofrisk11">[1]RRF!$D$44</definedName>
    <definedName name="Typeofrisk2">[1]RRF!$D$12</definedName>
    <definedName name="Typeofrisk3">[1]RRF!$D$19</definedName>
    <definedName name="Typeofrisk4">[1]RRF!$D$26</definedName>
    <definedName name="Typeofrisk7">[1]RRF!$D$31</definedName>
    <definedName name="Typeofrisk8">[1]RRF!$D$35</definedName>
    <definedName name="Typeofrisk9">[1]RRF!$D$40</definedName>
    <definedName name="Value1">[1]MER!$I$15</definedName>
    <definedName name="Value11">[1]MER!$I$25</definedName>
    <definedName name="Value2">[1]MER!$I$16</definedName>
    <definedName name="Value3">[1]MER!$I$17</definedName>
    <definedName name="Value4">[1]MER!$I$18</definedName>
    <definedName name="Value7">[1]MER!$I$21</definedName>
    <definedName name="Value8">[1]MER!$I$22</definedName>
    <definedName name="Value9">[1]MER!$I$23</definedName>
    <definedName name="Z_8A03CBAE_1F67_44BD_A3B2_08C8A68325B1_.wvu.Cols" localSheetId="3" hidden="1">'Detalle Plan de Adquisiciones'!$Q:$R</definedName>
    <definedName name="Z_9A84CFEA_1C04_4CED_ACA2_7ABD192CA5FB_.wvu.Cols" localSheetId="3" hidden="1">'Detalle Plan de Adquisiciones'!$Q:$R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7" i="44" l="1"/>
  <c r="S7" i="44"/>
  <c r="T7" i="44"/>
  <c r="U7" i="44"/>
  <c r="V7" i="44" s="1"/>
  <c r="Q7" i="44"/>
  <c r="Q8" i="44" s="1"/>
  <c r="V6" i="44"/>
  <c r="V5" i="44"/>
  <c r="R8" i="44"/>
  <c r="S8" i="44"/>
  <c r="T8" i="44"/>
  <c r="U8" i="44"/>
  <c r="P7" i="44"/>
  <c r="R6" i="44"/>
  <c r="S6" i="44"/>
  <c r="T6" i="44"/>
  <c r="U6" i="44"/>
  <c r="Q6" i="44"/>
  <c r="P6" i="44"/>
  <c r="R5" i="44"/>
  <c r="S5" i="44"/>
  <c r="T5" i="44"/>
  <c r="U5" i="44"/>
  <c r="Q5" i="44"/>
  <c r="R4" i="44"/>
  <c r="S4" i="44"/>
  <c r="T4" i="44"/>
  <c r="U4" i="44"/>
  <c r="Q4" i="44"/>
  <c r="P5" i="44"/>
  <c r="G44" i="45"/>
  <c r="F44" i="45" s="1"/>
  <c r="G43" i="45"/>
  <c r="D43" i="45"/>
  <c r="G42" i="45"/>
  <c r="F42" i="45" s="1"/>
  <c r="D42" i="45"/>
  <c r="G41" i="45"/>
  <c r="E41" i="45"/>
  <c r="C41" i="45"/>
  <c r="C45" i="45" s="1"/>
  <c r="G40" i="45"/>
  <c r="F40" i="45" s="1"/>
  <c r="G39" i="45"/>
  <c r="D39" i="45" s="1"/>
  <c r="F39" i="45"/>
  <c r="F38" i="45" s="1"/>
  <c r="E38" i="45"/>
  <c r="E45" i="45" s="1"/>
  <c r="C38" i="45"/>
  <c r="G38" i="45" s="1"/>
  <c r="G37" i="45"/>
  <c r="D37" i="45"/>
  <c r="G36" i="45"/>
  <c r="D36" i="45" s="1"/>
  <c r="G35" i="45"/>
  <c r="G34" i="45"/>
  <c r="D34" i="45" s="1"/>
  <c r="D35" i="45" s="1"/>
  <c r="G33" i="45"/>
  <c r="D33" i="45"/>
  <c r="G32" i="45"/>
  <c r="D32" i="45" s="1"/>
  <c r="G31" i="45"/>
  <c r="D31" i="45"/>
  <c r="G30" i="45"/>
  <c r="D30" i="45" s="1"/>
  <c r="F29" i="45"/>
  <c r="E29" i="45"/>
  <c r="C29" i="45"/>
  <c r="C18" i="45"/>
  <c r="E17" i="45"/>
  <c r="C17" i="45"/>
  <c r="E16" i="45"/>
  <c r="C16" i="45"/>
  <c r="E15" i="45"/>
  <c r="C15" i="45"/>
  <c r="C13" i="45"/>
  <c r="C12" i="45"/>
  <c r="C11" i="45"/>
  <c r="C10" i="45"/>
  <c r="G9" i="45"/>
  <c r="E9" i="45"/>
  <c r="C14" i="45" l="1"/>
  <c r="V8" i="44"/>
  <c r="C9" i="45"/>
  <c r="C8" i="45" s="1"/>
  <c r="E14" i="45"/>
  <c r="C19" i="45"/>
  <c r="G45" i="45"/>
  <c r="G29" i="45"/>
  <c r="D40" i="45"/>
  <c r="D44" i="45"/>
  <c r="F41" i="45"/>
  <c r="J17" i="44"/>
  <c r="K17" i="44"/>
  <c r="L17" i="44"/>
  <c r="M17" i="44"/>
  <c r="N17" i="44"/>
  <c r="I17" i="44"/>
  <c r="N21" i="44"/>
  <c r="N11" i="44"/>
  <c r="L11" i="44"/>
  <c r="K11" i="44"/>
  <c r="M11" i="44"/>
  <c r="J11" i="44"/>
  <c r="M10" i="44"/>
  <c r="L10" i="44"/>
  <c r="K10" i="44"/>
  <c r="J10" i="44"/>
  <c r="I9" i="44"/>
  <c r="I5" i="44"/>
  <c r="E11" i="44"/>
  <c r="D11" i="44"/>
  <c r="J9" i="44"/>
  <c r="J8" i="44"/>
  <c r="I8" i="44"/>
  <c r="J7" i="44"/>
  <c r="I7" i="44"/>
  <c r="J6" i="44"/>
  <c r="I6" i="44"/>
  <c r="G11" i="44"/>
  <c r="H11" i="44"/>
  <c r="B11" i="44"/>
  <c r="A7" i="44"/>
  <c r="A8" i="44"/>
  <c r="A9" i="44"/>
  <c r="A10" i="44"/>
  <c r="A11" i="44"/>
  <c r="A12" i="44"/>
  <c r="A13" i="44"/>
  <c r="C28" i="10"/>
  <c r="G30" i="10"/>
  <c r="G31" i="10"/>
  <c r="G32" i="10"/>
  <c r="G33" i="10"/>
  <c r="G34" i="10"/>
  <c r="G35" i="10"/>
  <c r="G36" i="10"/>
  <c r="G37" i="10"/>
  <c r="G38" i="10"/>
  <c r="G39" i="10"/>
  <c r="G40" i="10"/>
  <c r="G41" i="10"/>
  <c r="G42" i="10"/>
  <c r="G43" i="10"/>
  <c r="N16" i="44" l="1"/>
  <c r="F18" i="44"/>
  <c r="F20" i="44" s="1"/>
  <c r="E19" i="44"/>
  <c r="E20" i="44"/>
  <c r="E18" i="44"/>
  <c r="E16" i="44"/>
  <c r="D16" i="44"/>
  <c r="D15" i="44"/>
  <c r="E15" i="44" s="1"/>
  <c r="G13" i="44"/>
  <c r="G12" i="44"/>
  <c r="D12" i="44"/>
  <c r="E12" i="44" s="1"/>
  <c r="D13" i="44"/>
  <c r="E13" i="44" s="1"/>
  <c r="D10" i="44"/>
  <c r="E10" i="44" s="1"/>
  <c r="G10" i="44"/>
  <c r="G7" i="44"/>
  <c r="G8" i="44"/>
  <c r="G9" i="44"/>
  <c r="G6" i="44"/>
  <c r="E7" i="44"/>
  <c r="E8" i="44"/>
  <c r="E9" i="44"/>
  <c r="C40" i="10"/>
  <c r="E6" i="44"/>
  <c r="H19" i="44"/>
  <c r="M19" i="44" s="1"/>
  <c r="N19" i="44" s="1"/>
  <c r="H20" i="44"/>
  <c r="L20" i="44" s="1"/>
  <c r="H18" i="44"/>
  <c r="J18" i="44" s="1"/>
  <c r="H16" i="44"/>
  <c r="H15" i="44"/>
  <c r="L15" i="44" s="1"/>
  <c r="L14" i="44" s="1"/>
  <c r="H7" i="44"/>
  <c r="H8" i="44"/>
  <c r="H9" i="44"/>
  <c r="H10" i="44"/>
  <c r="H12" i="44"/>
  <c r="J12" i="44" s="1"/>
  <c r="H13" i="44"/>
  <c r="K13" i="44" s="1"/>
  <c r="B19" i="44"/>
  <c r="B20" i="44"/>
  <c r="B18" i="44"/>
  <c r="A16" i="44"/>
  <c r="A15" i="44"/>
  <c r="B16" i="44"/>
  <c r="B15" i="44"/>
  <c r="H6" i="44"/>
  <c r="J13" i="44" l="1"/>
  <c r="K18" i="44"/>
  <c r="M18" i="44"/>
  <c r="I13" i="44"/>
  <c r="H14" i="44"/>
  <c r="M15" i="44"/>
  <c r="M14" i="44" s="1"/>
  <c r="K15" i="44"/>
  <c r="K14" i="44" s="1"/>
  <c r="L13" i="44"/>
  <c r="N13" i="44" s="1"/>
  <c r="M13" i="44"/>
  <c r="I15" i="44"/>
  <c r="I14" i="44" s="1"/>
  <c r="J15" i="44"/>
  <c r="J14" i="44" s="1"/>
  <c r="L18" i="44"/>
  <c r="I20" i="44"/>
  <c r="J20" i="44"/>
  <c r="L12" i="44"/>
  <c r="K20" i="44"/>
  <c r="I12" i="44"/>
  <c r="M12" i="44"/>
  <c r="H17" i="44"/>
  <c r="N9" i="44"/>
  <c r="M20" i="44"/>
  <c r="K12" i="44"/>
  <c r="I18" i="44"/>
  <c r="H5" i="44"/>
  <c r="B7" i="44"/>
  <c r="B8" i="44"/>
  <c r="B9" i="44"/>
  <c r="B10" i="44"/>
  <c r="B12" i="44"/>
  <c r="B13" i="44"/>
  <c r="A6" i="44"/>
  <c r="B6" i="44"/>
  <c r="N20" i="44" l="1"/>
  <c r="M5" i="44"/>
  <c r="N18" i="44"/>
  <c r="N15" i="44"/>
  <c r="N14" i="44" s="1"/>
  <c r="K5" i="44"/>
  <c r="K21" i="44" s="1"/>
  <c r="J5" i="44"/>
  <c r="J21" i="44" s="1"/>
  <c r="N10" i="44"/>
  <c r="L5" i="44"/>
  <c r="L21" i="44" s="1"/>
  <c r="H21" i="44"/>
  <c r="N12" i="44"/>
  <c r="N6" i="44"/>
  <c r="M21" i="44"/>
  <c r="B17" i="44"/>
  <c r="B14" i="44"/>
  <c r="B5" i="44"/>
  <c r="N8" i="44"/>
  <c r="N5" i="44" l="1"/>
  <c r="I21" i="44"/>
  <c r="N7" i="44"/>
  <c r="D30" i="10" l="1"/>
  <c r="D31" i="10"/>
  <c r="D33" i="10"/>
  <c r="D34" i="10" s="1"/>
  <c r="D35" i="10"/>
  <c r="D36" i="10"/>
  <c r="D42" i="10"/>
  <c r="G29" i="10"/>
  <c r="D29" i="10"/>
  <c r="E28" i="10"/>
  <c r="F28" i="10"/>
  <c r="C44" i="10"/>
  <c r="E37" i="10"/>
  <c r="C37" i="10"/>
  <c r="G28" i="10" l="1"/>
  <c r="D32" i="10"/>
  <c r="B11" i="40" l="1"/>
  <c r="C11" i="40" s="1"/>
  <c r="N6" i="39"/>
  <c r="B5" i="39"/>
  <c r="B6" i="39" s="1"/>
  <c r="G32" i="39"/>
  <c r="G5" i="39"/>
  <c r="H5" i="39" s="1"/>
  <c r="B3" i="30"/>
  <c r="A45" i="38"/>
  <c r="A5" i="38" s="1"/>
  <c r="B3" i="38"/>
  <c r="AC56" i="38"/>
  <c r="B45" i="38"/>
  <c r="C19" i="38"/>
  <c r="C20" i="38"/>
  <c r="C21" i="38"/>
  <c r="C22" i="38" s="1"/>
  <c r="C23" i="38" s="1"/>
  <c r="C24" i="38" s="1"/>
  <c r="C25" i="38" s="1"/>
  <c r="C26" i="38" s="1"/>
  <c r="C27" i="38" s="1"/>
  <c r="C28" i="38"/>
  <c r="C29" i="38" s="1"/>
  <c r="C30" i="38" s="1"/>
  <c r="C31" i="38" s="1"/>
  <c r="C32" i="38" s="1"/>
  <c r="C33" i="38" s="1"/>
  <c r="C34" i="38" s="1"/>
  <c r="C35" i="38" s="1"/>
  <c r="C36" i="38" s="1"/>
  <c r="C37" i="38"/>
  <c r="C38" i="38" s="1"/>
  <c r="C39" i="38" s="1"/>
  <c r="C40" i="38" s="1"/>
  <c r="C41" i="38" s="1"/>
  <c r="C42" i="38" s="1"/>
  <c r="C43" i="38" s="1"/>
  <c r="C44" i="38" s="1"/>
  <c r="B18" i="38"/>
  <c r="J17" i="38"/>
  <c r="D17" i="38"/>
  <c r="D13" i="38"/>
  <c r="I17" i="38" s="1"/>
  <c r="C11" i="38"/>
  <c r="C8" i="38"/>
  <c r="I7" i="38"/>
  <c r="B45" i="30"/>
  <c r="G40" i="39"/>
  <c r="D8" i="30"/>
  <c r="A63" i="30" s="1"/>
  <c r="D64" i="33"/>
  <c r="C61" i="33"/>
  <c r="F43" i="10"/>
  <c r="G36" i="39"/>
  <c r="G33" i="39"/>
  <c r="G34" i="39"/>
  <c r="G14" i="39"/>
  <c r="B12" i="40" s="1"/>
  <c r="C12" i="40" s="1"/>
  <c r="G41" i="39"/>
  <c r="G6" i="39"/>
  <c r="H6" i="39"/>
  <c r="D8" i="35"/>
  <c r="D11" i="35" s="1"/>
  <c r="D39" i="35" s="1"/>
  <c r="H39" i="35" s="1"/>
  <c r="E15" i="10"/>
  <c r="A61" i="37"/>
  <c r="C60" i="37" s="1"/>
  <c r="D10" i="30"/>
  <c r="D10" i="37"/>
  <c r="AA54" i="37"/>
  <c r="B43" i="37"/>
  <c r="A43" i="37"/>
  <c r="C19" i="37"/>
  <c r="C20" i="37"/>
  <c r="C21" i="37"/>
  <c r="C22" i="37" s="1"/>
  <c r="C23" i="37"/>
  <c r="C24" i="37" s="1"/>
  <c r="C25" i="37" s="1"/>
  <c r="C26" i="37" s="1"/>
  <c r="C27" i="37"/>
  <c r="C28" i="37" s="1"/>
  <c r="C29" i="37" s="1"/>
  <c r="C30" i="37" s="1"/>
  <c r="C31" i="37" s="1"/>
  <c r="C32" i="37" s="1"/>
  <c r="C33" i="37"/>
  <c r="C34" i="37" s="1"/>
  <c r="C35" i="37" s="1"/>
  <c r="C36" i="37"/>
  <c r="C37" i="37" s="1"/>
  <c r="C38" i="37" s="1"/>
  <c r="C39" i="37" s="1"/>
  <c r="C40" i="37" s="1"/>
  <c r="C41" i="37" s="1"/>
  <c r="C42" i="37" s="1"/>
  <c r="B18" i="37"/>
  <c r="J17" i="37"/>
  <c r="I17" i="37"/>
  <c r="D17" i="37"/>
  <c r="D13" i="37"/>
  <c r="D11" i="37"/>
  <c r="C11" i="37"/>
  <c r="C8" i="37"/>
  <c r="I7" i="37"/>
  <c r="A5" i="37"/>
  <c r="B3" i="37"/>
  <c r="D8" i="36"/>
  <c r="D11" i="36" s="1"/>
  <c r="C13" i="10"/>
  <c r="C12" i="10"/>
  <c r="C11" i="10"/>
  <c r="C10" i="10"/>
  <c r="C9" i="10" s="1"/>
  <c r="C8" i="10" s="1"/>
  <c r="M46" i="33"/>
  <c r="L46" i="33"/>
  <c r="M45" i="33"/>
  <c r="L45" i="33"/>
  <c r="I45" i="33"/>
  <c r="I46" i="33"/>
  <c r="G45" i="33"/>
  <c r="E46" i="33"/>
  <c r="E45" i="33"/>
  <c r="C45" i="33"/>
  <c r="G60" i="33"/>
  <c r="D60" i="33"/>
  <c r="C60" i="33"/>
  <c r="I44" i="33"/>
  <c r="G44" i="33"/>
  <c r="E39" i="33"/>
  <c r="E40" i="33"/>
  <c r="E41" i="33"/>
  <c r="E42" i="33"/>
  <c r="E43" i="33"/>
  <c r="E44" i="33"/>
  <c r="L39" i="33"/>
  <c r="M39" i="33"/>
  <c r="L40" i="33"/>
  <c r="M40" i="33"/>
  <c r="L41" i="33"/>
  <c r="M41" i="33"/>
  <c r="L42" i="33"/>
  <c r="M42" i="33"/>
  <c r="L43" i="33"/>
  <c r="M43" i="33"/>
  <c r="L44" i="33"/>
  <c r="M44" i="33"/>
  <c r="M38" i="33"/>
  <c r="L38" i="33"/>
  <c r="D39" i="33"/>
  <c r="D40" i="33"/>
  <c r="D41" i="33"/>
  <c r="D42" i="33"/>
  <c r="D43" i="33"/>
  <c r="D44" i="33"/>
  <c r="D38" i="33"/>
  <c r="C44" i="33"/>
  <c r="C39" i="33"/>
  <c r="C40" i="33"/>
  <c r="C41" i="33"/>
  <c r="C42" i="33"/>
  <c r="C43" i="33"/>
  <c r="C38" i="33"/>
  <c r="D36" i="33"/>
  <c r="D37" i="33"/>
  <c r="L37" i="33"/>
  <c r="M37" i="33"/>
  <c r="M36" i="33"/>
  <c r="L36" i="33"/>
  <c r="M35" i="33"/>
  <c r="L35" i="33"/>
  <c r="I35" i="33"/>
  <c r="I36" i="33"/>
  <c r="I37" i="33"/>
  <c r="G37" i="33"/>
  <c r="G36" i="33"/>
  <c r="G35" i="33"/>
  <c r="E37" i="33"/>
  <c r="E36" i="33"/>
  <c r="E35" i="33"/>
  <c r="D35" i="33"/>
  <c r="C37" i="33"/>
  <c r="C36" i="33"/>
  <c r="C35" i="33"/>
  <c r="L34" i="33"/>
  <c r="M34" i="33"/>
  <c r="M33" i="33"/>
  <c r="L33" i="33"/>
  <c r="N12" i="33"/>
  <c r="N13" i="33"/>
  <c r="N14" i="33"/>
  <c r="N15" i="33"/>
  <c r="M13" i="33"/>
  <c r="M14" i="33"/>
  <c r="M15" i="33"/>
  <c r="M12" i="33"/>
  <c r="D40" i="37"/>
  <c r="H40" i="37" s="1"/>
  <c r="D35" i="37"/>
  <c r="D30" i="37"/>
  <c r="D22" i="37"/>
  <c r="H22" i="37" s="1"/>
  <c r="D34" i="37"/>
  <c r="D31" i="37"/>
  <c r="D25" i="37"/>
  <c r="D19" i="37"/>
  <c r="D42" i="37"/>
  <c r="D36" i="37"/>
  <c r="D33" i="37"/>
  <c r="D37" i="37"/>
  <c r="D38" i="37"/>
  <c r="J38" i="37" s="1"/>
  <c r="D27" i="37"/>
  <c r="D24" i="37"/>
  <c r="D21" i="37"/>
  <c r="J21" i="37" s="1"/>
  <c r="D32" i="37"/>
  <c r="J32" i="37" s="1"/>
  <c r="D29" i="37"/>
  <c r="D18" i="37"/>
  <c r="A63" i="37"/>
  <c r="C63" i="37"/>
  <c r="C57" i="37" s="1"/>
  <c r="D57" i="37" s="1"/>
  <c r="A62" i="37"/>
  <c r="B58" i="37"/>
  <c r="AA58" i="37" s="1"/>
  <c r="E40" i="10"/>
  <c r="J37" i="37"/>
  <c r="U55" i="37" s="1"/>
  <c r="U56" i="37" s="1"/>
  <c r="H37" i="37"/>
  <c r="I37" i="37" s="1"/>
  <c r="E57" i="37"/>
  <c r="F57" i="37" s="1"/>
  <c r="G57" i="37" s="1"/>
  <c r="H57" i="37" s="1"/>
  <c r="I57" i="37"/>
  <c r="J57" i="37" s="1"/>
  <c r="K57" i="37" s="1"/>
  <c r="L57" i="37" s="1"/>
  <c r="M57" i="37" s="1"/>
  <c r="N57" i="37" s="1"/>
  <c r="O57" i="37"/>
  <c r="P57" i="37" s="1"/>
  <c r="Q57" i="37" s="1"/>
  <c r="R57" i="37" s="1"/>
  <c r="S57" i="37" s="1"/>
  <c r="T57" i="37" s="1"/>
  <c r="U57" i="37" s="1"/>
  <c r="V57" i="37" s="1"/>
  <c r="W57" i="37" s="1"/>
  <c r="X57" i="37" s="1"/>
  <c r="Y57" i="37" s="1"/>
  <c r="Z57" i="37" s="1"/>
  <c r="Z59" i="37" s="1"/>
  <c r="H32" i="37"/>
  <c r="P55" i="37"/>
  <c r="P56" i="37"/>
  <c r="J27" i="37"/>
  <c r="K55" i="37" s="1"/>
  <c r="K56" i="37" s="1"/>
  <c r="H27" i="37"/>
  <c r="J19" i="37"/>
  <c r="C55" i="37" s="1"/>
  <c r="C56" i="37"/>
  <c r="C59" i="37"/>
  <c r="H19" i="37"/>
  <c r="H34" i="37"/>
  <c r="J34" i="37"/>
  <c r="R55" i="37" s="1"/>
  <c r="R56" i="37" s="1"/>
  <c r="R59" i="37" s="1"/>
  <c r="J42" i="37"/>
  <c r="Z55" i="37" s="1"/>
  <c r="Z56" i="37" s="1"/>
  <c r="H42" i="37"/>
  <c r="J31" i="37"/>
  <c r="O55" i="37" s="1"/>
  <c r="O56" i="37" s="1"/>
  <c r="J18" i="37"/>
  <c r="H21" i="37"/>
  <c r="I21" i="37"/>
  <c r="H38" i="37"/>
  <c r="I38" i="37" s="1"/>
  <c r="V55" i="37"/>
  <c r="V56" i="37"/>
  <c r="J36" i="37"/>
  <c r="T55" i="37" s="1"/>
  <c r="T56" i="37" s="1"/>
  <c r="H36" i="37"/>
  <c r="J25" i="37"/>
  <c r="I55" i="37" s="1"/>
  <c r="I56" i="37" s="1"/>
  <c r="I59" i="37" s="1"/>
  <c r="J22" i="37"/>
  <c r="J40" i="37"/>
  <c r="X55" i="37"/>
  <c r="X56" i="37"/>
  <c r="D63" i="33"/>
  <c r="D62" i="33"/>
  <c r="D59" i="33"/>
  <c r="I40" i="37"/>
  <c r="E55" i="37"/>
  <c r="E56" i="37" s="1"/>
  <c r="B55" i="37"/>
  <c r="B56" i="37" s="1"/>
  <c r="I32" i="37"/>
  <c r="C62" i="33"/>
  <c r="C63" i="33"/>
  <c r="G62" i="33"/>
  <c r="G63" i="33"/>
  <c r="B59" i="37"/>
  <c r="I38" i="33"/>
  <c r="I39" i="33"/>
  <c r="I40" i="33"/>
  <c r="I41" i="33"/>
  <c r="I42" i="33"/>
  <c r="I43" i="33"/>
  <c r="G39" i="33"/>
  <c r="G40" i="33"/>
  <c r="G41" i="33"/>
  <c r="G42" i="33"/>
  <c r="G43" i="33"/>
  <c r="E9" i="10"/>
  <c r="G9" i="10"/>
  <c r="E16" i="10"/>
  <c r="E17" i="10"/>
  <c r="C64" i="33"/>
  <c r="I34" i="33"/>
  <c r="I33" i="33"/>
  <c r="G34" i="33"/>
  <c r="G33" i="33"/>
  <c r="D34" i="33"/>
  <c r="D33" i="33"/>
  <c r="C34" i="33"/>
  <c r="C33" i="33"/>
  <c r="J15" i="33"/>
  <c r="H13" i="33"/>
  <c r="H14" i="33"/>
  <c r="H15" i="33"/>
  <c r="H12" i="33"/>
  <c r="C13" i="33"/>
  <c r="C14" i="33"/>
  <c r="C15" i="33"/>
  <c r="C12" i="33"/>
  <c r="D13" i="33"/>
  <c r="D14" i="33"/>
  <c r="D15" i="33"/>
  <c r="D12" i="33"/>
  <c r="B3" i="36"/>
  <c r="U50" i="36"/>
  <c r="B43" i="36"/>
  <c r="A43" i="36"/>
  <c r="C19" i="36"/>
  <c r="C20" i="36" s="1"/>
  <c r="C21" i="36" s="1"/>
  <c r="C22" i="36" s="1"/>
  <c r="C23" i="36" s="1"/>
  <c r="C24" i="36" s="1"/>
  <c r="C25" i="36"/>
  <c r="C26" i="36" s="1"/>
  <c r="C27" i="36" s="1"/>
  <c r="C28" i="36" s="1"/>
  <c r="C29" i="36" s="1"/>
  <c r="C30" i="36" s="1"/>
  <c r="C31" i="36" s="1"/>
  <c r="C32" i="36" s="1"/>
  <c r="C33" i="36" s="1"/>
  <c r="C34" i="36" s="1"/>
  <c r="C35" i="36" s="1"/>
  <c r="C36" i="36" s="1"/>
  <c r="C37" i="36" s="1"/>
  <c r="C38" i="36" s="1"/>
  <c r="C39" i="36" s="1"/>
  <c r="C40" i="36" s="1"/>
  <c r="C41" i="36" s="1"/>
  <c r="C42" i="36" s="1"/>
  <c r="B18" i="36"/>
  <c r="J17" i="36"/>
  <c r="I17" i="36"/>
  <c r="D17" i="36"/>
  <c r="D13" i="36"/>
  <c r="C11" i="36"/>
  <c r="C8" i="36"/>
  <c r="I7" i="36"/>
  <c r="A5" i="36"/>
  <c r="B3" i="35"/>
  <c r="U50" i="35"/>
  <c r="B43" i="35"/>
  <c r="A43" i="35"/>
  <c r="A5" i="35" s="1"/>
  <c r="C19" i="35"/>
  <c r="C20" i="35"/>
  <c r="C21" i="35"/>
  <c r="C22" i="35" s="1"/>
  <c r="C23" i="35" s="1"/>
  <c r="C24" i="35" s="1"/>
  <c r="C25" i="35" s="1"/>
  <c r="C26" i="35" s="1"/>
  <c r="C27" i="35" s="1"/>
  <c r="C28" i="35" s="1"/>
  <c r="C29" i="35" s="1"/>
  <c r="C30" i="35" s="1"/>
  <c r="C31" i="35" s="1"/>
  <c r="C32" i="35" s="1"/>
  <c r="C33" i="35" s="1"/>
  <c r="C34" i="35" s="1"/>
  <c r="C35" i="35" s="1"/>
  <c r="C36" i="35" s="1"/>
  <c r="C37" i="35" s="1"/>
  <c r="C38" i="35" s="1"/>
  <c r="C39" i="35" s="1"/>
  <c r="C40" i="35" s="1"/>
  <c r="C41" i="35" s="1"/>
  <c r="C42" i="35" s="1"/>
  <c r="B18" i="35"/>
  <c r="J17" i="35"/>
  <c r="I17" i="35"/>
  <c r="D17" i="35"/>
  <c r="D13" i="35"/>
  <c r="C11" i="35"/>
  <c r="C8" i="35"/>
  <c r="I7" i="35"/>
  <c r="B3" i="27"/>
  <c r="V50" i="35"/>
  <c r="G59" i="33"/>
  <c r="C59" i="33"/>
  <c r="G38" i="33"/>
  <c r="G47" i="33"/>
  <c r="E38" i="33"/>
  <c r="J14" i="33"/>
  <c r="B12" i="33"/>
  <c r="B4" i="33"/>
  <c r="G54" i="33"/>
  <c r="G79" i="33"/>
  <c r="H28" i="33"/>
  <c r="G77" i="33"/>
  <c r="H22" i="33"/>
  <c r="G76" i="33"/>
  <c r="J13" i="33"/>
  <c r="J12" i="33"/>
  <c r="C17" i="10"/>
  <c r="G71" i="33"/>
  <c r="AC56" i="30"/>
  <c r="A45" i="30"/>
  <c r="C19" i="30"/>
  <c r="C20" i="30"/>
  <c r="C21" i="30" s="1"/>
  <c r="C22" i="30" s="1"/>
  <c r="C23" i="30"/>
  <c r="C24" i="30" s="1"/>
  <c r="C25" i="30" s="1"/>
  <c r="C26" i="30" s="1"/>
  <c r="C27" i="30" s="1"/>
  <c r="C28" i="30" s="1"/>
  <c r="C29" i="30" s="1"/>
  <c r="C30" i="30" s="1"/>
  <c r="C31" i="30" s="1"/>
  <c r="C32" i="30" s="1"/>
  <c r="C33" i="30" s="1"/>
  <c r="C34" i="30" s="1"/>
  <c r="C35" i="30" s="1"/>
  <c r="C36" i="30" s="1"/>
  <c r="C37" i="30" s="1"/>
  <c r="C38" i="30" s="1"/>
  <c r="C39" i="30" s="1"/>
  <c r="C40" i="30" s="1"/>
  <c r="C41" i="30" s="1"/>
  <c r="C42" i="30" s="1"/>
  <c r="C43" i="30" s="1"/>
  <c r="C44" i="30" s="1"/>
  <c r="B18" i="30"/>
  <c r="J17" i="30"/>
  <c r="D17" i="30"/>
  <c r="D13" i="30"/>
  <c r="I17" i="30"/>
  <c r="C11" i="30"/>
  <c r="C8" i="30"/>
  <c r="I7" i="30"/>
  <c r="A5" i="30"/>
  <c r="A43" i="27"/>
  <c r="A5" i="27" s="1"/>
  <c r="U50" i="27"/>
  <c r="B43" i="27"/>
  <c r="C19" i="27"/>
  <c r="C20" i="27" s="1"/>
  <c r="C21" i="27" s="1"/>
  <c r="C22" i="27"/>
  <c r="B18" i="27"/>
  <c r="J17" i="27"/>
  <c r="D17" i="27"/>
  <c r="D13" i="27"/>
  <c r="I17" i="27" s="1"/>
  <c r="C11" i="27"/>
  <c r="C8" i="27"/>
  <c r="I7" i="27"/>
  <c r="V50" i="27"/>
  <c r="W50" i="27" s="1"/>
  <c r="C23" i="27"/>
  <c r="C24" i="27" s="1"/>
  <c r="C25" i="27" s="1"/>
  <c r="C26" i="27" s="1"/>
  <c r="C27" i="27" s="1"/>
  <c r="C28" i="27" s="1"/>
  <c r="C29" i="27" s="1"/>
  <c r="C30" i="27" s="1"/>
  <c r="C31" i="27" s="1"/>
  <c r="C32" i="27" s="1"/>
  <c r="C33" i="27" s="1"/>
  <c r="C34" i="27" s="1"/>
  <c r="C35" i="27" s="1"/>
  <c r="C36" i="27" s="1"/>
  <c r="C37" i="27" s="1"/>
  <c r="C38" i="27" s="1"/>
  <c r="C39" i="27" s="1"/>
  <c r="C40" i="27" s="1"/>
  <c r="C41" i="27" s="1"/>
  <c r="C42" i="27" s="1"/>
  <c r="C16" i="10"/>
  <c r="D61" i="33"/>
  <c r="G78" i="33"/>
  <c r="G61" i="33"/>
  <c r="G65" i="33" s="1"/>
  <c r="G81" i="33" s="1"/>
  <c r="G64" i="33"/>
  <c r="C18" i="10"/>
  <c r="B60" i="30" l="1"/>
  <c r="AC60" i="30" s="1"/>
  <c r="C62" i="30"/>
  <c r="A65" i="30"/>
  <c r="C65" i="30" s="1"/>
  <c r="C59" i="30" s="1"/>
  <c r="D59" i="30" s="1"/>
  <c r="E59" i="30" s="1"/>
  <c r="F59" i="30" s="1"/>
  <c r="G59" i="30" s="1"/>
  <c r="H59" i="30" s="1"/>
  <c r="I59" i="30" s="1"/>
  <c r="J59" i="30" s="1"/>
  <c r="K59" i="30" s="1"/>
  <c r="L59" i="30" s="1"/>
  <c r="M59" i="30" s="1"/>
  <c r="N59" i="30" s="1"/>
  <c r="O59" i="30" s="1"/>
  <c r="P59" i="30" s="1"/>
  <c r="Q59" i="30" s="1"/>
  <c r="R59" i="30" s="1"/>
  <c r="S59" i="30" s="1"/>
  <c r="T59" i="30" s="1"/>
  <c r="U59" i="30" s="1"/>
  <c r="V59" i="30" s="1"/>
  <c r="W59" i="30" s="1"/>
  <c r="X59" i="30" s="1"/>
  <c r="Y59" i="30" s="1"/>
  <c r="Z59" i="30" s="1"/>
  <c r="AA59" i="30" s="1"/>
  <c r="AB59" i="30" s="1"/>
  <c r="A64" i="30"/>
  <c r="D11" i="30"/>
  <c r="D18" i="30" s="1"/>
  <c r="D43" i="10"/>
  <c r="F46" i="39"/>
  <c r="B13" i="40" s="1"/>
  <c r="C13" i="40" s="1"/>
  <c r="D19" i="36"/>
  <c r="J19" i="36" s="1"/>
  <c r="C51" i="36" s="1"/>
  <c r="C52" i="36" s="1"/>
  <c r="D34" i="36"/>
  <c r="H34" i="36" s="1"/>
  <c r="D18" i="36"/>
  <c r="J18" i="36" s="1"/>
  <c r="D36" i="36"/>
  <c r="D30" i="36"/>
  <c r="J30" i="36" s="1"/>
  <c r="N51" i="36" s="1"/>
  <c r="N52" i="36" s="1"/>
  <c r="D37" i="36"/>
  <c r="D31" i="36"/>
  <c r="H31" i="36" s="1"/>
  <c r="D20" i="36"/>
  <c r="D25" i="36"/>
  <c r="H25" i="36" s="1"/>
  <c r="E14" i="10"/>
  <c r="C46" i="33"/>
  <c r="G37" i="39"/>
  <c r="D40" i="35"/>
  <c r="D19" i="35"/>
  <c r="D42" i="35"/>
  <c r="D26" i="35"/>
  <c r="D23" i="35"/>
  <c r="D21" i="35"/>
  <c r="D41" i="35"/>
  <c r="D34" i="35"/>
  <c r="D20" i="35"/>
  <c r="D24" i="35"/>
  <c r="D35" i="35"/>
  <c r="D30" i="35"/>
  <c r="D33" i="35"/>
  <c r="D27" i="35"/>
  <c r="I22" i="37"/>
  <c r="F55" i="37"/>
  <c r="F56" i="37" s="1"/>
  <c r="F59" i="37" s="1"/>
  <c r="V59" i="37"/>
  <c r="U59" i="37"/>
  <c r="D21" i="30"/>
  <c r="D28" i="30"/>
  <c r="E18" i="36"/>
  <c r="W50" i="35"/>
  <c r="X59" i="37"/>
  <c r="X50" i="27"/>
  <c r="D41" i="10"/>
  <c r="D18" i="35"/>
  <c r="D38" i="35"/>
  <c r="D29" i="35"/>
  <c r="AA57" i="37"/>
  <c r="K59" i="37"/>
  <c r="E44" i="10"/>
  <c r="D46" i="33"/>
  <c r="D45" i="33"/>
  <c r="G46" i="33"/>
  <c r="J39" i="35"/>
  <c r="D37" i="35"/>
  <c r="D22" i="35"/>
  <c r="D25" i="35"/>
  <c r="D44" i="30"/>
  <c r="D36" i="35"/>
  <c r="D31" i="35"/>
  <c r="D28" i="35"/>
  <c r="D32" i="35"/>
  <c r="O59" i="37"/>
  <c r="I34" i="37"/>
  <c r="B20" i="40"/>
  <c r="C20" i="40" s="1"/>
  <c r="D40" i="36"/>
  <c r="D28" i="36"/>
  <c r="D35" i="36"/>
  <c r="D29" i="36"/>
  <c r="D42" i="36"/>
  <c r="D26" i="36"/>
  <c r="D23" i="36"/>
  <c r="D21" i="36"/>
  <c r="D41" i="36"/>
  <c r="D32" i="36"/>
  <c r="D38" i="36"/>
  <c r="D22" i="36"/>
  <c r="D33" i="36"/>
  <c r="D24" i="36"/>
  <c r="P59" i="37"/>
  <c r="E18" i="37"/>
  <c r="H18" i="37"/>
  <c r="H24" i="37"/>
  <c r="J24" i="37"/>
  <c r="H55" i="37" s="1"/>
  <c r="H56" i="37" s="1"/>
  <c r="H59" i="37" s="1"/>
  <c r="J33" i="37"/>
  <c r="H25" i="37"/>
  <c r="I25" i="37"/>
  <c r="J30" i="37"/>
  <c r="N55" i="37" s="1"/>
  <c r="N56" i="37" s="1"/>
  <c r="N59" i="37" s="1"/>
  <c r="C15" i="10"/>
  <c r="C14" i="10" s="1"/>
  <c r="C19" i="10" s="1"/>
  <c r="D27" i="36"/>
  <c r="D39" i="36"/>
  <c r="V50" i="36"/>
  <c r="H16" i="33"/>
  <c r="G75" i="33" s="1"/>
  <c r="G82" i="33" s="1"/>
  <c r="H79" i="33" s="1"/>
  <c r="E59" i="37"/>
  <c r="T59" i="37"/>
  <c r="H33" i="37"/>
  <c r="I33" i="37" s="1"/>
  <c r="H30" i="37"/>
  <c r="I30" i="37" s="1"/>
  <c r="J29" i="37"/>
  <c r="M55" i="37" s="1"/>
  <c r="M56" i="37" s="1"/>
  <c r="M59" i="37" s="1"/>
  <c r="H29" i="37"/>
  <c r="I29" i="37" s="1"/>
  <c r="I27" i="37"/>
  <c r="I36" i="37"/>
  <c r="H31" i="37"/>
  <c r="I31" i="37"/>
  <c r="J35" i="37"/>
  <c r="S55" i="37" s="1"/>
  <c r="S56" i="37" s="1"/>
  <c r="S59" i="37" s="1"/>
  <c r="H35" i="37"/>
  <c r="G39" i="39"/>
  <c r="D8" i="38"/>
  <c r="G35" i="39"/>
  <c r="I42" i="37"/>
  <c r="I19" i="37"/>
  <c r="D26" i="37"/>
  <c r="D28" i="37"/>
  <c r="D39" i="37"/>
  <c r="D41" i="37"/>
  <c r="D23" i="37"/>
  <c r="D20" i="37"/>
  <c r="G38" i="39"/>
  <c r="AC59" i="30" l="1"/>
  <c r="D42" i="30"/>
  <c r="D35" i="30"/>
  <c r="H35" i="30" s="1"/>
  <c r="D29" i="30"/>
  <c r="J29" i="30" s="1"/>
  <c r="M57" i="30" s="1"/>
  <c r="M58" i="30" s="1"/>
  <c r="M61" i="30" s="1"/>
  <c r="D32" i="30"/>
  <c r="H32" i="30" s="1"/>
  <c r="D26" i="30"/>
  <c r="D27" i="30"/>
  <c r="D30" i="30"/>
  <c r="J30" i="30" s="1"/>
  <c r="N57" i="30" s="1"/>
  <c r="N58" i="30" s="1"/>
  <c r="N61" i="30" s="1"/>
  <c r="D39" i="30"/>
  <c r="J39" i="30" s="1"/>
  <c r="W57" i="30" s="1"/>
  <c r="W58" i="30" s="1"/>
  <c r="W61" i="30" s="1"/>
  <c r="H80" i="33"/>
  <c r="D22" i="30"/>
  <c r="H22" i="30" s="1"/>
  <c r="D25" i="30"/>
  <c r="H25" i="30" s="1"/>
  <c r="D37" i="30"/>
  <c r="H37" i="30" s="1"/>
  <c r="D19" i="30"/>
  <c r="E18" i="30"/>
  <c r="H18" i="30"/>
  <c r="J18" i="30"/>
  <c r="B57" i="30" s="1"/>
  <c r="D45" i="30"/>
  <c r="B14" i="40"/>
  <c r="C14" i="40" s="1"/>
  <c r="C15" i="40" s="1"/>
  <c r="D36" i="30"/>
  <c r="D41" i="30"/>
  <c r="H41" i="30" s="1"/>
  <c r="D34" i="30"/>
  <c r="J34" i="30" s="1"/>
  <c r="R57" i="30" s="1"/>
  <c r="R58" i="30" s="1"/>
  <c r="R61" i="30" s="1"/>
  <c r="D43" i="30"/>
  <c r="J43" i="30" s="1"/>
  <c r="D31" i="30"/>
  <c r="D24" i="30"/>
  <c r="D33" i="30"/>
  <c r="D20" i="30"/>
  <c r="D23" i="30"/>
  <c r="D40" i="30"/>
  <c r="D38" i="30"/>
  <c r="H18" i="36"/>
  <c r="J31" i="36"/>
  <c r="O51" i="36" s="1"/>
  <c r="O52" i="36" s="1"/>
  <c r="D8" i="27"/>
  <c r="D11" i="27" s="1"/>
  <c r="D19" i="27" s="1"/>
  <c r="H30" i="36"/>
  <c r="I30" i="36" s="1"/>
  <c r="J25" i="36"/>
  <c r="I51" i="36" s="1"/>
  <c r="I52" i="36" s="1"/>
  <c r="H20" i="36"/>
  <c r="J20" i="36"/>
  <c r="H36" i="36"/>
  <c r="J36" i="36"/>
  <c r="T51" i="36" s="1"/>
  <c r="T52" i="36" s="1"/>
  <c r="H37" i="36"/>
  <c r="J37" i="36"/>
  <c r="U51" i="36" s="1"/>
  <c r="U52" i="36" s="1"/>
  <c r="J34" i="36"/>
  <c r="I34" i="36" s="1"/>
  <c r="H19" i="36"/>
  <c r="I19" i="36" s="1"/>
  <c r="I31" i="36"/>
  <c r="B15" i="40"/>
  <c r="B19" i="40"/>
  <c r="J26" i="37"/>
  <c r="J55" i="37" s="1"/>
  <c r="J56" i="37" s="1"/>
  <c r="J59" i="37" s="1"/>
  <c r="H26" i="37"/>
  <c r="I26" i="37" s="1"/>
  <c r="J22" i="36"/>
  <c r="F51" i="36" s="1"/>
  <c r="F52" i="36" s="1"/>
  <c r="H22" i="36"/>
  <c r="H29" i="36"/>
  <c r="J29" i="36"/>
  <c r="M51" i="36" s="1"/>
  <c r="M52" i="36" s="1"/>
  <c r="H29" i="35"/>
  <c r="J29" i="35"/>
  <c r="M51" i="35" s="1"/>
  <c r="M52" i="35" s="1"/>
  <c r="B51" i="36"/>
  <c r="H20" i="35"/>
  <c r="J20" i="35"/>
  <c r="D51" i="35" s="1"/>
  <c r="D52" i="35" s="1"/>
  <c r="J23" i="35"/>
  <c r="G51" i="35" s="1"/>
  <c r="G52" i="35" s="1"/>
  <c r="H23" i="35"/>
  <c r="H78" i="33"/>
  <c r="H41" i="37"/>
  <c r="I41" i="37"/>
  <c r="J41" i="37"/>
  <c r="Y55" i="37" s="1"/>
  <c r="Y56" i="37" s="1"/>
  <c r="Y59" i="37" s="1"/>
  <c r="I24" i="37"/>
  <c r="J38" i="36"/>
  <c r="V51" i="36" s="1"/>
  <c r="H38" i="36"/>
  <c r="I38" i="36" s="1"/>
  <c r="H23" i="36"/>
  <c r="J23" i="36"/>
  <c r="G51" i="36" s="1"/>
  <c r="G52" i="36" s="1"/>
  <c r="J35" i="36"/>
  <c r="S51" i="36" s="1"/>
  <c r="S52" i="36" s="1"/>
  <c r="H35" i="36"/>
  <c r="F39" i="10"/>
  <c r="H29" i="30"/>
  <c r="H37" i="35"/>
  <c r="J37" i="35"/>
  <c r="U51" i="35" s="1"/>
  <c r="U52" i="35" s="1"/>
  <c r="H38" i="35"/>
  <c r="J38" i="35"/>
  <c r="V51" i="35" s="1"/>
  <c r="V52" i="35" s="1"/>
  <c r="F41" i="10"/>
  <c r="E19" i="36"/>
  <c r="J26" i="30"/>
  <c r="J57" i="30" s="1"/>
  <c r="J58" i="30" s="1"/>
  <c r="J61" i="30" s="1"/>
  <c r="H26" i="30"/>
  <c r="J35" i="30"/>
  <c r="S57" i="30" s="1"/>
  <c r="S58" i="30" s="1"/>
  <c r="S61" i="30" s="1"/>
  <c r="J30" i="35"/>
  <c r="N51" i="35" s="1"/>
  <c r="N52" i="35" s="1"/>
  <c r="H30" i="35"/>
  <c r="J34" i="35"/>
  <c r="R51" i="35" s="1"/>
  <c r="R52" i="35" s="1"/>
  <c r="H34" i="35"/>
  <c r="J26" i="35"/>
  <c r="J51" i="35" s="1"/>
  <c r="J52" i="35" s="1"/>
  <c r="H26" i="35"/>
  <c r="H75" i="33"/>
  <c r="H82" i="33" s="1"/>
  <c r="H39" i="37"/>
  <c r="J39" i="37"/>
  <c r="W55" i="37" s="1"/>
  <c r="W56" i="37" s="1"/>
  <c r="W59" i="37" s="1"/>
  <c r="D11" i="38"/>
  <c r="A63" i="38"/>
  <c r="D10" i="38"/>
  <c r="W50" i="36"/>
  <c r="X50" i="36"/>
  <c r="V52" i="36"/>
  <c r="Y50" i="36"/>
  <c r="J24" i="36"/>
  <c r="H51" i="36" s="1"/>
  <c r="H52" i="36" s="1"/>
  <c r="H24" i="36"/>
  <c r="H32" i="36"/>
  <c r="J32" i="36"/>
  <c r="P51" i="36" s="1"/>
  <c r="P52" i="36" s="1"/>
  <c r="J26" i="36"/>
  <c r="J51" i="36" s="1"/>
  <c r="J52" i="36" s="1"/>
  <c r="H26" i="36"/>
  <c r="J28" i="36"/>
  <c r="L51" i="36" s="1"/>
  <c r="L52" i="36" s="1"/>
  <c r="H28" i="36"/>
  <c r="H32" i="35"/>
  <c r="J32" i="35"/>
  <c r="P51" i="35" s="1"/>
  <c r="P52" i="35" s="1"/>
  <c r="H28" i="35"/>
  <c r="J28" i="35"/>
  <c r="L51" i="35" s="1"/>
  <c r="L52" i="35" s="1"/>
  <c r="H44" i="30"/>
  <c r="J44" i="30"/>
  <c r="W51" i="35"/>
  <c r="W52" i="35" s="1"/>
  <c r="I39" i="35"/>
  <c r="H18" i="35"/>
  <c r="I18" i="35" s="1"/>
  <c r="E18" i="35"/>
  <c r="D43" i="35"/>
  <c r="J18" i="35"/>
  <c r="I18" i="36"/>
  <c r="J28" i="30"/>
  <c r="L57" i="30" s="1"/>
  <c r="L58" i="30" s="1"/>
  <c r="L61" i="30" s="1"/>
  <c r="H28" i="30"/>
  <c r="I28" i="30" s="1"/>
  <c r="J27" i="30"/>
  <c r="K57" i="30" s="1"/>
  <c r="K58" i="30" s="1"/>
  <c r="K61" i="30" s="1"/>
  <c r="H27" i="30"/>
  <c r="J35" i="35"/>
  <c r="S51" i="35" s="1"/>
  <c r="S52" i="35" s="1"/>
  <c r="H35" i="35"/>
  <c r="J41" i="35"/>
  <c r="Y51" i="35" s="1"/>
  <c r="H41" i="35"/>
  <c r="H42" i="35"/>
  <c r="J42" i="35"/>
  <c r="Z51" i="35" s="1"/>
  <c r="J23" i="37"/>
  <c r="H23" i="37"/>
  <c r="I23" i="37" s="1"/>
  <c r="H27" i="36"/>
  <c r="J27" i="36"/>
  <c r="K51" i="36" s="1"/>
  <c r="K52" i="36" s="1"/>
  <c r="J21" i="36"/>
  <c r="E51" i="36" s="1"/>
  <c r="E52" i="36" s="1"/>
  <c r="H21" i="36"/>
  <c r="J36" i="35"/>
  <c r="T51" i="35" s="1"/>
  <c r="T52" i="35" s="1"/>
  <c r="H36" i="35"/>
  <c r="I36" i="35" s="1"/>
  <c r="H22" i="35"/>
  <c r="I22" i="35" s="1"/>
  <c r="J22" i="35"/>
  <c r="F51" i="35" s="1"/>
  <c r="F52" i="35" s="1"/>
  <c r="J22" i="30"/>
  <c r="F57" i="30" s="1"/>
  <c r="F58" i="30" s="1"/>
  <c r="F61" i="30" s="1"/>
  <c r="H33" i="35"/>
  <c r="J33" i="35"/>
  <c r="Q51" i="35" s="1"/>
  <c r="Q52" i="35" s="1"/>
  <c r="H40" i="35"/>
  <c r="J40" i="35"/>
  <c r="X51" i="35" s="1"/>
  <c r="H77" i="33"/>
  <c r="H20" i="37"/>
  <c r="J20" i="37"/>
  <c r="D43" i="37"/>
  <c r="I20" i="37"/>
  <c r="H28" i="37"/>
  <c r="J28" i="37"/>
  <c r="L55" i="37" s="1"/>
  <c r="L56" i="37" s="1"/>
  <c r="L59" i="37" s="1"/>
  <c r="I28" i="37"/>
  <c r="I35" i="37"/>
  <c r="J39" i="36"/>
  <c r="W51" i="36" s="1"/>
  <c r="H39" i="36"/>
  <c r="K36" i="37"/>
  <c r="Q55" i="37"/>
  <c r="Q56" i="37" s="1"/>
  <c r="Q59" i="37" s="1"/>
  <c r="E19" i="37"/>
  <c r="J33" i="36"/>
  <c r="Q51" i="36" s="1"/>
  <c r="Q52" i="36" s="1"/>
  <c r="H33" i="36"/>
  <c r="J41" i="36"/>
  <c r="Y51" i="36" s="1"/>
  <c r="H41" i="36"/>
  <c r="J42" i="36"/>
  <c r="Z51" i="36" s="1"/>
  <c r="H42" i="36"/>
  <c r="J40" i="36"/>
  <c r="X51" i="36" s="1"/>
  <c r="H40" i="36"/>
  <c r="J31" i="35"/>
  <c r="O51" i="35" s="1"/>
  <c r="O52" i="35" s="1"/>
  <c r="H31" i="35"/>
  <c r="I31" i="35" s="1"/>
  <c r="X50" i="35"/>
  <c r="H81" i="33"/>
  <c r="J25" i="35"/>
  <c r="I51" i="35" s="1"/>
  <c r="I52" i="35" s="1"/>
  <c r="H25" i="35"/>
  <c r="H76" i="33"/>
  <c r="D43" i="36"/>
  <c r="J42" i="30"/>
  <c r="H42" i="30"/>
  <c r="H21" i="30"/>
  <c r="J21" i="30"/>
  <c r="H19" i="30"/>
  <c r="J19" i="30"/>
  <c r="C57" i="30" s="1"/>
  <c r="C58" i="30" s="1"/>
  <c r="C61" i="30" s="1"/>
  <c r="H27" i="35"/>
  <c r="J27" i="35"/>
  <c r="K51" i="35" s="1"/>
  <c r="K52" i="35" s="1"/>
  <c r="H24" i="35"/>
  <c r="J24" i="35"/>
  <c r="H51" i="35" s="1"/>
  <c r="H52" i="35" s="1"/>
  <c r="H21" i="35"/>
  <c r="J21" i="35"/>
  <c r="E51" i="35" s="1"/>
  <c r="E52" i="35" s="1"/>
  <c r="J19" i="35"/>
  <c r="C51" i="35" s="1"/>
  <c r="C52" i="35" s="1"/>
  <c r="H19" i="35"/>
  <c r="Y50" i="27"/>
  <c r="E19" i="30"/>
  <c r="I33" i="35" l="1"/>
  <c r="J25" i="30"/>
  <c r="I57" i="30" s="1"/>
  <c r="I58" i="30" s="1"/>
  <c r="I61" i="30" s="1"/>
  <c r="I44" i="30"/>
  <c r="I26" i="35"/>
  <c r="I30" i="35"/>
  <c r="J32" i="30"/>
  <c r="P57" i="30" s="1"/>
  <c r="P58" i="30" s="1"/>
  <c r="P61" i="30" s="1"/>
  <c r="I40" i="35"/>
  <c r="H36" i="30"/>
  <c r="I22" i="30"/>
  <c r="I27" i="30"/>
  <c r="I32" i="30"/>
  <c r="H39" i="30"/>
  <c r="I39" i="30" s="1"/>
  <c r="I27" i="35"/>
  <c r="I19" i="35"/>
  <c r="I42" i="30"/>
  <c r="X52" i="35"/>
  <c r="I34" i="35"/>
  <c r="J36" i="30"/>
  <c r="T57" i="30" s="1"/>
  <c r="T58" i="30" s="1"/>
  <c r="T61" i="30" s="1"/>
  <c r="J41" i="30"/>
  <c r="Y57" i="30" s="1"/>
  <c r="Y58" i="30" s="1"/>
  <c r="Y61" i="30" s="1"/>
  <c r="I42" i="35"/>
  <c r="I37" i="35"/>
  <c r="I21" i="30"/>
  <c r="H30" i="30"/>
  <c r="I30" i="30" s="1"/>
  <c r="J37" i="30"/>
  <c r="U57" i="30" s="1"/>
  <c r="U58" i="30" s="1"/>
  <c r="U61" i="30" s="1"/>
  <c r="I41" i="35"/>
  <c r="H43" i="30"/>
  <c r="I43" i="30" s="1"/>
  <c r="H38" i="30"/>
  <c r="J38" i="30"/>
  <c r="V57" i="30" s="1"/>
  <c r="V58" i="30" s="1"/>
  <c r="V61" i="30" s="1"/>
  <c r="I32" i="35"/>
  <c r="I38" i="35"/>
  <c r="I29" i="30"/>
  <c r="H34" i="30"/>
  <c r="I34" i="30" s="1"/>
  <c r="J40" i="30"/>
  <c r="X57" i="30" s="1"/>
  <c r="X58" i="30" s="1"/>
  <c r="X61" i="30" s="1"/>
  <c r="H40" i="30"/>
  <c r="H24" i="30"/>
  <c r="J24" i="30"/>
  <c r="H57" i="30" s="1"/>
  <c r="H58" i="30" s="1"/>
  <c r="H61" i="30" s="1"/>
  <c r="J20" i="30"/>
  <c r="D57" i="30" s="1"/>
  <c r="D58" i="30" s="1"/>
  <c r="D61" i="30" s="1"/>
  <c r="H20" i="30"/>
  <c r="I24" i="35"/>
  <c r="H33" i="30"/>
  <c r="J33" i="30"/>
  <c r="Q57" i="30" s="1"/>
  <c r="Q58" i="30" s="1"/>
  <c r="Q61" i="30" s="1"/>
  <c r="I19" i="30"/>
  <c r="I25" i="35"/>
  <c r="I35" i="35"/>
  <c r="I35" i="30"/>
  <c r="J23" i="30"/>
  <c r="G57" i="30" s="1"/>
  <c r="G58" i="30" s="1"/>
  <c r="G61" i="30" s="1"/>
  <c r="H23" i="30"/>
  <c r="H31" i="30"/>
  <c r="J31" i="30"/>
  <c r="O57" i="30" s="1"/>
  <c r="O58" i="30" s="1"/>
  <c r="O61" i="30" s="1"/>
  <c r="I39" i="36"/>
  <c r="I21" i="36"/>
  <c r="I40" i="36"/>
  <c r="I36" i="36"/>
  <c r="I41" i="36"/>
  <c r="R51" i="36"/>
  <c r="R52" i="36" s="1"/>
  <c r="I28" i="36"/>
  <c r="I27" i="36"/>
  <c r="I33" i="36"/>
  <c r="I25" i="36"/>
  <c r="D34" i="27"/>
  <c r="D40" i="27"/>
  <c r="D38" i="27"/>
  <c r="H38" i="27" s="1"/>
  <c r="D31" i="27"/>
  <c r="D42" i="27"/>
  <c r="D21" i="27"/>
  <c r="D25" i="27"/>
  <c r="D27" i="27"/>
  <c r="D23" i="27"/>
  <c r="D36" i="27"/>
  <c r="D29" i="27"/>
  <c r="D18" i="27"/>
  <c r="D41" i="27"/>
  <c r="D20" i="27"/>
  <c r="D26" i="27"/>
  <c r="D22" i="27"/>
  <c r="D32" i="27"/>
  <c r="I24" i="36"/>
  <c r="D28" i="27"/>
  <c r="D30" i="27"/>
  <c r="J30" i="27" s="1"/>
  <c r="N51" i="27" s="1"/>
  <c r="N52" i="27" s="1"/>
  <c r="D39" i="27"/>
  <c r="H39" i="27" s="1"/>
  <c r="D24" i="27"/>
  <c r="D33" i="27"/>
  <c r="H33" i="27" s="1"/>
  <c r="D39" i="10"/>
  <c r="D35" i="27"/>
  <c r="D37" i="27"/>
  <c r="J37" i="27" s="1"/>
  <c r="U51" i="27" s="1"/>
  <c r="U52" i="27" s="1"/>
  <c r="I20" i="36"/>
  <c r="D51" i="36"/>
  <c r="D52" i="36" s="1"/>
  <c r="I26" i="36"/>
  <c r="I32" i="36"/>
  <c r="I23" i="36"/>
  <c r="I29" i="36"/>
  <c r="I37" i="36"/>
  <c r="H19" i="27"/>
  <c r="J19" i="27"/>
  <c r="C51" i="27" s="1"/>
  <c r="C52" i="27" s="1"/>
  <c r="Y52" i="36"/>
  <c r="I35" i="36"/>
  <c r="E20" i="37"/>
  <c r="F38" i="10"/>
  <c r="F37" i="10" s="1"/>
  <c r="B51" i="35"/>
  <c r="J43" i="35"/>
  <c r="I28" i="35"/>
  <c r="Z50" i="36"/>
  <c r="I39" i="37"/>
  <c r="I43" i="37" s="1"/>
  <c r="I44" i="37" s="1"/>
  <c r="I45" i="37" s="1"/>
  <c r="Z50" i="27"/>
  <c r="B58" i="30"/>
  <c r="I29" i="35"/>
  <c r="C19" i="40"/>
  <c r="C21" i="40" s="1"/>
  <c r="B21" i="40"/>
  <c r="E57" i="30"/>
  <c r="E58" i="30" s="1"/>
  <c r="E61" i="30" s="1"/>
  <c r="K32" i="30"/>
  <c r="AA50" i="27"/>
  <c r="I21" i="35"/>
  <c r="E20" i="30"/>
  <c r="I42" i="36"/>
  <c r="D55" i="37"/>
  <c r="J43" i="37"/>
  <c r="K20" i="37"/>
  <c r="W52" i="36"/>
  <c r="A65" i="38"/>
  <c r="C65" i="38" s="1"/>
  <c r="C59" i="38" s="1"/>
  <c r="B60" i="38"/>
  <c r="AC60" i="38" s="1"/>
  <c r="C62" i="38"/>
  <c r="A64" i="38"/>
  <c r="K36" i="30"/>
  <c r="E20" i="36"/>
  <c r="F40" i="10"/>
  <c r="I23" i="35"/>
  <c r="I20" i="35"/>
  <c r="I43" i="35" s="1"/>
  <c r="I44" i="35" s="1"/>
  <c r="I45" i="35" s="1"/>
  <c r="B52" i="36"/>
  <c r="I22" i="36"/>
  <c r="J45" i="30"/>
  <c r="AA57" i="30"/>
  <c r="AA58" i="30" s="1"/>
  <c r="AA61" i="30" s="1"/>
  <c r="Z57" i="30"/>
  <c r="Z58" i="30" s="1"/>
  <c r="Z61" i="30" s="1"/>
  <c r="AB57" i="30"/>
  <c r="AB58" i="30" s="1"/>
  <c r="AB61" i="30" s="1"/>
  <c r="G55" i="37"/>
  <c r="G56" i="37" s="1"/>
  <c r="G59" i="37" s="1"/>
  <c r="K32" i="37"/>
  <c r="D38" i="10"/>
  <c r="Y50" i="35"/>
  <c r="E19" i="35"/>
  <c r="X52" i="36"/>
  <c r="D36" i="38"/>
  <c r="D26" i="38"/>
  <c r="D29" i="38"/>
  <c r="D24" i="38"/>
  <c r="D19" i="38"/>
  <c r="D39" i="38"/>
  <c r="D21" i="38"/>
  <c r="D31" i="38"/>
  <c r="D37" i="38"/>
  <c r="D33" i="38"/>
  <c r="D25" i="38"/>
  <c r="D41" i="38"/>
  <c r="D43" i="38"/>
  <c r="D30" i="38"/>
  <c r="D20" i="38"/>
  <c r="D27" i="38"/>
  <c r="D22" i="38"/>
  <c r="D34" i="38"/>
  <c r="D32" i="38"/>
  <c r="D28" i="38"/>
  <c r="D35" i="38"/>
  <c r="D38" i="38"/>
  <c r="D40" i="38"/>
  <c r="D42" i="38"/>
  <c r="D44" i="38"/>
  <c r="D23" i="38"/>
  <c r="D18" i="38"/>
  <c r="I26" i="30"/>
  <c r="K20" i="30"/>
  <c r="J43" i="36"/>
  <c r="I36" i="30" l="1"/>
  <c r="I25" i="30"/>
  <c r="I24" i="30"/>
  <c r="I37" i="30"/>
  <c r="I31" i="30"/>
  <c r="I40" i="30"/>
  <c r="I38" i="30"/>
  <c r="I23" i="30"/>
  <c r="I33" i="30"/>
  <c r="I41" i="30"/>
  <c r="I45" i="30"/>
  <c r="I46" i="30" s="1"/>
  <c r="I47" i="30" s="1"/>
  <c r="I20" i="30"/>
  <c r="J33" i="27"/>
  <c r="Q51" i="27" s="1"/>
  <c r="Q52" i="27" s="1"/>
  <c r="J38" i="27"/>
  <c r="V51" i="27" s="1"/>
  <c r="V52" i="27" s="1"/>
  <c r="J39" i="27"/>
  <c r="W51" i="27" s="1"/>
  <c r="W52" i="27" s="1"/>
  <c r="D43" i="27"/>
  <c r="H37" i="27"/>
  <c r="I37" i="27" s="1"/>
  <c r="I33" i="27"/>
  <c r="I38" i="27"/>
  <c r="J22" i="27"/>
  <c r="F51" i="27" s="1"/>
  <c r="F52" i="27" s="1"/>
  <c r="H22" i="27"/>
  <c r="E18" i="27"/>
  <c r="E19" i="27" s="1"/>
  <c r="E20" i="27" s="1"/>
  <c r="J18" i="27"/>
  <c r="H18" i="27"/>
  <c r="H27" i="27"/>
  <c r="J27" i="27"/>
  <c r="K51" i="27" s="1"/>
  <c r="K52" i="27" s="1"/>
  <c r="H31" i="27"/>
  <c r="J31" i="27"/>
  <c r="O51" i="27" s="1"/>
  <c r="O52" i="27" s="1"/>
  <c r="J28" i="27"/>
  <c r="L51" i="27" s="1"/>
  <c r="L52" i="27" s="1"/>
  <c r="H28" i="27"/>
  <c r="J26" i="27"/>
  <c r="J51" i="27" s="1"/>
  <c r="J52" i="27" s="1"/>
  <c r="H26" i="27"/>
  <c r="J29" i="27"/>
  <c r="M51" i="27" s="1"/>
  <c r="M52" i="27" s="1"/>
  <c r="H29" i="27"/>
  <c r="H25" i="27"/>
  <c r="J25" i="27"/>
  <c r="I51" i="27" s="1"/>
  <c r="I52" i="27" s="1"/>
  <c r="AA51" i="36"/>
  <c r="AA52" i="36" s="1"/>
  <c r="H30" i="27"/>
  <c r="I30" i="27" s="1"/>
  <c r="I19" i="27"/>
  <c r="J24" i="27"/>
  <c r="H51" i="27" s="1"/>
  <c r="H52" i="27" s="1"/>
  <c r="H24" i="27"/>
  <c r="H20" i="27"/>
  <c r="J20" i="27"/>
  <c r="D51" i="27" s="1"/>
  <c r="D52" i="27" s="1"/>
  <c r="J36" i="27"/>
  <c r="T51" i="27" s="1"/>
  <c r="T52" i="27" s="1"/>
  <c r="H36" i="27"/>
  <c r="H21" i="27"/>
  <c r="J21" i="27"/>
  <c r="E51" i="27" s="1"/>
  <c r="E52" i="27" s="1"/>
  <c r="H40" i="27"/>
  <c r="J40" i="27"/>
  <c r="X51" i="27" s="1"/>
  <c r="X52" i="27" s="1"/>
  <c r="J35" i="27"/>
  <c r="S51" i="27" s="1"/>
  <c r="S52" i="27" s="1"/>
  <c r="H35" i="27"/>
  <c r="I35" i="27" s="1"/>
  <c r="J32" i="27"/>
  <c r="P51" i="27" s="1"/>
  <c r="P52" i="27" s="1"/>
  <c r="H32" i="27"/>
  <c r="J41" i="27"/>
  <c r="Y51" i="27" s="1"/>
  <c r="Y52" i="27" s="1"/>
  <c r="H41" i="27"/>
  <c r="I41" i="27" s="1"/>
  <c r="J23" i="27"/>
  <c r="G51" i="27" s="1"/>
  <c r="G52" i="27" s="1"/>
  <c r="H23" i="27"/>
  <c r="H42" i="27"/>
  <c r="J42" i="27"/>
  <c r="Z51" i="27" s="1"/>
  <c r="Z52" i="27" s="1"/>
  <c r="J34" i="27"/>
  <c r="R51" i="27" s="1"/>
  <c r="R52" i="27" s="1"/>
  <c r="H34" i="27"/>
  <c r="I43" i="36"/>
  <c r="I44" i="36" s="1"/>
  <c r="I45" i="36" s="1"/>
  <c r="I39" i="27"/>
  <c r="J23" i="38"/>
  <c r="G57" i="38" s="1"/>
  <c r="G58" i="38" s="1"/>
  <c r="H23" i="38"/>
  <c r="H39" i="38"/>
  <c r="J39" i="38"/>
  <c r="W57" i="38" s="1"/>
  <c r="W58" i="38" s="1"/>
  <c r="AC57" i="30"/>
  <c r="H35" i="38"/>
  <c r="J35" i="38"/>
  <c r="S57" i="38" s="1"/>
  <c r="S58" i="38" s="1"/>
  <c r="H36" i="38"/>
  <c r="J36" i="38"/>
  <c r="T57" i="38" s="1"/>
  <c r="T58" i="38" s="1"/>
  <c r="D59" i="38"/>
  <c r="E59" i="38" s="1"/>
  <c r="F59" i="38" s="1"/>
  <c r="G59" i="38" s="1"/>
  <c r="H59" i="38" s="1"/>
  <c r="I59" i="38" s="1"/>
  <c r="J59" i="38" s="1"/>
  <c r="K59" i="38" s="1"/>
  <c r="L59" i="38" s="1"/>
  <c r="M59" i="38" s="1"/>
  <c r="N59" i="38" s="1"/>
  <c r="O59" i="38" s="1"/>
  <c r="P59" i="38" s="1"/>
  <c r="Q59" i="38" s="1"/>
  <c r="R59" i="38" s="1"/>
  <c r="S59" i="38" s="1"/>
  <c r="T59" i="38" s="1"/>
  <c r="U59" i="38" s="1"/>
  <c r="V59" i="38" s="1"/>
  <c r="W59" i="38" s="1"/>
  <c r="X59" i="38" s="1"/>
  <c r="Y59" i="38" s="1"/>
  <c r="Z59" i="38" s="1"/>
  <c r="AA59" i="38" s="1"/>
  <c r="AB59" i="38" s="1"/>
  <c r="AC58" i="30"/>
  <c r="B61" i="30"/>
  <c r="Z52" i="36"/>
  <c r="AA50" i="36"/>
  <c r="E21" i="37"/>
  <c r="J38" i="38"/>
  <c r="V57" i="38" s="1"/>
  <c r="V58" i="38" s="1"/>
  <c r="H38" i="38"/>
  <c r="I38" i="38" s="1"/>
  <c r="J30" i="38"/>
  <c r="N57" i="38" s="1"/>
  <c r="N58" i="38" s="1"/>
  <c r="N61" i="38" s="1"/>
  <c r="H30" i="38"/>
  <c r="J26" i="38"/>
  <c r="J57" i="38" s="1"/>
  <c r="J58" i="38" s="1"/>
  <c r="H26" i="38"/>
  <c r="I26" i="38" s="1"/>
  <c r="E21" i="30"/>
  <c r="B52" i="35"/>
  <c r="AA51" i="35"/>
  <c r="AA52" i="35" s="1"/>
  <c r="H44" i="38"/>
  <c r="J44" i="38"/>
  <c r="J43" i="38"/>
  <c r="H43" i="38"/>
  <c r="I43" i="38" s="1"/>
  <c r="J19" i="38"/>
  <c r="C57" i="38" s="1"/>
  <c r="C58" i="38" s="1"/>
  <c r="C61" i="38" s="1"/>
  <c r="H19" i="38"/>
  <c r="E20" i="35"/>
  <c r="E21" i="36"/>
  <c r="J42" i="38"/>
  <c r="H42" i="38"/>
  <c r="H27" i="38"/>
  <c r="J27" i="38"/>
  <c r="K57" i="38" s="1"/>
  <c r="K58" i="38" s="1"/>
  <c r="J31" i="38"/>
  <c r="O57" i="38" s="1"/>
  <c r="O58" i="38" s="1"/>
  <c r="O61" i="38" s="1"/>
  <c r="H31" i="38"/>
  <c r="H34" i="38"/>
  <c r="J34" i="38"/>
  <c r="R57" i="38" s="1"/>
  <c r="R58" i="38" s="1"/>
  <c r="R61" i="38" s="1"/>
  <c r="H33" i="38"/>
  <c r="J33" i="38"/>
  <c r="E21" i="27"/>
  <c r="D56" i="37"/>
  <c r="AA55" i="37"/>
  <c r="H22" i="38"/>
  <c r="J22" i="38"/>
  <c r="F57" i="38" s="1"/>
  <c r="F58" i="38" s="1"/>
  <c r="F61" i="38" s="1"/>
  <c r="J37" i="38"/>
  <c r="U57" i="38" s="1"/>
  <c r="U58" i="38" s="1"/>
  <c r="H37" i="38"/>
  <c r="I37" i="38" s="1"/>
  <c r="J28" i="38"/>
  <c r="L57" i="38" s="1"/>
  <c r="L58" i="38" s="1"/>
  <c r="H28" i="38"/>
  <c r="I28" i="38" s="1"/>
  <c r="J41" i="38"/>
  <c r="Y57" i="38" s="1"/>
  <c r="Y58" i="38" s="1"/>
  <c r="H41" i="38"/>
  <c r="I41" i="38" s="1"/>
  <c r="J24" i="38"/>
  <c r="H57" i="38" s="1"/>
  <c r="H58" i="38" s="1"/>
  <c r="H61" i="38" s="1"/>
  <c r="H24" i="38"/>
  <c r="Y52" i="35"/>
  <c r="Z50" i="35"/>
  <c r="E18" i="38"/>
  <c r="H18" i="38"/>
  <c r="J18" i="38"/>
  <c r="D45" i="38"/>
  <c r="H40" i="38"/>
  <c r="J40" i="38"/>
  <c r="X57" i="38" s="1"/>
  <c r="X58" i="38" s="1"/>
  <c r="H32" i="38"/>
  <c r="J32" i="38"/>
  <c r="P57" i="38" s="1"/>
  <c r="P58" i="38" s="1"/>
  <c r="P61" i="38" s="1"/>
  <c r="H20" i="38"/>
  <c r="J20" i="38"/>
  <c r="D57" i="38" s="1"/>
  <c r="D58" i="38" s="1"/>
  <c r="H25" i="38"/>
  <c r="J25" i="38"/>
  <c r="I57" i="38" s="1"/>
  <c r="I58" i="38" s="1"/>
  <c r="H21" i="38"/>
  <c r="J21" i="38"/>
  <c r="J29" i="38"/>
  <c r="M57" i="38" s="1"/>
  <c r="M58" i="38" s="1"/>
  <c r="H29" i="38"/>
  <c r="I29" i="38" s="1"/>
  <c r="B53" i="36"/>
  <c r="G44" i="10"/>
  <c r="I39" i="38" l="1"/>
  <c r="I35" i="38"/>
  <c r="I19" i="38"/>
  <c r="I20" i="38"/>
  <c r="I44" i="38"/>
  <c r="I27" i="38"/>
  <c r="I21" i="38"/>
  <c r="I40" i="38"/>
  <c r="I31" i="38"/>
  <c r="I42" i="38"/>
  <c r="I23" i="38"/>
  <c r="I32" i="38"/>
  <c r="I22" i="38"/>
  <c r="I34" i="38"/>
  <c r="I30" i="38"/>
  <c r="I36" i="27"/>
  <c r="I24" i="27"/>
  <c r="I22" i="27"/>
  <c r="I31" i="27"/>
  <c r="I25" i="27"/>
  <c r="I29" i="27"/>
  <c r="I28" i="27"/>
  <c r="I34" i="27"/>
  <c r="I23" i="27"/>
  <c r="I32" i="27"/>
  <c r="I26" i="27"/>
  <c r="B51" i="27"/>
  <c r="J43" i="27"/>
  <c r="I20" i="27"/>
  <c r="I27" i="27"/>
  <c r="I21" i="27"/>
  <c r="I42" i="27"/>
  <c r="I40" i="27"/>
  <c r="I18" i="27"/>
  <c r="M61" i="38"/>
  <c r="E19" i="38"/>
  <c r="Z52" i="35"/>
  <c r="AA50" i="35"/>
  <c r="AC61" i="30"/>
  <c r="I61" i="38"/>
  <c r="Q57" i="38"/>
  <c r="Q58" i="38" s="1"/>
  <c r="Q61" i="38" s="1"/>
  <c r="K36" i="38"/>
  <c r="E22" i="37"/>
  <c r="T61" i="38"/>
  <c r="X61" i="38"/>
  <c r="U61" i="38"/>
  <c r="D59" i="37"/>
  <c r="AA59" i="37" s="1"/>
  <c r="AA56" i="37"/>
  <c r="K61" i="38"/>
  <c r="E21" i="35"/>
  <c r="I36" i="38"/>
  <c r="W61" i="38"/>
  <c r="G61" i="38"/>
  <c r="E22" i="30"/>
  <c r="D61" i="38"/>
  <c r="E22" i="36"/>
  <c r="J61" i="38"/>
  <c r="S61" i="38"/>
  <c r="I25" i="38"/>
  <c r="K20" i="38"/>
  <c r="B57" i="38"/>
  <c r="J45" i="38"/>
  <c r="I24" i="38"/>
  <c r="I45" i="38" s="1"/>
  <c r="L61" i="38"/>
  <c r="I33" i="38"/>
  <c r="AB57" i="38"/>
  <c r="AB58" i="38" s="1"/>
  <c r="AB61" i="38" s="1"/>
  <c r="Z57" i="38"/>
  <c r="Z58" i="38" s="1"/>
  <c r="Z61" i="38" s="1"/>
  <c r="AA57" i="38"/>
  <c r="AA58" i="38" s="1"/>
  <c r="AA61" i="38" s="1"/>
  <c r="K32" i="38"/>
  <c r="E57" i="38"/>
  <c r="E58" i="38" s="1"/>
  <c r="E61" i="38" s="1"/>
  <c r="Y61" i="38"/>
  <c r="E22" i="27"/>
  <c r="B53" i="35"/>
  <c r="V61" i="38"/>
  <c r="AC59" i="38"/>
  <c r="I46" i="38" l="1"/>
  <c r="I47" i="38" s="1"/>
  <c r="I43" i="27"/>
  <c r="I44" i="27" s="1"/>
  <c r="I45" i="27" s="1"/>
  <c r="B52" i="27"/>
  <c r="AA51" i="27"/>
  <c r="AA52" i="27" s="1"/>
  <c r="E23" i="37"/>
  <c r="E20" i="38"/>
  <c r="E23" i="30"/>
  <c r="E23" i="36"/>
  <c r="E22" i="35"/>
  <c r="E23" i="27"/>
  <c r="B58" i="38"/>
  <c r="AC57" i="38"/>
  <c r="B53" i="27" l="1"/>
  <c r="E24" i="30"/>
  <c r="E21" i="38"/>
  <c r="E24" i="27"/>
  <c r="E24" i="37"/>
  <c r="AC58" i="38"/>
  <c r="B61" i="38"/>
  <c r="E23" i="35"/>
  <c r="E24" i="36"/>
  <c r="E25" i="36" l="1"/>
  <c r="E24" i="35"/>
  <c r="E25" i="37"/>
  <c r="E25" i="27"/>
  <c r="E25" i="30"/>
  <c r="AC61" i="38"/>
  <c r="E22" i="38"/>
  <c r="E23" i="38" l="1"/>
  <c r="E26" i="30"/>
  <c r="E26" i="37"/>
  <c r="E26" i="27"/>
  <c r="E25" i="35"/>
  <c r="E26" i="36"/>
  <c r="E27" i="27" l="1"/>
  <c r="E27" i="36"/>
  <c r="E27" i="30"/>
  <c r="E26" i="35"/>
  <c r="E27" i="37"/>
  <c r="E24" i="38"/>
  <c r="E28" i="36" l="1"/>
  <c r="E25" i="38"/>
  <c r="E27" i="35"/>
  <c r="E28" i="37"/>
  <c r="E28" i="30"/>
  <c r="E28" i="27"/>
  <c r="E29" i="37" l="1"/>
  <c r="E29" i="30"/>
  <c r="E26" i="38"/>
  <c r="E29" i="36"/>
  <c r="E29" i="27"/>
  <c r="E28" i="35"/>
  <c r="E30" i="30" l="1"/>
  <c r="E30" i="27"/>
  <c r="E29" i="35"/>
  <c r="E30" i="36"/>
  <c r="E27" i="38"/>
  <c r="E30" i="37"/>
  <c r="E30" i="35" l="1"/>
  <c r="E28" i="38"/>
  <c r="E31" i="30"/>
  <c r="E31" i="37"/>
  <c r="E31" i="36"/>
  <c r="E31" i="27"/>
  <c r="E29" i="38" l="1"/>
  <c r="E32" i="27"/>
  <c r="E32" i="37"/>
  <c r="E32" i="30"/>
  <c r="E32" i="36"/>
  <c r="E31" i="35"/>
  <c r="E32" i="35" l="1"/>
  <c r="E33" i="30"/>
  <c r="E33" i="27"/>
  <c r="E33" i="36"/>
  <c r="E33" i="37"/>
  <c r="E30" i="38"/>
  <c r="E34" i="36" l="1"/>
  <c r="E31" i="38"/>
  <c r="E34" i="30"/>
  <c r="E34" i="37"/>
  <c r="E34" i="27"/>
  <c r="E33" i="35"/>
  <c r="E34" i="35" l="1"/>
  <c r="E35" i="37"/>
  <c r="E32" i="38"/>
  <c r="E35" i="30"/>
  <c r="E35" i="36"/>
  <c r="E35" i="27"/>
  <c r="E36" i="30" l="1"/>
  <c r="F35" i="30"/>
  <c r="E36" i="37"/>
  <c r="F35" i="37"/>
  <c r="E36" i="27"/>
  <c r="E36" i="36"/>
  <c r="E33" i="38"/>
  <c r="E35" i="35"/>
  <c r="E37" i="36" l="1"/>
  <c r="E36" i="35"/>
  <c r="E37" i="37"/>
  <c r="F36" i="37"/>
  <c r="F18" i="37"/>
  <c r="F19" i="37"/>
  <c r="F20" i="37"/>
  <c r="F21" i="37"/>
  <c r="F22" i="37"/>
  <c r="F23" i="37"/>
  <c r="F24" i="37"/>
  <c r="F25" i="37"/>
  <c r="F26" i="37"/>
  <c r="F27" i="37"/>
  <c r="F28" i="37"/>
  <c r="F29" i="37"/>
  <c r="F30" i="37"/>
  <c r="F31" i="37"/>
  <c r="F32" i="37"/>
  <c r="F33" i="37"/>
  <c r="F34" i="37"/>
  <c r="E34" i="38"/>
  <c r="E37" i="27"/>
  <c r="E37" i="30"/>
  <c r="F36" i="30"/>
  <c r="F18" i="30"/>
  <c r="F19" i="30"/>
  <c r="F20" i="30"/>
  <c r="F21" i="30"/>
  <c r="F22" i="30"/>
  <c r="F23" i="30"/>
  <c r="F24" i="30"/>
  <c r="F25" i="30"/>
  <c r="F26" i="30"/>
  <c r="F27" i="30"/>
  <c r="F28" i="30"/>
  <c r="F29" i="30"/>
  <c r="F30" i="30"/>
  <c r="F31" i="30"/>
  <c r="F32" i="30"/>
  <c r="F33" i="30"/>
  <c r="F34" i="30"/>
  <c r="F37" i="30" l="1"/>
  <c r="E38" i="30"/>
  <c r="E35" i="38"/>
  <c r="E37" i="35"/>
  <c r="E38" i="27"/>
  <c r="E38" i="36"/>
  <c r="E38" i="37"/>
  <c r="F37" i="37"/>
  <c r="E39" i="27" l="1"/>
  <c r="F38" i="37"/>
  <c r="E39" i="37"/>
  <c r="E36" i="38"/>
  <c r="E39" i="36"/>
  <c r="E39" i="30"/>
  <c r="F38" i="30"/>
  <c r="E38" i="35"/>
  <c r="E40" i="36" l="1"/>
  <c r="F39" i="37"/>
  <c r="E40" i="37"/>
  <c r="E39" i="35"/>
  <c r="F36" i="38"/>
  <c r="E3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30" i="38"/>
  <c r="F31" i="38"/>
  <c r="F32" i="38"/>
  <c r="F33" i="38"/>
  <c r="F34" i="38"/>
  <c r="E40" i="30"/>
  <c r="F39" i="30"/>
  <c r="F35" i="38"/>
  <c r="E40" i="27"/>
  <c r="E38" i="38" l="1"/>
  <c r="F37" i="38"/>
  <c r="E41" i="37"/>
  <c r="F40" i="37"/>
  <c r="E41" i="27"/>
  <c r="F40" i="30"/>
  <c r="E41" i="30"/>
  <c r="E40" i="35"/>
  <c r="E41" i="36"/>
  <c r="F41" i="30" l="1"/>
  <c r="E42" i="30"/>
  <c r="E42" i="36"/>
  <c r="F41" i="36"/>
  <c r="F41" i="37"/>
  <c r="E42" i="37"/>
  <c r="F42" i="37" s="1"/>
  <c r="E41" i="35"/>
  <c r="E42" i="27"/>
  <c r="E39" i="38"/>
  <c r="F38" i="38"/>
  <c r="F39" i="38" l="1"/>
  <c r="E40" i="38"/>
  <c r="E42" i="35"/>
  <c r="F41" i="35"/>
  <c r="F42" i="36"/>
  <c r="F18" i="36"/>
  <c r="F19" i="36"/>
  <c r="F20" i="36"/>
  <c r="F21" i="36"/>
  <c r="F22" i="36"/>
  <c r="F23" i="36"/>
  <c r="F24" i="36"/>
  <c r="F25" i="36"/>
  <c r="F26" i="36"/>
  <c r="F27" i="36"/>
  <c r="F28" i="36"/>
  <c r="F29" i="36"/>
  <c r="F30" i="36"/>
  <c r="F31" i="36"/>
  <c r="F32" i="36"/>
  <c r="F33" i="36"/>
  <c r="F34" i="36"/>
  <c r="F35" i="36"/>
  <c r="F36" i="36"/>
  <c r="F37" i="36"/>
  <c r="F38" i="36"/>
  <c r="F39" i="36"/>
  <c r="F40" i="36"/>
  <c r="F42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39" i="27"/>
  <c r="F40" i="27"/>
  <c r="E43" i="30"/>
  <c r="F42" i="30"/>
  <c r="F41" i="27"/>
  <c r="F42" i="35" l="1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0" i="38"/>
  <c r="E41" i="38"/>
  <c r="F43" i="30"/>
  <c r="E44" i="30"/>
  <c r="F44" i="30" s="1"/>
  <c r="E42" i="38" l="1"/>
  <c r="F41" i="38"/>
  <c r="E43" i="38" l="1"/>
  <c r="F42" i="38"/>
  <c r="E44" i="38" l="1"/>
  <c r="F44" i="38" s="1"/>
  <c r="F43" i="3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A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B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C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D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E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mrivelli</author>
  </authors>
  <commentList>
    <comment ref="I7" authorId="0" shapeId="0" xr:uid="{00000000-0006-0000-0F00-000001000000}">
      <text>
        <r>
          <rPr>
            <b/>
            <sz val="8"/>
            <color indexed="81"/>
            <rFont val="Tahoma"/>
            <family val="2"/>
          </rPr>
          <t>Fijar la fecha de elaboracion</t>
        </r>
      </text>
    </comment>
  </commentList>
</comments>
</file>

<file path=xl/sharedStrings.xml><?xml version="1.0" encoding="utf-8"?>
<sst xmlns="http://schemas.openxmlformats.org/spreadsheetml/2006/main" count="1157" uniqueCount="277">
  <si>
    <t>(Expresado en USD.)</t>
  </si>
  <si>
    <t>Inicio</t>
  </si>
  <si>
    <t>Fin</t>
  </si>
  <si>
    <t>Total</t>
  </si>
  <si>
    <t>N/A</t>
  </si>
  <si>
    <t>A</t>
  </si>
  <si>
    <t>Cuadro de costo y financiamiento del Proyecto - POR COMPONENTE</t>
  </si>
  <si>
    <t>DETALLE</t>
  </si>
  <si>
    <t>TOTAL BID</t>
  </si>
  <si>
    <t>(US$)</t>
  </si>
  <si>
    <t>Componente Unico Obras civiles</t>
  </si>
  <si>
    <t>Rehabilitacion</t>
  </si>
  <si>
    <t>Mantenimiento</t>
  </si>
  <si>
    <t>Obras de rehabilitación y Mantenimiento</t>
  </si>
  <si>
    <t>1.1.1</t>
  </si>
  <si>
    <t>Tramo 1: km 50 - km 173</t>
  </si>
  <si>
    <t>1.1.2</t>
  </si>
  <si>
    <t>Tramo 2: km 173 - km 326</t>
  </si>
  <si>
    <t>1.1.3</t>
  </si>
  <si>
    <t>Tramo 3: km 326 - km 450</t>
  </si>
  <si>
    <t>1.1.4</t>
  </si>
  <si>
    <t>Tramo 4: km 450 - km 525, Accesos y Linea 1</t>
  </si>
  <si>
    <t>Otros Costos</t>
  </si>
  <si>
    <t>Administración del programa</t>
  </si>
  <si>
    <t>Auditoria, Monitoreo y Evaluación</t>
  </si>
  <si>
    <t>Gestión Socio Ambiental</t>
  </si>
  <si>
    <t>Escalamientos e Imprevistos</t>
  </si>
  <si>
    <t>TOTAL</t>
  </si>
  <si>
    <t xml:space="preserve">Contrapartida Local </t>
  </si>
  <si>
    <t>Componente 2. Fortalecimiento Institucional</t>
  </si>
  <si>
    <t>Estudios de Pre inversión</t>
  </si>
  <si>
    <t>Administración del Programa</t>
  </si>
  <si>
    <t>SBCC</t>
  </si>
  <si>
    <t>Contratación de Firma Consultora para la Auditoria Externa del Programa</t>
  </si>
  <si>
    <t>Período comprendido:  Año 1 a Año 7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</si>
  <si>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</si>
  <si>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</si>
  <si>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</si>
  <si>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</si>
  <si>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</si>
  <si>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</si>
  <si>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</si>
  <si>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</si>
  <si>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</si>
  <si>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</si>
  <si>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</si>
  <si>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</si>
  <si>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</si>
  <si>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</si>
  <si>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</si>
  <si>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</si>
  <si>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</si>
  <si>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</si>
  <si>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</si>
  <si>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</si>
  <si>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</si>
  <si>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</si>
  <si>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</si>
  <si>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</si>
  <si>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</si>
  <si>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</si>
  <si>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</si>
  <si>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</si>
  <si>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</si>
  <si>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</si>
  <si>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</si>
  <si>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</si>
  <si>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</si>
  <si>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</si>
  <si>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</si>
  <si>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</si>
  <si>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</si>
  <si>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</si>
  <si>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</si>
  <si>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</si>
  <si>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</si>
  <si>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</si>
  <si>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</si>
  <si>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</si>
  <si>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</si>
  <si>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</si>
  <si>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</si>
  <si>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Unidad Ejecutora del Programa (UEP)</t>
  </si>
  <si>
    <t>Duplicación de calzada RP 41, tramo RN7-RN8</t>
  </si>
  <si>
    <t>Licitación Pública Internacional </t>
  </si>
  <si>
    <t xml:space="preserve">A licitarse ad referéndum de la aprobación del préstamo </t>
  </si>
  <si>
    <t>Previsto</t>
  </si>
  <si>
    <t>Obras viales en la PBA de acuerdo a los criterios de elegibilidad del programa</t>
  </si>
  <si>
    <t>Proceso en curso</t>
  </si>
  <si>
    <t>Relicitación</t>
  </si>
  <si>
    <t>Proceso Cancelado</t>
  </si>
  <si>
    <t>Declaración de Licitación Desierta</t>
  </si>
  <si>
    <t>Rechazo de Ofertas</t>
  </si>
  <si>
    <t>BIENES y SERVICIOS CONEXOS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</si>
  <si>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</si>
  <si>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</si>
  <si>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</si>
  <si>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>Adquisición de software para gestión de activos viales DVBA</t>
  </si>
  <si>
    <t>Comparación de Precios </t>
  </si>
  <si>
    <t>Licitación Pública Nacional </t>
  </si>
  <si>
    <t>Contratación Directa 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</si>
  <si>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</si>
  <si>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</si>
  <si>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</si>
  <si>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</si>
  <si>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</si>
  <si>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</si>
  <si>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Selección Basada en la Calidad y Costo </t>
  </si>
  <si>
    <t>Selección Basada en la Calidad </t>
  </si>
  <si>
    <t>Comparación de Calificaciones</t>
  </si>
  <si>
    <t>CONSULTORÍAS FIRMAS</t>
  </si>
  <si>
    <t>Aviso de Expresiones de Interés</t>
  </si>
  <si>
    <t>Selección basada en el menor costo </t>
  </si>
  <si>
    <t xml:space="preserve">Estudios técnicos y pre-inversión </t>
  </si>
  <si>
    <t>Elaboración de proyectos ejecutivos programa de inversión de la DBVA</t>
  </si>
  <si>
    <t xml:space="preserve">Seguridad vial </t>
  </si>
  <si>
    <t>Audirotia de Seguridad Vial en Corredores</t>
  </si>
  <si>
    <t xml:space="preserve">Consultorías para el fortalecimiento del área de seguridad vial de la DVBA </t>
  </si>
  <si>
    <t>Fortalecimiento de la DBVA</t>
  </si>
  <si>
    <t>Consultorías la Elaboración del Plan Maestro de inversión vial de la PBA</t>
  </si>
  <si>
    <t>Consultorías para mejora de procesos de gestión de activos viales</t>
  </si>
  <si>
    <t>Fortalecimiento de AUBASA</t>
  </si>
  <si>
    <t>Consultoría para incorporacion de ITS en sistema de recaudo de peajes</t>
  </si>
  <si>
    <t>Consultoría para mejoramiento de sistema de gobernanza de AUBASA</t>
  </si>
  <si>
    <t>Inspección de las obras</t>
  </si>
  <si>
    <t>Contratación de firmas para la inspección de la obra de muestra del Programa</t>
  </si>
  <si>
    <t>Llave en mano</t>
  </si>
  <si>
    <t>Bienes </t>
  </si>
  <si>
    <t>Contratación de firmas para la inspección de otras obras incluidas en el Programa</t>
  </si>
  <si>
    <t>Auditoría, Monitoreo y Evaluación del Programa</t>
  </si>
  <si>
    <t>Precios Unitarios</t>
  </si>
  <si>
    <t>CONSULTORÍAS INDIVIDUOS</t>
  </si>
  <si>
    <t>Suma Alzada</t>
  </si>
  <si>
    <t>Cantidad Estimada de Consultores:</t>
  </si>
  <si>
    <t>Obras </t>
  </si>
  <si>
    <t>No Objeción a los TdR de la Actividad</t>
  </si>
  <si>
    <t>Firma Contrato</t>
  </si>
  <si>
    <t>Contratación de consultores individuales para conformación de Unidad Ejecutora de Programa dentro de la DVBA</t>
  </si>
  <si>
    <t>Servicios de No Consultoría </t>
  </si>
  <si>
    <t>Suma global</t>
  </si>
  <si>
    <t>Consultoría - Firmas </t>
  </si>
  <si>
    <t>Suma global + Gastos Reembolsables</t>
  </si>
  <si>
    <t>Adquisición de Servicios de no consultoría</t>
  </si>
  <si>
    <t>Solicitud de Propuestas y Términos de Referencia</t>
  </si>
  <si>
    <t>Términos de Referencia</t>
  </si>
  <si>
    <t>Tiempo Trabajado</t>
  </si>
  <si>
    <t>3CV</t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</si>
  <si>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</si>
  <si>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</si>
  <si>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</si>
  <si>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</si>
  <si>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</si>
  <si>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</si>
  <si>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</si>
  <si>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Agosto 28-2017-) :</t>
  </si>
  <si>
    <t>3. Tipos de Gasto</t>
  </si>
  <si>
    <t>Categoría de Adquisición</t>
  </si>
  <si>
    <t>Monto Financiado por el Banco</t>
  </si>
  <si>
    <t>Monto Total Proyecto (Incluyendo Contraparte)</t>
  </si>
  <si>
    <t>Obras de mejoramiento en red vial principal de la PBA</t>
  </si>
  <si>
    <t>Servicios de No Consultoría</t>
  </si>
  <si>
    <t>Gastos Operativos</t>
  </si>
  <si>
    <t>Consultoría (firmas + individuos)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</si>
  <si>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</si>
  <si>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</si>
  <si>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 xml:space="preserve">Obras civiles y fiscalización </t>
    </r>
  </si>
  <si>
    <r>
      <t xml:space="preserve">Componente 2 - </t>
    </r>
    <r>
      <rPr>
        <i/>
        <sz val="10"/>
        <rFont val="Calibri"/>
        <family val="2"/>
      </rPr>
      <t>Fortalecimiento Institucional</t>
    </r>
  </si>
  <si>
    <t>PLAN DE ADQUISICIONES GLOBAL</t>
  </si>
  <si>
    <t>Proyecto de Habilitación de la Ruta Nº 9</t>
  </si>
  <si>
    <t>Método de Selección/Adquisición
(Seleccionar una de las opciones):</t>
  </si>
  <si>
    <t>Componente Asociado :</t>
  </si>
  <si>
    <t>Método de Revisión (Seleccionar una de las opciones):</t>
  </si>
  <si>
    <t>Comentarios</t>
  </si>
  <si>
    <t>Monto Estimado, en u$s :</t>
  </si>
  <si>
    <t>Comp. 1</t>
  </si>
  <si>
    <t>ECATEF/DV</t>
  </si>
  <si>
    <t>TOTAL OBRAS</t>
  </si>
  <si>
    <t>BIENES</t>
  </si>
  <si>
    <t>Método de Adquisición
(Seleccionar una de las opciones):</t>
  </si>
  <si>
    <t>TOTAL BIENES</t>
  </si>
  <si>
    <t>TOTAL DE SERVICIOS DE NO CONSULTORIA</t>
  </si>
  <si>
    <t>Descripción adicional (producto relacionado)</t>
  </si>
  <si>
    <t>Selección basada en las calificaciones de los consultores</t>
  </si>
  <si>
    <t>Ex ante</t>
  </si>
  <si>
    <t>TOTAL CONSULTORIAS FIRMAS</t>
  </si>
  <si>
    <t>Cantidad Estimada de Consultores :</t>
  </si>
  <si>
    <t>No Objeción a los TDRs de la Actividad</t>
  </si>
  <si>
    <t>TOTAL CONSULTORIAS INDIVIDUALES</t>
  </si>
  <si>
    <t>OTROS</t>
  </si>
  <si>
    <t>Consultoría - Individuos </t>
  </si>
  <si>
    <t>T1-Año 2</t>
  </si>
  <si>
    <t>T4-Año 2</t>
  </si>
  <si>
    <t>TOTAL OTROS</t>
  </si>
  <si>
    <t>Comparación de Precios para Bienes</t>
  </si>
  <si>
    <t>Especificaciones Técnicas</t>
  </si>
  <si>
    <t>SUBPROYECTOS</t>
  </si>
  <si>
    <t>Suministro e instalación de plantas y equipos</t>
  </si>
  <si>
    <t>Objeto de la Transferencia:</t>
  </si>
  <si>
    <t>Cantidad Estimada de Subproyectos:</t>
  </si>
  <si>
    <t>Suministro e instalación de sist. de información</t>
  </si>
  <si>
    <t>Firma del Contrato / Convenio por Adjudicación de los Subproyectos</t>
  </si>
  <si>
    <t>Fecha de 
Transferencia</t>
  </si>
  <si>
    <t>TOTAL SUBPROYECTOS</t>
  </si>
  <si>
    <t>TOTAL CAPACITACIÓN</t>
  </si>
  <si>
    <t>TOTAL OTROS (PAGOS POR SERVICIOS AMBIENTALES)</t>
  </si>
  <si>
    <t>CRONOGRAMA DE DESEMBOLSO ESTIMADO</t>
  </si>
  <si>
    <t xml:space="preserve">OBRA: </t>
  </si>
  <si>
    <t>LONGITUD:</t>
  </si>
  <si>
    <t>CONTRATISTA:</t>
  </si>
  <si>
    <t>FECHA:</t>
  </si>
  <si>
    <t>USD</t>
  </si>
  <si>
    <t>Guaranies (Gs) o Dolares (USD)</t>
  </si>
  <si>
    <t>TASA CAMBIARIA:</t>
  </si>
  <si>
    <t>Gs</t>
  </si>
  <si>
    <t>%  FINANCIACIÓN EXTERNA:</t>
  </si>
  <si>
    <t>(ingresar un valor entre 0 y 100)</t>
  </si>
  <si>
    <t>%  FINANCIACIÓN LOCAL:</t>
  </si>
  <si>
    <t>ANTICIPO %:</t>
  </si>
  <si>
    <t>MES/AÑO:</t>
  </si>
  <si>
    <t>FECHA DEL PRIMER DESEMBOLSO</t>
  </si>
  <si>
    <t>Redondeo:</t>
  </si>
  <si>
    <t>MES</t>
  </si>
  <si>
    <t>PORCENTAJE</t>
  </si>
  <si>
    <t>% AVANCE (Físico)</t>
  </si>
  <si>
    <t xml:space="preserve">MONTO ACUMULADO CON ANTICIPO </t>
  </si>
  <si>
    <t>% AVANCE (Financiero)</t>
  </si>
  <si>
    <t>MES DE DESEMBOLSO</t>
  </si>
  <si>
    <t>IVA DEL MONTO MENSUAL</t>
  </si>
  <si>
    <t>Mes 0</t>
  </si>
  <si>
    <t>Suma:</t>
  </si>
  <si>
    <t>Obs.: Montos de los Desembolsos en Dólares.</t>
  </si>
  <si>
    <t>Diferencia:</t>
  </si>
  <si>
    <t>Anticipo</t>
  </si>
  <si>
    <t>LOCAL</t>
  </si>
  <si>
    <t>EXTERNO</t>
  </si>
  <si>
    <t>Matenimiento</t>
  </si>
  <si>
    <t>total</t>
  </si>
  <si>
    <t>Obs.: Montos de los Desembolsos en Guaranies.</t>
  </si>
  <si>
    <t>45% Variable</t>
  </si>
  <si>
    <t>total + 45%/24</t>
  </si>
  <si>
    <t xml:space="preserve">Componente 1. Obras Civiles </t>
  </si>
  <si>
    <t>AR-L1307</t>
  </si>
  <si>
    <t>Programa Regional de Infraestructura Federal de Transporte</t>
  </si>
  <si>
    <t xml:space="preserve">Monitoreo y evaluación </t>
  </si>
  <si>
    <t>Inspecciones técnicas y socioambientales de las obras</t>
  </si>
  <si>
    <t>Obra básica y pavimentación RP1 Catamarca: empalme RP18 (Singuil) - empalme RP48 (Aconquija)</t>
  </si>
  <si>
    <t>Obra básica y pavimentación RP23 Entre Ríos: Pronunciamiento - Villa Elisa</t>
  </si>
  <si>
    <t>Rehabilitacion de las RP6 y RP8 Río Negro</t>
  </si>
  <si>
    <t>Mejoras en sistemas de información FFFIR para gestión y supervisión de obras</t>
  </si>
  <si>
    <t>Nº</t>
  </si>
  <si>
    <t>Línea de trabajo</t>
  </si>
  <si>
    <t>Fecha estimada de cumplimiento</t>
  </si>
  <si>
    <t>Plazo Ejecución (meses)</t>
  </si>
  <si>
    <t>Cantidad días</t>
  </si>
  <si>
    <t>Duración</t>
  </si>
  <si>
    <t>Costo Total
US$</t>
  </si>
  <si>
    <t>Costo Total</t>
  </si>
  <si>
    <t>Días</t>
  </si>
  <si>
    <t>General</t>
  </si>
  <si>
    <t>TOTAL GENERAL</t>
  </si>
  <si>
    <t>Plan de Ejecución del Programa (PEP) - Programa Federal de Infraestructura Regional AR-L1307</t>
  </si>
  <si>
    <t>Administración y gestión del Programa</t>
  </si>
  <si>
    <t>Auditorías Financieras</t>
  </si>
  <si>
    <t>Circunvalación Vial de la Ciudad de Gualeguaychú, Entre Ríos</t>
  </si>
  <si>
    <t>Abril  2021</t>
  </si>
  <si>
    <t>Marzo 2021</t>
  </si>
  <si>
    <t>Julio 2023</t>
  </si>
  <si>
    <t>Abril 2020</t>
  </si>
  <si>
    <t>Marzo 2022</t>
  </si>
  <si>
    <t>Octubre 2020</t>
  </si>
  <si>
    <t xml:space="preserve">Otras obras de mejora en la red vial provincial </t>
  </si>
  <si>
    <t>Otras obras de mejora en la red vial municipal</t>
  </si>
  <si>
    <t>Julio 2024</t>
  </si>
  <si>
    <t>Enero 2020</t>
  </si>
  <si>
    <t>Total BID (CO)</t>
  </si>
  <si>
    <t xml:space="preserve">Total </t>
  </si>
  <si>
    <t>Diseño y ejecución de estrategia de capacitacion a provincias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</si>
</sst>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0">
    <numFmt numFmtId="41" formatCode="_(* #,##0_);_(* \(#,##0\);_(* &quot;-&quot;_);_(@_)"/>
    <numFmt numFmtId="43" formatCode="_(* #,##0.00_);_(* \(#,##0.00\);_(* &quot;-&quot;??_);_(@_)"/>
    <numFmt numFmtId="164" formatCode="_ [$€]\ * #,##0.00_ ;_ [$€]\ * \-#,##0.00_ ;_ [$€]\ * &quot;-&quot;??_ ;_ @_ "/>
    <numFmt numFmtId="165" formatCode="#,#00"/>
    <numFmt numFmtId="166" formatCode="\$#,#00"/>
    <numFmt numFmtId="167" formatCode="\$#,"/>
    <numFmt numFmtId="168" formatCode="#.##000"/>
    <numFmt numFmtId="169" formatCode="#.##0,"/>
    <numFmt numFmtId="170" formatCode="_(* #,##0_);_(* \(#,##0\);_(* &quot;-&quot;??_);_(@_)"/>
    <numFmt numFmtId="171" formatCode="0.0%"/>
    <numFmt numFmtId="172" formatCode="[$USD]\ #,##0.00"/>
    <numFmt numFmtId="173" formatCode="_-* #,##0_-;\-* #,##0_-;_-* &quot;-&quot;_-;_-@_-"/>
    <numFmt numFmtId="174" formatCode="#,##0.0"/>
    <numFmt numFmtId="175" formatCode="_-* #,##0.00_-;\-* #,##0.00_-;_-* &quot;-&quot;??_-;_-@_-"/>
    <numFmt numFmtId="176" formatCode="_-&quot;$&quot;\ * #,##0.00_-;\-&quot;$&quot;\ * #,##0.00_-;_-&quot;$&quot;\ * &quot;-&quot;??_-;_-@_-"/>
    <numFmt numFmtId="177" formatCode="_(&quot;Gs&quot;\ * #,##0.00_);_(&quot;Gs&quot;\ * \(#,##0.00\);_(&quot;Gs&quot;\ * &quot;-&quot;??_);_(@_)"/>
    <numFmt numFmtId="180" formatCode="[$-3C0A]mmmm&quot; de &quot;yyyy;@"/>
    <numFmt numFmtId="181" formatCode="dd/mm/yy;@"/>
    <numFmt numFmtId="182" formatCode="0.0"/>
    <numFmt numFmtId="183" formatCode="#,##0.00\ &quot;€&quot;;[Red]\-#,##0.00\ &quot;€&quot;"/>
  </numFmts>
  <fonts count="6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u/>
      <sz val="1"/>
      <color indexed="8"/>
      <name val="Courier"/>
      <family val="3"/>
    </font>
    <font>
      <sz val="10"/>
      <name val="Verdana"/>
      <family val="2"/>
    </font>
    <font>
      <b/>
      <sz val="9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9"/>
      <color theme="0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0"/>
      <name val="Times New Roman"/>
      <family val="1"/>
    </font>
    <font>
      <b/>
      <sz val="8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9"/>
      <name val="Calibri"/>
      <family val="2"/>
      <scheme val="minor"/>
    </font>
    <font>
      <u/>
      <sz val="9"/>
      <name val="Calibri"/>
      <family val="2"/>
      <scheme val="minor"/>
    </font>
    <font>
      <b/>
      <sz val="9"/>
      <color indexed="17"/>
      <name val="Calibri"/>
      <family val="2"/>
      <scheme val="minor"/>
    </font>
    <font>
      <b/>
      <sz val="8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color rgb="FF000000"/>
      <name val="Calibri"/>
      <family val="2"/>
      <scheme val="minor"/>
    </font>
    <font>
      <sz val="11"/>
      <color theme="0"/>
      <name val="Calibri"/>
      <family val="2"/>
    </font>
    <font>
      <sz val="11"/>
      <color rgb="FF00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FFFFFF"/>
        <bgColor rgb="FFF2F2F2"/>
      </patternFill>
    </fill>
    <fill>
      <patternFill patternType="solid">
        <fgColor rgb="FF8497B0"/>
        <bgColor rgb="FF8FAADC"/>
      </patternFill>
    </fill>
    <fill>
      <patternFill patternType="solid">
        <fgColor theme="0"/>
        <bgColor rgb="FFD9D9D9"/>
      </patternFill>
    </fill>
  </fills>
  <borders count="8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3" tint="0.59996337778862885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indexed="64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1454817346722"/>
      </left>
      <right/>
      <top style="thin">
        <color theme="3" tint="0.39991454817346722"/>
      </top>
      <bottom/>
      <diagonal/>
    </border>
    <border>
      <left/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/>
      <bottom style="thin">
        <color theme="3" tint="0.39991454817346722"/>
      </bottom>
      <diagonal/>
    </border>
    <border>
      <left/>
      <right style="thin">
        <color theme="3" tint="0.39991454817346722"/>
      </right>
      <top/>
      <bottom style="thin">
        <color theme="3" tint="0.39991454817346722"/>
      </bottom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45066682943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/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/>
      <top style="thin">
        <color theme="3" tint="0.39991454817346722"/>
      </top>
      <bottom style="thin">
        <color theme="3" tint="0.39991454817346722"/>
      </bottom>
      <diagonal/>
    </border>
    <border>
      <left/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40">
    <xf numFmtId="0" fontId="0" fillId="0" borderId="0"/>
    <xf numFmtId="0" fontId="11" fillId="0" borderId="0">
      <protection locked="0"/>
    </xf>
    <xf numFmtId="0" fontId="11" fillId="0" borderId="0">
      <protection locked="0"/>
    </xf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2" fillId="0" borderId="0">
      <protection locked="0"/>
    </xf>
    <xf numFmtId="0" fontId="11" fillId="0" borderId="0">
      <protection locked="0"/>
    </xf>
    <xf numFmtId="0" fontId="13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0" fontId="12" fillId="0" borderId="0">
      <protection locked="0"/>
    </xf>
    <xf numFmtId="0" fontId="11" fillId="0" borderId="0">
      <protection locked="0"/>
    </xf>
    <xf numFmtId="165" fontId="11" fillId="0" borderId="0">
      <protection locked="0"/>
    </xf>
    <xf numFmtId="0" fontId="12" fillId="0" borderId="0">
      <protection locked="0"/>
    </xf>
    <xf numFmtId="0" fontId="12" fillId="0" borderId="0">
      <protection locked="0"/>
    </xf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11" fillId="0" borderId="0">
      <protection locked="0"/>
    </xf>
    <xf numFmtId="167" fontId="11" fillId="0" borderId="0">
      <protection locked="0"/>
    </xf>
    <xf numFmtId="0" fontId="9" fillId="0" borderId="0"/>
    <xf numFmtId="9" fontId="9" fillId="0" borderId="0" applyFont="0" applyFill="0" applyBorder="0" applyAlignment="0" applyProtection="0"/>
    <xf numFmtId="168" fontId="11" fillId="0" borderId="0">
      <protection locked="0"/>
    </xf>
    <xf numFmtId="169" fontId="11" fillId="0" borderId="0">
      <protection locked="0"/>
    </xf>
    <xf numFmtId="43" fontId="9" fillId="0" borderId="0" applyFont="0" applyFill="0" applyBorder="0" applyAlignment="0" applyProtection="0"/>
    <xf numFmtId="0" fontId="6" fillId="0" borderId="0"/>
    <xf numFmtId="0" fontId="14" fillId="0" borderId="0"/>
    <xf numFmtId="172" fontId="14" fillId="0" borderId="0"/>
    <xf numFmtId="172" fontId="9" fillId="0" borderId="0"/>
    <xf numFmtId="0" fontId="9" fillId="0" borderId="0"/>
    <xf numFmtId="172" fontId="27" fillId="8" borderId="0" applyNumberFormat="0" applyBorder="0" applyAlignment="0" applyProtection="0"/>
    <xf numFmtId="172" fontId="27" fillId="9" borderId="0" applyNumberFormat="0" applyBorder="0" applyAlignment="0" applyProtection="0"/>
    <xf numFmtId="172" fontId="27" fillId="10" borderId="0" applyNumberFormat="0" applyBorder="0" applyAlignment="0" applyProtection="0"/>
    <xf numFmtId="172" fontId="27" fillId="11" borderId="0" applyNumberFormat="0" applyBorder="0" applyAlignment="0" applyProtection="0"/>
    <xf numFmtId="172" fontId="27" fillId="12" borderId="0" applyNumberFormat="0" applyBorder="0" applyAlignment="0" applyProtection="0"/>
    <xf numFmtId="172" fontId="27" fillId="13" borderId="0" applyNumberFormat="0" applyBorder="0" applyAlignment="0" applyProtection="0"/>
    <xf numFmtId="172" fontId="27" fillId="14" borderId="0" applyNumberFormat="0" applyBorder="0" applyAlignment="0" applyProtection="0"/>
    <xf numFmtId="172" fontId="27" fillId="15" borderId="0" applyNumberFormat="0" applyBorder="0" applyAlignment="0" applyProtection="0"/>
    <xf numFmtId="172" fontId="27" fillId="16" borderId="0" applyNumberFormat="0" applyBorder="0" applyAlignment="0" applyProtection="0"/>
    <xf numFmtId="172" fontId="27" fillId="11" borderId="0" applyNumberFormat="0" applyBorder="0" applyAlignment="0" applyProtection="0"/>
    <xf numFmtId="172" fontId="27" fillId="14" borderId="0" applyNumberFormat="0" applyBorder="0" applyAlignment="0" applyProtection="0"/>
    <xf numFmtId="172" fontId="27" fillId="17" borderId="0" applyNumberFormat="0" applyBorder="0" applyAlignment="0" applyProtection="0"/>
    <xf numFmtId="172" fontId="28" fillId="18" borderId="0" applyNumberFormat="0" applyBorder="0" applyAlignment="0" applyProtection="0"/>
    <xf numFmtId="172" fontId="28" fillId="15" borderId="0" applyNumberFormat="0" applyBorder="0" applyAlignment="0" applyProtection="0"/>
    <xf numFmtId="172" fontId="28" fillId="16" borderId="0" applyNumberFormat="0" applyBorder="0" applyAlignment="0" applyProtection="0"/>
    <xf numFmtId="172" fontId="28" fillId="19" borderId="0" applyNumberFormat="0" applyBorder="0" applyAlignment="0" applyProtection="0"/>
    <xf numFmtId="172" fontId="28" fillId="20" borderId="0" applyNumberFormat="0" applyBorder="0" applyAlignment="0" applyProtection="0"/>
    <xf numFmtId="172" fontId="28" fillId="21" borderId="0" applyNumberFormat="0" applyBorder="0" applyAlignment="0" applyProtection="0"/>
    <xf numFmtId="172" fontId="28" fillId="22" borderId="0" applyNumberFormat="0" applyBorder="0" applyAlignment="0" applyProtection="0"/>
    <xf numFmtId="172" fontId="28" fillId="23" borderId="0" applyNumberFormat="0" applyBorder="0" applyAlignment="0" applyProtection="0"/>
    <xf numFmtId="172" fontId="28" fillId="24" borderId="0" applyNumberFormat="0" applyBorder="0" applyAlignment="0" applyProtection="0"/>
    <xf numFmtId="172" fontId="28" fillId="19" borderId="0" applyNumberFormat="0" applyBorder="0" applyAlignment="0" applyProtection="0"/>
    <xf numFmtId="172" fontId="28" fillId="20" borderId="0" applyNumberFormat="0" applyBorder="0" applyAlignment="0" applyProtection="0"/>
    <xf numFmtId="172" fontId="28" fillId="25" borderId="0" applyNumberFormat="0" applyBorder="0" applyAlignment="0" applyProtection="0"/>
    <xf numFmtId="172" fontId="29" fillId="9" borderId="0" applyNumberFormat="0" applyBorder="0" applyAlignment="0" applyProtection="0"/>
    <xf numFmtId="172" fontId="30" fillId="26" borderId="32" applyNumberFormat="0" applyAlignment="0" applyProtection="0"/>
    <xf numFmtId="172" fontId="31" fillId="27" borderId="33" applyNumberFormat="0" applyAlignment="0" applyProtection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32" fillId="0" borderId="0" applyNumberFormat="0" applyFill="0" applyBorder="0" applyAlignment="0" applyProtection="0"/>
    <xf numFmtId="172" fontId="33" fillId="10" borderId="0" applyNumberFormat="0" applyBorder="0" applyAlignment="0" applyProtection="0"/>
    <xf numFmtId="172" fontId="34" fillId="0" borderId="34" applyNumberFormat="0" applyFill="0" applyAlignment="0" applyProtection="0"/>
    <xf numFmtId="172" fontId="35" fillId="0" borderId="35" applyNumberFormat="0" applyFill="0" applyAlignment="0" applyProtection="0"/>
    <xf numFmtId="172" fontId="36" fillId="0" borderId="36" applyNumberFormat="0" applyFill="0" applyAlignment="0" applyProtection="0"/>
    <xf numFmtId="172" fontId="36" fillId="0" borderId="0" applyNumberFormat="0" applyFill="0" applyBorder="0" applyAlignment="0" applyProtection="0"/>
    <xf numFmtId="172" fontId="37" fillId="13" borderId="32" applyNumberFormat="0" applyAlignment="0" applyProtection="0"/>
    <xf numFmtId="172" fontId="38" fillId="0" borderId="37" applyNumberFormat="0" applyFill="0" applyAlignment="0" applyProtection="0"/>
    <xf numFmtId="173" fontId="9" fillId="0" borderId="0" applyFill="0" applyBorder="0" applyAlignment="0" applyProtection="0"/>
    <xf numFmtId="173" fontId="9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5" fontId="9" fillId="0" borderId="0" applyFill="0" applyBorder="0" applyAlignment="0" applyProtection="0"/>
    <xf numFmtId="43" fontId="9" fillId="0" borderId="0" applyFont="0" applyFill="0" applyBorder="0" applyAlignment="0" applyProtection="0"/>
    <xf numFmtId="175" fontId="9" fillId="0" borderId="0" applyFill="0" applyBorder="0" applyAlignment="0" applyProtection="0"/>
    <xf numFmtId="175" fontId="9" fillId="0" borderId="0" applyFill="0" applyBorder="0" applyAlignment="0" applyProtection="0"/>
    <xf numFmtId="176" fontId="9" fillId="0" borderId="0" applyFill="0" applyBorder="0" applyAlignment="0" applyProtection="0"/>
    <xf numFmtId="177" fontId="9" fillId="0" borderId="0" applyFont="0" applyFill="0" applyBorder="0" applyAlignment="0" applyProtection="0"/>
    <xf numFmtId="176" fontId="9" fillId="0" borderId="0" applyFill="0" applyBorder="0" applyAlignment="0" applyProtection="0"/>
    <xf numFmtId="172" fontId="39" fillId="28" borderId="0" applyNumberFormat="0" applyBorder="0" applyAlignment="0" applyProtection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0" fontId="9" fillId="0" borderId="0"/>
    <xf numFmtId="0" fontId="5" fillId="0" borderId="0"/>
    <xf numFmtId="0" fontId="5" fillId="0" borderId="0"/>
    <xf numFmtId="172" fontId="9" fillId="0" borderId="0"/>
    <xf numFmtId="0" fontId="5" fillId="0" borderId="0"/>
    <xf numFmtId="172" fontId="9" fillId="0" borderId="0"/>
    <xf numFmtId="172" fontId="9" fillId="0" borderId="0"/>
    <xf numFmtId="0" fontId="9" fillId="0" borderId="0"/>
    <xf numFmtId="172" fontId="27" fillId="0" borderId="0"/>
    <xf numFmtId="172" fontId="9" fillId="0" borderId="0"/>
    <xf numFmtId="172" fontId="9" fillId="0" borderId="0"/>
    <xf numFmtId="0" fontId="9" fillId="0" borderId="0"/>
    <xf numFmtId="172" fontId="9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0" borderId="0"/>
    <xf numFmtId="172" fontId="14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5" fillId="0" borderId="0"/>
    <xf numFmtId="172" fontId="9" fillId="29" borderId="38" applyNumberFormat="0" applyFont="0" applyAlignment="0" applyProtection="0"/>
    <xf numFmtId="172" fontId="40" fillId="26" borderId="39" applyNumberFormat="0" applyAlignment="0" applyProtection="0"/>
    <xf numFmtId="9" fontId="9" fillId="0" borderId="0" applyFill="0" applyBorder="0" applyAlignment="0" applyProtection="0"/>
    <xf numFmtId="9" fontId="9" fillId="0" borderId="0" applyFill="0" applyBorder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72" fontId="41" fillId="0" borderId="0" applyNumberFormat="0" applyFill="0" applyBorder="0" applyAlignment="0" applyProtection="0"/>
    <xf numFmtId="172" fontId="42" fillId="0" borderId="40" applyNumberFormat="0" applyFill="0" applyAlignment="0" applyProtection="0"/>
    <xf numFmtId="172" fontId="43" fillId="0" borderId="0" applyNumberFormat="0" applyFill="0" applyBorder="0" applyAlignment="0" applyProtection="0"/>
    <xf numFmtId="9" fontId="9" fillId="0" borderId="0" applyFont="0" applyFill="0" applyBorder="0" applyAlignment="0" applyProtection="0"/>
    <xf numFmtId="172" fontId="4" fillId="0" borderId="0"/>
    <xf numFmtId="172" fontId="4" fillId="0" borderId="0"/>
    <xf numFmtId="43" fontId="49" fillId="0" borderId="0" applyFont="0" applyFill="0" applyBorder="0" applyAlignment="0" applyProtection="0"/>
    <xf numFmtId="0" fontId="9" fillId="0" borderId="0"/>
    <xf numFmtId="0" fontId="3" fillId="0" borderId="0"/>
    <xf numFmtId="43" fontId="3" fillId="0" borderId="0" applyFont="0" applyFill="0" applyBorder="0" applyAlignment="0" applyProtection="0"/>
    <xf numFmtId="43" fontId="5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433">
    <xf numFmtId="0" fontId="0" fillId="0" borderId="0" xfId="0"/>
    <xf numFmtId="0" fontId="8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8" fillId="0" borderId="0" xfId="0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0" fontId="8" fillId="0" borderId="0" xfId="22" applyNumberFormat="1" applyFont="1" applyBorder="1" applyAlignment="1">
      <alignment vertical="center"/>
    </xf>
    <xf numFmtId="0" fontId="19" fillId="4" borderId="25" xfId="0" applyFont="1" applyFill="1" applyBorder="1" applyAlignment="1">
      <alignment horizontal="right" vertical="center"/>
    </xf>
    <xf numFmtId="0" fontId="19" fillId="4" borderId="25" xfId="0" applyFont="1" applyFill="1" applyBorder="1" applyAlignment="1">
      <alignment vertical="center"/>
    </xf>
    <xf numFmtId="41" fontId="19" fillId="4" borderId="25" xfId="16" applyFont="1" applyFill="1" applyBorder="1" applyAlignment="1">
      <alignment vertical="center"/>
    </xf>
    <xf numFmtId="0" fontId="20" fillId="3" borderId="25" xfId="0" applyFont="1" applyFill="1" applyBorder="1" applyAlignment="1">
      <alignment horizontal="right" vertical="center"/>
    </xf>
    <xf numFmtId="0" fontId="20" fillId="3" borderId="25" xfId="0" applyFont="1" applyFill="1" applyBorder="1" applyAlignment="1">
      <alignment vertical="center"/>
    </xf>
    <xf numFmtId="41" fontId="20" fillId="3" borderId="0" xfId="16" applyFont="1" applyFill="1" applyBorder="1" applyAlignment="1">
      <alignment vertical="center"/>
    </xf>
    <xf numFmtId="0" fontId="10" fillId="0" borderId="0" xfId="0" applyFont="1"/>
    <xf numFmtId="0" fontId="23" fillId="6" borderId="19" xfId="0" applyFont="1" applyFill="1" applyBorder="1" applyAlignment="1">
      <alignment horizontal="right" vertical="center"/>
    </xf>
    <xf numFmtId="0" fontId="19" fillId="6" borderId="19" xfId="0" applyFont="1" applyFill="1" applyBorder="1" applyAlignment="1">
      <alignment vertical="center"/>
    </xf>
    <xf numFmtId="41" fontId="19" fillId="6" borderId="1" xfId="0" applyNumberFormat="1" applyFont="1" applyFill="1" applyBorder="1" applyAlignment="1">
      <alignment horizontal="right" vertical="center"/>
    </xf>
    <xf numFmtId="0" fontId="24" fillId="6" borderId="24" xfId="0" applyFont="1" applyFill="1" applyBorder="1" applyAlignment="1">
      <alignment horizontal="center" vertical="center"/>
    </xf>
    <xf numFmtId="0" fontId="25" fillId="6" borderId="26" xfId="0" applyFont="1" applyFill="1" applyBorder="1" applyAlignment="1">
      <alignment horizontal="center" vertical="center"/>
    </xf>
    <xf numFmtId="170" fontId="18" fillId="0" borderId="0" xfId="25" applyNumberFormat="1" applyFont="1" applyAlignment="1">
      <alignment horizontal="center" vertical="center"/>
    </xf>
    <xf numFmtId="170" fontId="18" fillId="2" borderId="28" xfId="25" applyNumberFormat="1" applyFont="1" applyFill="1" applyBorder="1" applyAlignment="1">
      <alignment horizontal="center" vertical="center" wrapText="1"/>
    </xf>
    <xf numFmtId="0" fontId="44" fillId="0" borderId="0" xfId="94" applyFont="1"/>
    <xf numFmtId="0" fontId="15" fillId="0" borderId="0" xfId="94" applyFont="1" applyAlignment="1">
      <alignment horizontal="center" wrapText="1"/>
    </xf>
    <xf numFmtId="9" fontId="15" fillId="0" borderId="0" xfId="94" applyNumberFormat="1" applyFont="1" applyAlignment="1">
      <alignment horizontal="center" wrapText="1"/>
    </xf>
    <xf numFmtId="3" fontId="15" fillId="0" borderId="0" xfId="94" applyNumberFormat="1" applyFont="1" applyAlignment="1">
      <alignment horizontal="center" wrapText="1"/>
    </xf>
    <xf numFmtId="0" fontId="44" fillId="0" borderId="0" xfId="94" applyFont="1" applyAlignment="1"/>
    <xf numFmtId="0" fontId="44" fillId="0" borderId="0" xfId="94" applyFont="1" applyAlignment="1">
      <alignment horizontal="center"/>
    </xf>
    <xf numFmtId="9" fontId="15" fillId="0" borderId="0" xfId="94" applyNumberFormat="1" applyFont="1" applyAlignment="1">
      <alignment horizontal="center" vertical="top" wrapText="1"/>
    </xf>
    <xf numFmtId="0" fontId="15" fillId="0" borderId="0" xfId="94" applyFont="1" applyAlignment="1">
      <alignment horizontal="left" wrapText="1"/>
    </xf>
    <xf numFmtId="3" fontId="44" fillId="0" borderId="0" xfId="94" applyNumberFormat="1" applyFont="1"/>
    <xf numFmtId="3" fontId="45" fillId="0" borderId="0" xfId="94" applyNumberFormat="1" applyFont="1" applyAlignment="1">
      <alignment horizontal="right" vertical="center"/>
    </xf>
    <xf numFmtId="9" fontId="44" fillId="0" borderId="0" xfId="94" applyNumberFormat="1" applyFont="1"/>
    <xf numFmtId="0" fontId="44" fillId="0" borderId="0" xfId="94" applyFont="1" applyAlignment="1">
      <alignment horizontal="right"/>
    </xf>
    <xf numFmtId="180" fontId="44" fillId="0" borderId="0" xfId="94" applyNumberFormat="1" applyFont="1" applyAlignment="1">
      <alignment horizontal="left"/>
    </xf>
    <xf numFmtId="3" fontId="46" fillId="0" borderId="0" xfId="94" applyNumberFormat="1" applyFont="1" applyAlignment="1">
      <alignment horizontal="right"/>
    </xf>
    <xf numFmtId="3" fontId="46" fillId="0" borderId="0" xfId="94" applyNumberFormat="1" applyFont="1"/>
    <xf numFmtId="3" fontId="46" fillId="0" borderId="0" xfId="94" applyNumberFormat="1" applyFont="1" applyAlignment="1">
      <alignment horizontal="left"/>
    </xf>
    <xf numFmtId="0" fontId="46" fillId="0" borderId="0" xfId="94" applyNumberFormat="1" applyFont="1" applyAlignment="1">
      <alignment horizontal="left"/>
    </xf>
    <xf numFmtId="3" fontId="15" fillId="0" borderId="0" xfId="94" applyNumberFormat="1" applyFont="1" applyAlignment="1">
      <alignment horizontal="right"/>
    </xf>
    <xf numFmtId="3" fontId="15" fillId="0" borderId="0" xfId="94" applyNumberFormat="1" applyFont="1"/>
    <xf numFmtId="3" fontId="15" fillId="0" borderId="0" xfId="94" applyNumberFormat="1" applyFont="1" applyAlignment="1">
      <alignment horizontal="left"/>
    </xf>
    <xf numFmtId="3" fontId="44" fillId="0" borderId="0" xfId="94" applyNumberFormat="1" applyFont="1" applyAlignment="1">
      <alignment horizontal="right"/>
    </xf>
    <xf numFmtId="0" fontId="15" fillId="0" borderId="41" xfId="94" applyFont="1" applyBorder="1" applyAlignment="1">
      <alignment horizontal="center"/>
    </xf>
    <xf numFmtId="0" fontId="44" fillId="0" borderId="9" xfId="94" applyFont="1" applyFill="1" applyBorder="1" applyAlignment="1">
      <alignment horizontal="center" vertical="center"/>
    </xf>
    <xf numFmtId="9" fontId="44" fillId="0" borderId="42" xfId="94" applyNumberFormat="1" applyFont="1" applyFill="1" applyBorder="1" applyAlignment="1">
      <alignment horizontal="center" vertical="center" wrapText="1"/>
    </xf>
    <xf numFmtId="3" fontId="44" fillId="0" borderId="42" xfId="94" applyNumberFormat="1" applyFont="1" applyFill="1" applyBorder="1" applyAlignment="1">
      <alignment horizontal="center" wrapText="1"/>
    </xf>
    <xf numFmtId="0" fontId="44" fillId="0" borderId="43" xfId="94" applyFont="1" applyFill="1" applyBorder="1" applyAlignment="1">
      <alignment horizontal="center" vertical="center" wrapText="1"/>
    </xf>
    <xf numFmtId="9" fontId="44" fillId="0" borderId="43" xfId="94" applyNumberFormat="1" applyFont="1" applyFill="1" applyBorder="1" applyAlignment="1">
      <alignment horizontal="center" vertical="center" wrapText="1"/>
    </xf>
    <xf numFmtId="0" fontId="44" fillId="0" borderId="44" xfId="94" applyFont="1" applyFill="1" applyBorder="1" applyAlignment="1">
      <alignment horizontal="center" vertical="center" wrapText="1"/>
    </xf>
    <xf numFmtId="0" fontId="44" fillId="0" borderId="10" xfId="94" applyFont="1" applyBorder="1" applyAlignment="1">
      <alignment horizontal="center" vertical="center" wrapText="1"/>
    </xf>
    <xf numFmtId="0" fontId="15" fillId="0" borderId="45" xfId="94" applyFont="1" applyBorder="1" applyAlignment="1">
      <alignment horizontal="center" vertical="center" wrapText="1"/>
    </xf>
    <xf numFmtId="0" fontId="44" fillId="0" borderId="8" xfId="94" applyFont="1" applyBorder="1" applyAlignment="1">
      <alignment horizontal="center" wrapText="1"/>
    </xf>
    <xf numFmtId="10" fontId="44" fillId="0" borderId="46" xfId="94" applyNumberFormat="1" applyFont="1" applyBorder="1"/>
    <xf numFmtId="3" fontId="44" fillId="0" borderId="46" xfId="94" applyNumberFormat="1" applyFont="1" applyBorder="1"/>
    <xf numFmtId="3" fontId="44" fillId="0" borderId="16" xfId="94" applyNumberFormat="1" applyFont="1" applyBorder="1"/>
    <xf numFmtId="10" fontId="44" fillId="0" borderId="16" xfId="94" applyNumberFormat="1" applyFont="1" applyBorder="1" applyAlignment="1">
      <alignment horizontal="center"/>
    </xf>
    <xf numFmtId="180" fontId="44" fillId="0" borderId="46" xfId="94" applyNumberFormat="1" applyFont="1" applyBorder="1" applyAlignment="1">
      <alignment horizontal="center"/>
    </xf>
    <xf numFmtId="3" fontId="44" fillId="0" borderId="7" xfId="94" applyNumberFormat="1" applyFont="1" applyBorder="1" applyAlignment="1">
      <alignment horizontal="center"/>
    </xf>
    <xf numFmtId="3" fontId="15" fillId="0" borderId="18" xfId="94" applyNumberFormat="1" applyFont="1" applyBorder="1"/>
    <xf numFmtId="0" fontId="44" fillId="0" borderId="12" xfId="94" applyFont="1" applyBorder="1" applyAlignment="1">
      <alignment horizontal="center"/>
    </xf>
    <xf numFmtId="10" fontId="44" fillId="0" borderId="2" xfId="94" applyNumberFormat="1" applyFont="1" applyBorder="1"/>
    <xf numFmtId="3" fontId="44" fillId="0" borderId="2" xfId="94" applyNumberFormat="1" applyFont="1" applyBorder="1"/>
    <xf numFmtId="3" fontId="44" fillId="0" borderId="3" xfId="94" applyNumberFormat="1" applyFont="1" applyBorder="1"/>
    <xf numFmtId="10" fontId="44" fillId="0" borderId="3" xfId="94" applyNumberFormat="1" applyFont="1" applyBorder="1" applyAlignment="1">
      <alignment horizontal="center"/>
    </xf>
    <xf numFmtId="180" fontId="44" fillId="0" borderId="2" xfId="94" applyNumberFormat="1" applyFont="1" applyBorder="1" applyAlignment="1">
      <alignment horizontal="center"/>
    </xf>
    <xf numFmtId="3" fontId="44" fillId="0" borderId="13" xfId="94" applyNumberFormat="1" applyFont="1" applyBorder="1" applyAlignment="1">
      <alignment horizontal="center"/>
    </xf>
    <xf numFmtId="3" fontId="15" fillId="0" borderId="21" xfId="94" applyNumberFormat="1" applyFont="1" applyBorder="1"/>
    <xf numFmtId="3" fontId="44" fillId="7" borderId="0" xfId="94" applyNumberFormat="1" applyFont="1" applyFill="1"/>
    <xf numFmtId="0" fontId="44" fillId="0" borderId="5" xfId="94" applyFont="1" applyBorder="1"/>
    <xf numFmtId="3" fontId="15" fillId="0" borderId="5" xfId="94" applyNumberFormat="1" applyFont="1" applyBorder="1"/>
    <xf numFmtId="3" fontId="44" fillId="7" borderId="5" xfId="94" applyNumberFormat="1" applyFont="1" applyFill="1" applyBorder="1"/>
    <xf numFmtId="0" fontId="44" fillId="0" borderId="14" xfId="94" applyFont="1" applyBorder="1" applyAlignment="1">
      <alignment horizontal="center"/>
    </xf>
    <xf numFmtId="10" fontId="44" fillId="0" borderId="17" xfId="94" applyNumberFormat="1" applyFont="1" applyBorder="1"/>
    <xf numFmtId="3" fontId="44" fillId="0" borderId="17" xfId="94" applyNumberFormat="1" applyFont="1" applyBorder="1"/>
    <xf numFmtId="3" fontId="44" fillId="0" borderId="47" xfId="94" applyNumberFormat="1" applyFont="1" applyBorder="1"/>
    <xf numFmtId="10" fontId="44" fillId="0" borderId="47" xfId="94" applyNumberFormat="1" applyFont="1" applyBorder="1" applyAlignment="1">
      <alignment horizontal="center"/>
    </xf>
    <xf numFmtId="180" fontId="44" fillId="0" borderId="17" xfId="94" applyNumberFormat="1" applyFont="1" applyBorder="1" applyAlignment="1">
      <alignment horizontal="center"/>
    </xf>
    <xf numFmtId="3" fontId="44" fillId="0" borderId="15" xfId="94" applyNumberFormat="1" applyFont="1" applyBorder="1" applyAlignment="1">
      <alignment horizontal="center"/>
    </xf>
    <xf numFmtId="3" fontId="15" fillId="0" borderId="22" xfId="94" applyNumberFormat="1" applyFont="1" applyBorder="1"/>
    <xf numFmtId="0" fontId="15" fillId="0" borderId="20" xfId="94" applyFont="1" applyBorder="1" applyAlignment="1">
      <alignment horizontal="center"/>
    </xf>
    <xf numFmtId="10" fontId="15" fillId="0" borderId="48" xfId="94" applyNumberFormat="1" applyFont="1" applyBorder="1"/>
    <xf numFmtId="10" fontId="15" fillId="0" borderId="26" xfId="94" applyNumberFormat="1" applyFont="1" applyBorder="1"/>
    <xf numFmtId="3" fontId="15" fillId="0" borderId="11" xfId="94" applyNumberFormat="1" applyFont="1" applyBorder="1"/>
    <xf numFmtId="3" fontId="15" fillId="0" borderId="45" xfId="94" applyNumberFormat="1" applyFont="1" applyBorder="1"/>
    <xf numFmtId="10" fontId="44" fillId="0" borderId="0" xfId="94" applyNumberFormat="1" applyFont="1"/>
    <xf numFmtId="0" fontId="15" fillId="0" borderId="2" xfId="94" applyFont="1" applyBorder="1" applyAlignment="1">
      <alignment horizontal="center"/>
    </xf>
    <xf numFmtId="180" fontId="15" fillId="0" borderId="2" xfId="94" applyNumberFormat="1" applyFont="1" applyBorder="1" applyAlignment="1">
      <alignment horizontal="center"/>
    </xf>
    <xf numFmtId="0" fontId="15" fillId="0" borderId="0" xfId="94" applyFont="1" applyAlignment="1">
      <alignment horizontal="center"/>
    </xf>
    <xf numFmtId="0" fontId="44" fillId="0" borderId="2" xfId="94" applyFont="1" applyBorder="1" applyAlignment="1">
      <alignment vertical="center" wrapText="1"/>
    </xf>
    <xf numFmtId="170" fontId="15" fillId="7" borderId="0" xfId="25" applyNumberFormat="1" applyFont="1" applyFill="1"/>
    <xf numFmtId="10" fontId="44" fillId="0" borderId="48" xfId="94" applyNumberFormat="1" applyFont="1" applyBorder="1"/>
    <xf numFmtId="172" fontId="44" fillId="0" borderId="0" xfId="86" applyFont="1"/>
    <xf numFmtId="43" fontId="15" fillId="0" borderId="2" xfId="25" applyFont="1" applyBorder="1" applyAlignment="1">
      <alignment horizontal="center"/>
    </xf>
    <xf numFmtId="43" fontId="15" fillId="0" borderId="0" xfId="25" applyFont="1" applyAlignment="1">
      <alignment horizontal="center"/>
    </xf>
    <xf numFmtId="43" fontId="44" fillId="0" borderId="2" xfId="25" applyFont="1" applyBorder="1" applyAlignment="1">
      <alignment vertical="center" wrapText="1"/>
    </xf>
    <xf numFmtId="43" fontId="44" fillId="0" borderId="2" xfId="25" applyFont="1" applyBorder="1"/>
    <xf numFmtId="43" fontId="44" fillId="0" borderId="0" xfId="25" applyFont="1"/>
    <xf numFmtId="170" fontId="44" fillId="0" borderId="0" xfId="25" applyNumberFormat="1" applyFont="1"/>
    <xf numFmtId="0" fontId="44" fillId="31" borderId="0" xfId="94" applyFont="1" applyFill="1"/>
    <xf numFmtId="3" fontId="44" fillId="31" borderId="2" xfId="94" applyNumberFormat="1" applyFont="1" applyFill="1" applyBorder="1"/>
    <xf numFmtId="170" fontId="44" fillId="31" borderId="0" xfId="25" applyNumberFormat="1" applyFont="1" applyFill="1"/>
    <xf numFmtId="0" fontId="20" fillId="0" borderId="25" xfId="0" applyFont="1" applyFill="1" applyBorder="1" applyAlignment="1">
      <alignment horizontal="right" vertical="center"/>
    </xf>
    <xf numFmtId="0" fontId="20" fillId="0" borderId="25" xfId="0" applyFont="1" applyFill="1" applyBorder="1" applyAlignment="1">
      <alignment vertical="center"/>
    </xf>
    <xf numFmtId="41" fontId="20" fillId="0" borderId="0" xfId="16" applyFont="1" applyFill="1" applyBorder="1" applyAlignment="1">
      <alignment vertical="center"/>
    </xf>
    <xf numFmtId="172" fontId="22" fillId="0" borderId="0" xfId="109" applyFont="1" applyAlignment="1">
      <alignment horizontal="center" vertical="center"/>
    </xf>
    <xf numFmtId="0" fontId="16" fillId="0" borderId="0" xfId="0" applyFont="1" applyAlignment="1"/>
    <xf numFmtId="172" fontId="22" fillId="0" borderId="0" xfId="109" applyFont="1" applyAlignment="1">
      <alignment horizontal="left" vertical="center" wrapText="1"/>
    </xf>
    <xf numFmtId="172" fontId="22" fillId="0" borderId="0" xfId="109" applyFont="1" applyAlignment="1">
      <alignment horizontal="left" vertical="center"/>
    </xf>
    <xf numFmtId="170" fontId="22" fillId="0" borderId="0" xfId="25" applyNumberFormat="1" applyFont="1" applyAlignment="1">
      <alignment horizontal="center" vertical="center"/>
    </xf>
    <xf numFmtId="181" fontId="22" fillId="0" borderId="0" xfId="109" applyNumberFormat="1" applyFont="1" applyAlignment="1">
      <alignment horizontal="center" vertical="center"/>
    </xf>
    <xf numFmtId="172" fontId="22" fillId="2" borderId="0" xfId="109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172" fontId="18" fillId="0" borderId="0" xfId="93" applyFont="1" applyAlignment="1">
      <alignment horizontal="center" vertical="center"/>
    </xf>
    <xf numFmtId="172" fontId="18" fillId="2" borderId="0" xfId="93" applyFont="1" applyFill="1" applyBorder="1" applyAlignment="1">
      <alignment horizontal="center" vertical="center"/>
    </xf>
    <xf numFmtId="172" fontId="18" fillId="2" borderId="0" xfId="97" applyFont="1" applyFill="1" applyBorder="1" applyAlignment="1">
      <alignment horizontal="center" vertical="center"/>
    </xf>
    <xf numFmtId="172" fontId="18" fillId="2" borderId="0" xfId="97" applyFont="1" applyFill="1" applyBorder="1" applyAlignment="1">
      <alignment horizontal="center" vertical="center" wrapText="1"/>
    </xf>
    <xf numFmtId="172" fontId="18" fillId="2" borderId="28" xfId="93" applyFont="1" applyFill="1" applyBorder="1" applyAlignment="1">
      <alignment horizontal="center" vertical="center" wrapText="1"/>
    </xf>
    <xf numFmtId="172" fontId="18" fillId="0" borderId="28" xfId="93" applyFont="1" applyFill="1" applyBorder="1" applyAlignment="1">
      <alignment horizontal="left" vertical="center" wrapText="1"/>
    </xf>
    <xf numFmtId="3" fontId="18" fillId="0" borderId="28" xfId="93" applyNumberFormat="1" applyFont="1" applyFill="1" applyBorder="1" applyAlignment="1">
      <alignment horizontal="center" vertical="center" wrapText="1"/>
    </xf>
    <xf numFmtId="172" fontId="18" fillId="0" borderId="28" xfId="93" applyFont="1" applyFill="1" applyBorder="1" applyAlignment="1">
      <alignment horizontal="center" vertical="center" wrapText="1"/>
    </xf>
    <xf numFmtId="170" fontId="18" fillId="0" borderId="28" xfId="25" applyNumberFormat="1" applyFont="1" applyFill="1" applyBorder="1" applyAlignment="1">
      <alignment horizontal="center" vertical="center" wrapText="1"/>
    </xf>
    <xf numFmtId="9" fontId="18" fillId="0" borderId="28" xfId="93" applyNumberFormat="1" applyFont="1" applyFill="1" applyBorder="1" applyAlignment="1">
      <alignment horizontal="center" vertical="center" wrapText="1"/>
    </xf>
    <xf numFmtId="181" fontId="18" fillId="0" borderId="28" xfId="93" applyNumberFormat="1" applyFont="1" applyFill="1" applyBorder="1" applyAlignment="1">
      <alignment horizontal="center" vertical="center" wrapText="1"/>
    </xf>
    <xf numFmtId="172" fontId="18" fillId="0" borderId="28" xfId="93" applyFont="1" applyFill="1" applyBorder="1" applyAlignment="1">
      <alignment vertical="center" wrapText="1"/>
    </xf>
    <xf numFmtId="170" fontId="17" fillId="5" borderId="28" xfId="93" applyNumberFormat="1" applyFont="1" applyFill="1" applyBorder="1" applyAlignment="1">
      <alignment horizontal="center" vertical="center" wrapText="1"/>
    </xf>
    <xf numFmtId="172" fontId="18" fillId="5" borderId="28" xfId="93" applyFont="1" applyFill="1" applyBorder="1" applyAlignment="1">
      <alignment horizontal="center" vertical="center" wrapText="1"/>
    </xf>
    <xf numFmtId="181" fontId="18" fillId="5" borderId="28" xfId="93" applyNumberFormat="1" applyFont="1" applyFill="1" applyBorder="1" applyAlignment="1">
      <alignment horizontal="center" vertical="center" wrapText="1"/>
    </xf>
    <xf numFmtId="172" fontId="18" fillId="5" borderId="28" xfId="93" applyFont="1" applyFill="1" applyBorder="1" applyAlignment="1">
      <alignment horizontal="left" vertical="center" wrapText="1"/>
    </xf>
    <xf numFmtId="181" fontId="17" fillId="33" borderId="29" xfId="93" applyNumberFormat="1" applyFont="1" applyFill="1" applyBorder="1" applyAlignment="1">
      <alignment horizontal="center" vertical="center" wrapText="1"/>
    </xf>
    <xf numFmtId="172" fontId="22" fillId="2" borderId="0" xfId="109" applyFont="1" applyFill="1" applyAlignment="1">
      <alignment horizontal="center" vertical="center"/>
    </xf>
    <xf numFmtId="172" fontId="18" fillId="2" borderId="28" xfId="93" applyFont="1" applyFill="1" applyBorder="1" applyAlignment="1">
      <alignment horizontal="center" vertical="center"/>
    </xf>
    <xf numFmtId="3" fontId="18" fillId="2" borderId="31" xfId="28" applyNumberFormat="1" applyFont="1" applyFill="1" applyBorder="1" applyAlignment="1">
      <alignment horizontal="left" vertical="center" wrapText="1"/>
    </xf>
    <xf numFmtId="172" fontId="18" fillId="2" borderId="28" xfId="93" applyFont="1" applyFill="1" applyBorder="1" applyAlignment="1">
      <alignment horizontal="left" vertical="center" wrapText="1"/>
    </xf>
    <xf numFmtId="172" fontId="18" fillId="2" borderId="28" xfId="93" applyFont="1" applyFill="1" applyBorder="1" applyAlignment="1">
      <alignment vertical="center" wrapText="1"/>
    </xf>
    <xf numFmtId="9" fontId="18" fillId="2" borderId="28" xfId="93" applyNumberFormat="1" applyFont="1" applyFill="1" applyBorder="1" applyAlignment="1">
      <alignment horizontal="center" vertical="center" wrapText="1"/>
    </xf>
    <xf numFmtId="37" fontId="18" fillId="2" borderId="28" xfId="93" applyNumberFormat="1" applyFont="1" applyFill="1" applyBorder="1" applyAlignment="1">
      <alignment horizontal="right" vertical="center" wrapText="1"/>
    </xf>
    <xf numFmtId="172" fontId="18" fillId="0" borderId="30" xfId="93" applyFont="1" applyBorder="1" applyAlignment="1">
      <alignment horizontal="center" vertical="center"/>
    </xf>
    <xf numFmtId="17" fontId="22" fillId="2" borderId="31" xfId="131" applyNumberFormat="1" applyFont="1" applyFill="1" applyBorder="1" applyAlignment="1">
      <alignment horizontal="center" vertical="center"/>
    </xf>
    <xf numFmtId="172" fontId="18" fillId="2" borderId="0" xfId="109" applyFont="1" applyFill="1" applyBorder="1" applyAlignment="1">
      <alignment horizontal="center" vertical="center"/>
    </xf>
    <xf numFmtId="181" fontId="18" fillId="5" borderId="27" xfId="93" applyNumberFormat="1" applyFont="1" applyFill="1" applyBorder="1" applyAlignment="1">
      <alignment horizontal="center" vertical="center" wrapText="1"/>
    </xf>
    <xf numFmtId="172" fontId="18" fillId="5" borderId="27" xfId="93" applyFont="1" applyFill="1" applyBorder="1" applyAlignment="1">
      <alignment horizontal="left" vertical="center" wrapText="1"/>
    </xf>
    <xf numFmtId="172" fontId="18" fillId="5" borderId="27" xfId="93" applyFont="1" applyFill="1" applyBorder="1" applyAlignment="1">
      <alignment horizontal="center" vertical="center" wrapText="1"/>
    </xf>
    <xf numFmtId="172" fontId="18" fillId="0" borderId="52" xfId="93" applyFont="1" applyFill="1" applyBorder="1" applyAlignment="1">
      <alignment horizontal="center" vertical="center" wrapText="1"/>
    </xf>
    <xf numFmtId="3" fontId="18" fillId="2" borderId="28" xfId="28" applyNumberFormat="1" applyFont="1" applyFill="1" applyBorder="1" applyAlignment="1">
      <alignment horizontal="left" vertical="center" wrapText="1"/>
    </xf>
    <xf numFmtId="3" fontId="18" fillId="2" borderId="28" xfId="93" applyNumberFormat="1" applyFont="1" applyFill="1" applyBorder="1" applyAlignment="1">
      <alignment horizontal="left" vertical="center" wrapText="1"/>
    </xf>
    <xf numFmtId="3" fontId="18" fillId="2" borderId="28" xfId="93" applyNumberFormat="1" applyFont="1" applyFill="1" applyBorder="1" applyAlignment="1">
      <alignment horizontal="center" vertical="center" wrapText="1"/>
    </xf>
    <xf numFmtId="170" fontId="18" fillId="2" borderId="28" xfId="25" applyNumberFormat="1" applyFont="1" applyFill="1" applyBorder="1" applyAlignment="1">
      <alignment vertical="center" wrapText="1"/>
    </xf>
    <xf numFmtId="9" fontId="18" fillId="0" borderId="28" xfId="22" applyFont="1" applyBorder="1" applyAlignment="1">
      <alignment horizontal="center" vertical="center"/>
    </xf>
    <xf numFmtId="170" fontId="18" fillId="2" borderId="28" xfId="25" applyNumberFormat="1" applyFont="1" applyFill="1" applyBorder="1" applyAlignment="1">
      <alignment horizontal="center" vertical="center"/>
    </xf>
    <xf numFmtId="181" fontId="18" fillId="0" borderId="28" xfId="93" applyNumberFormat="1" applyFont="1" applyFill="1" applyBorder="1" applyAlignment="1">
      <alignment horizontal="left" vertical="center" wrapText="1"/>
    </xf>
    <xf numFmtId="172" fontId="22" fillId="0" borderId="0" xfId="109" applyFont="1" applyBorder="1" applyAlignment="1">
      <alignment horizontal="center" vertical="center"/>
    </xf>
    <xf numFmtId="170" fontId="17" fillId="5" borderId="27" xfId="93" applyNumberFormat="1" applyFont="1" applyFill="1" applyBorder="1" applyAlignment="1">
      <alignment horizontal="center" vertical="center" wrapText="1"/>
    </xf>
    <xf numFmtId="172" fontId="18" fillId="0" borderId="0" xfId="93" applyFont="1" applyBorder="1" applyAlignment="1">
      <alignment horizontal="center" vertical="center"/>
    </xf>
    <xf numFmtId="172" fontId="18" fillId="0" borderId="5" xfId="93" applyFont="1" applyFill="1" applyBorder="1" applyAlignment="1">
      <alignment horizontal="center" vertical="center" wrapText="1"/>
    </xf>
    <xf numFmtId="172" fontId="18" fillId="0" borderId="0" xfId="93" applyFont="1" applyFill="1" applyBorder="1" applyAlignment="1">
      <alignment horizontal="left" vertical="center" wrapText="1"/>
    </xf>
    <xf numFmtId="172" fontId="18" fillId="0" borderId="0" xfId="93" applyFont="1" applyFill="1" applyBorder="1" applyAlignment="1">
      <alignment horizontal="center" vertical="center" wrapText="1"/>
    </xf>
    <xf numFmtId="170" fontId="18" fillId="0" borderId="0" xfId="25" applyNumberFormat="1" applyFont="1" applyFill="1" applyBorder="1" applyAlignment="1">
      <alignment horizontal="center" vertical="center" wrapText="1"/>
    </xf>
    <xf numFmtId="181" fontId="18" fillId="0" borderId="0" xfId="93" applyNumberFormat="1" applyFont="1" applyFill="1" applyBorder="1" applyAlignment="1">
      <alignment horizontal="center" vertical="center" wrapText="1"/>
    </xf>
    <xf numFmtId="181" fontId="17" fillId="33" borderId="30" xfId="93" applyNumberFormat="1" applyFont="1" applyFill="1" applyBorder="1" applyAlignment="1">
      <alignment horizontal="center" vertical="center" wrapText="1"/>
    </xf>
    <xf numFmtId="172" fontId="18" fillId="0" borderId="28" xfId="93" applyFont="1" applyBorder="1" applyAlignment="1">
      <alignment horizontal="center" vertical="center"/>
    </xf>
    <xf numFmtId="172" fontId="18" fillId="2" borderId="30" xfId="93" applyFont="1" applyFill="1" applyBorder="1" applyAlignment="1">
      <alignment horizontal="center" vertical="center" wrapText="1"/>
    </xf>
    <xf numFmtId="172" fontId="18" fillId="2" borderId="29" xfId="93" applyFont="1" applyFill="1" applyBorder="1" applyAlignment="1">
      <alignment vertical="center" wrapText="1"/>
    </xf>
    <xf numFmtId="3" fontId="18" fillId="2" borderId="29" xfId="28" applyNumberFormat="1" applyFont="1" applyFill="1" applyBorder="1" applyAlignment="1">
      <alignment vertical="center" wrapText="1"/>
    </xf>
    <xf numFmtId="172" fontId="18" fillId="2" borderId="29" xfId="93" applyFont="1" applyFill="1" applyBorder="1" applyAlignment="1">
      <alignment horizontal="center" vertical="center" wrapText="1"/>
    </xf>
    <xf numFmtId="170" fontId="18" fillId="2" borderId="29" xfId="25" applyNumberFormat="1" applyFont="1" applyFill="1" applyBorder="1" applyAlignment="1">
      <alignment vertical="center" wrapText="1"/>
    </xf>
    <xf numFmtId="17" fontId="22" fillId="2" borderId="62" xfId="131" applyNumberFormat="1" applyFont="1" applyFill="1" applyBorder="1" applyAlignment="1">
      <alignment horizontal="center" vertical="center"/>
    </xf>
    <xf numFmtId="170" fontId="16" fillId="5" borderId="28" xfId="109" applyNumberFormat="1" applyFont="1" applyFill="1" applyBorder="1" applyAlignment="1">
      <alignment horizontal="left" vertical="center"/>
    </xf>
    <xf numFmtId="172" fontId="22" fillId="5" borderId="28" xfId="109" applyFont="1" applyFill="1" applyBorder="1" applyAlignment="1">
      <alignment horizontal="center" vertical="center"/>
    </xf>
    <xf numFmtId="181" fontId="22" fillId="5" borderId="28" xfId="109" applyNumberFormat="1" applyFont="1" applyFill="1" applyBorder="1" applyAlignment="1">
      <alignment horizontal="center" vertical="center"/>
    </xf>
    <xf numFmtId="3" fontId="18" fillId="0" borderId="0" xfId="28" applyNumberFormat="1" applyFont="1" applyFill="1" applyBorder="1" applyAlignment="1">
      <alignment horizontal="left" vertical="center" wrapText="1"/>
    </xf>
    <xf numFmtId="3" fontId="18" fillId="0" borderId="0" xfId="93" applyNumberFormat="1" applyFont="1" applyFill="1" applyBorder="1" applyAlignment="1">
      <alignment horizontal="left" vertical="center" wrapText="1"/>
    </xf>
    <xf numFmtId="9" fontId="18" fillId="0" borderId="0" xfId="93" applyNumberFormat="1" applyFont="1" applyFill="1" applyBorder="1" applyAlignment="1">
      <alignment horizontal="center" vertical="center" wrapText="1"/>
    </xf>
    <xf numFmtId="14" fontId="18" fillId="0" borderId="0" xfId="93" applyNumberFormat="1" applyFont="1" applyFill="1" applyBorder="1" applyAlignment="1">
      <alignment horizontal="center" vertical="center" wrapText="1"/>
    </xf>
    <xf numFmtId="172" fontId="18" fillId="0" borderId="0" xfId="109" applyFont="1" applyAlignment="1">
      <alignment horizontal="center" vertical="center"/>
    </xf>
    <xf numFmtId="3" fontId="18" fillId="2" borderId="29" xfId="93" applyNumberFormat="1" applyFont="1" applyFill="1" applyBorder="1" applyAlignment="1">
      <alignment horizontal="center" vertical="center" wrapText="1"/>
    </xf>
    <xf numFmtId="9" fontId="18" fillId="2" borderId="29" xfId="93" applyNumberFormat="1" applyFont="1" applyFill="1" applyBorder="1" applyAlignment="1">
      <alignment horizontal="center" vertical="center" wrapText="1"/>
    </xf>
    <xf numFmtId="9" fontId="18" fillId="2" borderId="29" xfId="22" applyFont="1" applyFill="1" applyBorder="1" applyAlignment="1">
      <alignment horizontal="center" vertical="center"/>
    </xf>
    <xf numFmtId="170" fontId="18" fillId="2" borderId="29" xfId="25" applyNumberFormat="1" applyFont="1" applyFill="1" applyBorder="1" applyAlignment="1">
      <alignment horizontal="center" vertical="center"/>
    </xf>
    <xf numFmtId="170" fontId="18" fillId="2" borderId="64" xfId="25" applyNumberFormat="1" applyFont="1" applyFill="1" applyBorder="1" applyAlignment="1">
      <alignment horizontal="center" vertical="center"/>
    </xf>
    <xf numFmtId="17" fontId="22" fillId="2" borderId="65" xfId="131" applyNumberFormat="1" applyFont="1" applyFill="1" applyBorder="1" applyAlignment="1">
      <alignment horizontal="center" vertical="center"/>
    </xf>
    <xf numFmtId="17" fontId="22" fillId="2" borderId="66" xfId="131" applyNumberFormat="1" applyFont="1" applyFill="1" applyBorder="1" applyAlignment="1">
      <alignment horizontal="center" vertical="center"/>
    </xf>
    <xf numFmtId="17" fontId="22" fillId="2" borderId="67" xfId="131" applyNumberFormat="1" applyFont="1" applyFill="1" applyBorder="1" applyAlignment="1">
      <alignment horizontal="center" vertical="center"/>
    </xf>
    <xf numFmtId="172" fontId="22" fillId="0" borderId="2" xfId="109" applyFont="1" applyFill="1" applyBorder="1" applyAlignment="1">
      <alignment horizontal="center" vertical="center"/>
    </xf>
    <xf numFmtId="172" fontId="18" fillId="0" borderId="0" xfId="109" applyFont="1" applyAlignment="1">
      <alignment horizontal="left" vertical="center" wrapText="1"/>
    </xf>
    <xf numFmtId="172" fontId="18" fillId="0" borderId="0" xfId="109" applyFont="1" applyAlignment="1">
      <alignment horizontal="left" vertical="center"/>
    </xf>
    <xf numFmtId="181" fontId="18" fillId="0" borderId="0" xfId="109" applyNumberFormat="1" applyFont="1" applyAlignment="1">
      <alignment horizontal="center" vertical="center"/>
    </xf>
    <xf numFmtId="170" fontId="17" fillId="33" borderId="31" xfId="25" applyNumberFormat="1" applyFont="1" applyFill="1" applyBorder="1" applyAlignment="1">
      <alignment horizontal="center" vertical="center" wrapText="1"/>
    </xf>
    <xf numFmtId="172" fontId="18" fillId="2" borderId="52" xfId="93" applyFont="1" applyFill="1" applyBorder="1" applyAlignment="1">
      <alignment horizontal="center" vertical="center" wrapText="1"/>
    </xf>
    <xf numFmtId="3" fontId="18" fillId="2" borderId="31" xfId="93" applyNumberFormat="1" applyFont="1" applyFill="1" applyBorder="1" applyAlignment="1">
      <alignment horizontal="left" vertical="center" wrapText="1"/>
    </xf>
    <xf numFmtId="172" fontId="18" fillId="2" borderId="31" xfId="93" applyFont="1" applyFill="1" applyBorder="1" applyAlignment="1">
      <alignment horizontal="center" vertical="center" wrapText="1"/>
    </xf>
    <xf numFmtId="170" fontId="18" fillId="2" borderId="31" xfId="25" applyNumberFormat="1" applyFont="1" applyFill="1" applyBorder="1" applyAlignment="1">
      <alignment vertical="center" wrapText="1"/>
    </xf>
    <xf numFmtId="9" fontId="18" fillId="2" borderId="31" xfId="93" applyNumberFormat="1" applyFont="1" applyFill="1" applyBorder="1" applyAlignment="1">
      <alignment vertical="center" wrapText="1"/>
    </xf>
    <xf numFmtId="9" fontId="18" fillId="2" borderId="31" xfId="22" applyFont="1" applyFill="1" applyBorder="1" applyAlignment="1">
      <alignment horizontal="center" vertical="center"/>
    </xf>
    <xf numFmtId="17" fontId="22" fillId="0" borderId="31" xfId="131" applyNumberFormat="1" applyFont="1" applyBorder="1" applyAlignment="1">
      <alignment horizontal="center" vertical="center"/>
    </xf>
    <xf numFmtId="172" fontId="18" fillId="5" borderId="3" xfId="93" applyFont="1" applyFill="1" applyBorder="1" applyAlignment="1">
      <alignment horizontal="center" vertical="center" wrapText="1"/>
    </xf>
    <xf numFmtId="170" fontId="16" fillId="5" borderId="31" xfId="109" applyNumberFormat="1" applyFont="1" applyFill="1" applyBorder="1" applyAlignment="1">
      <alignment horizontal="center" vertical="center"/>
    </xf>
    <xf numFmtId="172" fontId="22" fillId="5" borderId="31" xfId="109" applyFont="1" applyFill="1" applyBorder="1" applyAlignment="1">
      <alignment horizontal="center" vertical="center"/>
    </xf>
    <xf numFmtId="172" fontId="22" fillId="0" borderId="0" xfId="109" applyFont="1" applyFill="1" applyAlignment="1">
      <alignment horizontal="center" vertical="center"/>
    </xf>
    <xf numFmtId="172" fontId="18" fillId="2" borderId="70" xfId="93" applyFont="1" applyFill="1" applyBorder="1" applyAlignment="1">
      <alignment vertical="center" wrapText="1"/>
    </xf>
    <xf numFmtId="3" fontId="18" fillId="2" borderId="54" xfId="93" applyNumberFormat="1" applyFont="1" applyFill="1" applyBorder="1" applyAlignment="1">
      <alignment vertical="center" wrapText="1"/>
    </xf>
    <xf numFmtId="3" fontId="18" fillId="2" borderId="71" xfId="93" applyNumberFormat="1" applyFont="1" applyFill="1" applyBorder="1" applyAlignment="1">
      <alignment vertical="center" wrapText="1"/>
    </xf>
    <xf numFmtId="170" fontId="18" fillId="2" borderId="72" xfId="25" applyNumberFormat="1" applyFont="1" applyFill="1" applyBorder="1" applyAlignment="1">
      <alignment vertical="center" wrapText="1"/>
    </xf>
    <xf numFmtId="9" fontId="18" fillId="2" borderId="72" xfId="93" applyNumberFormat="1" applyFont="1" applyFill="1" applyBorder="1" applyAlignment="1">
      <alignment vertical="center" wrapText="1"/>
    </xf>
    <xf numFmtId="9" fontId="18" fillId="2" borderId="72" xfId="22" applyFont="1" applyFill="1" applyBorder="1" applyAlignment="1">
      <alignment vertical="center"/>
    </xf>
    <xf numFmtId="170" fontId="18" fillId="2" borderId="72" xfId="25" applyNumberFormat="1" applyFont="1" applyFill="1" applyBorder="1" applyAlignment="1">
      <alignment vertical="center"/>
    </xf>
    <xf numFmtId="170" fontId="18" fillId="2" borderId="67" xfId="25" applyNumberFormat="1" applyFont="1" applyFill="1" applyBorder="1" applyAlignment="1">
      <alignment vertical="center"/>
    </xf>
    <xf numFmtId="17" fontId="22" fillId="2" borderId="73" xfId="131" applyNumberFormat="1" applyFont="1" applyFill="1" applyBorder="1" applyAlignment="1">
      <alignment horizontal="center" vertical="center"/>
    </xf>
    <xf numFmtId="172" fontId="18" fillId="2" borderId="68" xfId="93" applyFont="1" applyFill="1" applyBorder="1" applyAlignment="1">
      <alignment vertical="center" wrapText="1"/>
    </xf>
    <xf numFmtId="172" fontId="18" fillId="2" borderId="69" xfId="93" applyFont="1" applyFill="1" applyBorder="1" applyAlignment="1">
      <alignment vertical="center" wrapText="1"/>
    </xf>
    <xf numFmtId="170" fontId="16" fillId="5" borderId="31" xfId="109" applyNumberFormat="1" applyFont="1" applyFill="1" applyBorder="1" applyAlignment="1">
      <alignment horizontal="left" vertical="center"/>
    </xf>
    <xf numFmtId="170" fontId="18" fillId="2" borderId="31" xfId="93" applyNumberFormat="1" applyFont="1" applyFill="1" applyBorder="1" applyAlignment="1">
      <alignment vertical="center" wrapText="1"/>
    </xf>
    <xf numFmtId="9" fontId="18" fillId="2" borderId="31" xfId="22" applyFont="1" applyFill="1" applyBorder="1" applyAlignment="1">
      <alignment horizontal="center" vertical="center" wrapText="1"/>
    </xf>
    <xf numFmtId="170" fontId="16" fillId="2" borderId="31" xfId="25" applyNumberFormat="1" applyFont="1" applyFill="1" applyBorder="1" applyAlignment="1">
      <alignment horizontal="center" vertical="center"/>
    </xf>
    <xf numFmtId="9" fontId="16" fillId="2" borderId="31" xfId="22" applyFont="1" applyFill="1" applyBorder="1" applyAlignment="1">
      <alignment horizontal="center" vertical="center"/>
    </xf>
    <xf numFmtId="41" fontId="16" fillId="0" borderId="0" xfId="0" applyNumberFormat="1" applyFont="1" applyAlignment="1"/>
    <xf numFmtId="0" fontId="24" fillId="6" borderId="4" xfId="0" applyFont="1" applyFill="1" applyBorder="1" applyAlignment="1">
      <alignment horizontal="center" vertical="center"/>
    </xf>
    <xf numFmtId="41" fontId="19" fillId="4" borderId="0" xfId="16" applyFont="1" applyFill="1" applyBorder="1" applyAlignment="1">
      <alignment vertical="center"/>
    </xf>
    <xf numFmtId="0" fontId="44" fillId="0" borderId="0" xfId="94" applyFont="1" applyFill="1"/>
    <xf numFmtId="3" fontId="44" fillId="0" borderId="0" xfId="94" applyNumberFormat="1" applyFont="1" applyFill="1"/>
    <xf numFmtId="0" fontId="44" fillId="0" borderId="5" xfId="94" applyFont="1" applyFill="1" applyBorder="1"/>
    <xf numFmtId="3" fontId="15" fillId="0" borderId="5" xfId="94" applyNumberFormat="1" applyFont="1" applyFill="1" applyBorder="1"/>
    <xf numFmtId="3" fontId="44" fillId="0" borderId="5" xfId="94" applyNumberFormat="1" applyFont="1" applyFill="1" applyBorder="1"/>
    <xf numFmtId="41" fontId="10" fillId="0" borderId="0" xfId="0" applyNumberFormat="1" applyFont="1"/>
    <xf numFmtId="10" fontId="10" fillId="0" borderId="0" xfId="0" applyNumberFormat="1" applyFont="1"/>
    <xf numFmtId="9" fontId="18" fillId="2" borderId="28" xfId="22" applyNumberFormat="1" applyFont="1" applyFill="1" applyBorder="1" applyAlignment="1">
      <alignment horizontal="left" vertical="center" indent="2"/>
    </xf>
    <xf numFmtId="3" fontId="18" fillId="2" borderId="0" xfId="93" applyNumberFormat="1" applyFont="1" applyFill="1" applyBorder="1" applyAlignment="1">
      <alignment horizontal="center" vertical="center" wrapText="1"/>
    </xf>
    <xf numFmtId="174" fontId="18" fillId="2" borderId="31" xfId="93" applyNumberFormat="1" applyFont="1" applyFill="1" applyBorder="1" applyAlignment="1">
      <alignment horizontal="left" vertical="center" wrapText="1"/>
    </xf>
    <xf numFmtId="17" fontId="18" fillId="2" borderId="28" xfId="130" applyNumberFormat="1" applyFont="1" applyFill="1" applyBorder="1" applyAlignment="1">
      <alignment horizontal="center" vertical="center"/>
    </xf>
    <xf numFmtId="17" fontId="22" fillId="0" borderId="31" xfId="131" applyNumberFormat="1" applyFont="1" applyFill="1" applyBorder="1" applyAlignment="1">
      <alignment horizontal="center" vertical="center"/>
    </xf>
    <xf numFmtId="172" fontId="18" fillId="2" borderId="63" xfId="93" applyFont="1" applyFill="1" applyBorder="1" applyAlignment="1">
      <alignment horizontal="left" vertical="center" wrapText="1"/>
    </xf>
    <xf numFmtId="17" fontId="22" fillId="0" borderId="0" xfId="131" applyNumberFormat="1" applyFont="1" applyFill="1" applyBorder="1" applyAlignment="1">
      <alignment horizontal="center" vertical="center"/>
    </xf>
    <xf numFmtId="43" fontId="10" fillId="0" borderId="0" xfId="0" applyNumberFormat="1" applyFont="1"/>
    <xf numFmtId="171" fontId="0" fillId="0" borderId="0" xfId="129" applyNumberFormat="1" applyFont="1"/>
    <xf numFmtId="3" fontId="44" fillId="0" borderId="41" xfId="94" applyNumberFormat="1" applyFont="1" applyBorder="1"/>
    <xf numFmtId="0" fontId="9" fillId="0" borderId="0" xfId="21"/>
    <xf numFmtId="0" fontId="9" fillId="0" borderId="0" xfId="133" applyFont="1" applyBorder="1"/>
    <xf numFmtId="0" fontId="9" fillId="0" borderId="0" xfId="21" applyFont="1" applyBorder="1"/>
    <xf numFmtId="0" fontId="3" fillId="0" borderId="0" xfId="134"/>
    <xf numFmtId="0" fontId="18" fillId="0" borderId="0" xfId="133" applyFont="1" applyFill="1" applyBorder="1" applyAlignment="1">
      <alignment vertical="center" wrapText="1"/>
    </xf>
    <xf numFmtId="4" fontId="53" fillId="34" borderId="2" xfId="21" applyNumberFormat="1" applyFont="1" applyFill="1" applyBorder="1" applyAlignment="1">
      <alignment horizontal="center" vertical="center" wrapText="1"/>
    </xf>
    <xf numFmtId="0" fontId="57" fillId="0" borderId="0" xfId="134" applyFont="1" applyBorder="1"/>
    <xf numFmtId="0" fontId="18" fillId="0" borderId="12" xfId="21" applyFont="1" applyFill="1" applyBorder="1" applyAlignment="1">
      <alignment horizontal="left" vertical="center" wrapText="1"/>
    </xf>
    <xf numFmtId="0" fontId="18" fillId="0" borderId="2" xfId="21" applyFont="1" applyFill="1" applyBorder="1" applyAlignment="1">
      <alignment vertical="center" wrapText="1"/>
    </xf>
    <xf numFmtId="4" fontId="18" fillId="0" borderId="2" xfId="21" applyNumberFormat="1" applyFont="1" applyFill="1" applyBorder="1" applyAlignment="1">
      <alignment vertical="center" wrapText="1"/>
    </xf>
    <xf numFmtId="9" fontId="18" fillId="0" borderId="2" xfId="21" applyNumberFormat="1" applyFont="1" applyFill="1" applyBorder="1" applyAlignment="1">
      <alignment vertical="center" wrapText="1"/>
    </xf>
    <xf numFmtId="0" fontId="18" fillId="0" borderId="13" xfId="21" applyFont="1" applyFill="1" applyBorder="1" applyAlignment="1">
      <alignment vertical="center" wrapText="1"/>
    </xf>
    <xf numFmtId="0" fontId="18" fillId="0" borderId="12" xfId="21" applyFont="1" applyFill="1" applyBorder="1" applyAlignment="1">
      <alignment vertical="center" wrapText="1"/>
    </xf>
    <xf numFmtId="10" fontId="18" fillId="0" borderId="2" xfId="21" applyNumberFormat="1" applyFont="1" applyFill="1" applyBorder="1" applyAlignment="1">
      <alignment vertical="center" wrapText="1"/>
    </xf>
    <xf numFmtId="0" fontId="18" fillId="0" borderId="14" xfId="21" applyFont="1" applyFill="1" applyBorder="1" applyAlignment="1">
      <alignment vertical="center" wrapText="1"/>
    </xf>
    <xf numFmtId="0" fontId="18" fillId="0" borderId="17" xfId="21" applyFont="1" applyFill="1" applyBorder="1" applyAlignment="1">
      <alignment vertical="center" wrapText="1"/>
    </xf>
    <xf numFmtId="4" fontId="18" fillId="0" borderId="17" xfId="21" applyNumberFormat="1" applyFont="1" applyFill="1" applyBorder="1" applyAlignment="1">
      <alignment vertical="center" wrapText="1"/>
    </xf>
    <xf numFmtId="10" fontId="18" fillId="0" borderId="17" xfId="21" applyNumberFormat="1" applyFont="1" applyFill="1" applyBorder="1" applyAlignment="1">
      <alignment vertical="center" wrapText="1"/>
    </xf>
    <xf numFmtId="0" fontId="18" fillId="0" borderId="15" xfId="21" applyFont="1" applyFill="1" applyBorder="1" applyAlignment="1">
      <alignment vertical="center" wrapText="1"/>
    </xf>
    <xf numFmtId="4" fontId="3" fillId="0" borderId="0" xfId="134" applyNumberFormat="1"/>
    <xf numFmtId="10" fontId="3" fillId="0" borderId="0" xfId="134" applyNumberFormat="1"/>
    <xf numFmtId="43" fontId="18" fillId="0" borderId="2" xfId="135" applyFont="1" applyFill="1" applyBorder="1" applyAlignment="1">
      <alignment vertical="center" wrapText="1"/>
    </xf>
    <xf numFmtId="0" fontId="18" fillId="0" borderId="24" xfId="21" applyFont="1" applyFill="1" applyBorder="1" applyAlignment="1">
      <alignment vertical="center" wrapText="1"/>
    </xf>
    <xf numFmtId="43" fontId="18" fillId="0" borderId="24" xfId="135" applyFont="1" applyFill="1" applyBorder="1" applyAlignment="1">
      <alignment vertical="center" wrapText="1"/>
    </xf>
    <xf numFmtId="10" fontId="18" fillId="0" borderId="24" xfId="21" applyNumberFormat="1" applyFont="1" applyFill="1" applyBorder="1" applyAlignment="1">
      <alignment vertical="center" wrapText="1"/>
    </xf>
    <xf numFmtId="0" fontId="18" fillId="0" borderId="74" xfId="21" applyFont="1" applyFill="1" applyBorder="1" applyAlignment="1">
      <alignment vertical="center" wrapText="1"/>
    </xf>
    <xf numFmtId="0" fontId="18" fillId="0" borderId="0" xfId="133" applyFont="1" applyFill="1" applyBorder="1" applyAlignment="1">
      <alignment horizontal="left" vertical="center" wrapText="1"/>
    </xf>
    <xf numFmtId="0" fontId="18" fillId="0" borderId="0" xfId="21" applyFont="1" applyFill="1" applyBorder="1" applyAlignment="1">
      <alignment vertical="center" wrapText="1"/>
    </xf>
    <xf numFmtId="0" fontId="52" fillId="34" borderId="12" xfId="133" applyFont="1" applyFill="1" applyBorder="1" applyAlignment="1">
      <alignment horizontal="center" vertical="center" wrapText="1"/>
    </xf>
    <xf numFmtId="0" fontId="52" fillId="34" borderId="2" xfId="133" applyFont="1" applyFill="1" applyBorder="1" applyAlignment="1">
      <alignment horizontal="center" vertical="center" wrapText="1"/>
    </xf>
    <xf numFmtId="0" fontId="52" fillId="34" borderId="13" xfId="133" applyFont="1" applyFill="1" applyBorder="1" applyAlignment="1">
      <alignment horizontal="center" vertical="center" wrapText="1"/>
    </xf>
    <xf numFmtId="0" fontId="17" fillId="0" borderId="14" xfId="133" applyFont="1" applyFill="1" applyBorder="1" applyAlignment="1">
      <alignment horizontal="left" vertical="center" wrapText="1"/>
    </xf>
    <xf numFmtId="0" fontId="18" fillId="0" borderId="12" xfId="133" quotePrefix="1" applyFont="1" applyBorder="1" applyAlignment="1" applyProtection="1"/>
    <xf numFmtId="172" fontId="18" fillId="0" borderId="2" xfId="133" applyNumberFormat="1" applyFont="1" applyFill="1" applyBorder="1" applyAlignment="1">
      <alignment horizontal="right" vertical="center" wrapText="1"/>
    </xf>
    <xf numFmtId="172" fontId="18" fillId="0" borderId="13" xfId="133" applyNumberFormat="1" applyFont="1" applyFill="1" applyBorder="1" applyAlignment="1">
      <alignment horizontal="right" vertical="center" wrapText="1"/>
    </xf>
    <xf numFmtId="172" fontId="3" fillId="0" borderId="0" xfId="134" applyNumberFormat="1"/>
    <xf numFmtId="0" fontId="52" fillId="34" borderId="14" xfId="133" applyFont="1" applyFill="1" applyBorder="1" applyAlignment="1">
      <alignment horizontal="center" vertical="center" wrapText="1"/>
    </xf>
    <xf numFmtId="172" fontId="52" fillId="34" borderId="17" xfId="133" applyNumberFormat="1" applyFont="1" applyFill="1" applyBorder="1" applyAlignment="1">
      <alignment horizontal="right" vertical="center" wrapText="1"/>
    </xf>
    <xf numFmtId="172" fontId="52" fillId="34" borderId="15" xfId="133" applyNumberFormat="1" applyFont="1" applyFill="1" applyBorder="1" applyAlignment="1">
      <alignment horizontal="right" vertical="center" wrapText="1"/>
    </xf>
    <xf numFmtId="0" fontId="18" fillId="0" borderId="12" xfId="133" applyFont="1" applyBorder="1" applyAlignment="1" applyProtection="1">
      <alignment horizontal="left" wrapText="1"/>
    </xf>
    <xf numFmtId="0" fontId="18" fillId="0" borderId="12" xfId="133" applyFont="1" applyBorder="1" applyAlignment="1" applyProtection="1"/>
    <xf numFmtId="0" fontId="3" fillId="0" borderId="0" xfId="134" applyFill="1"/>
    <xf numFmtId="0" fontId="7" fillId="0" borderId="0" xfId="0" applyFont="1" applyBorder="1" applyAlignment="1">
      <alignment horizontal="center" vertical="center"/>
    </xf>
    <xf numFmtId="0" fontId="53" fillId="34" borderId="2" xfId="21" applyFont="1" applyFill="1" applyBorder="1" applyAlignment="1">
      <alignment horizontal="center" vertical="center" wrapText="1"/>
    </xf>
    <xf numFmtId="10" fontId="53" fillId="34" borderId="2" xfId="21" applyNumberFormat="1" applyFont="1" applyFill="1" applyBorder="1" applyAlignment="1">
      <alignment horizontal="center" vertical="center" wrapText="1"/>
    </xf>
    <xf numFmtId="0" fontId="18" fillId="0" borderId="17" xfId="133" applyFont="1" applyFill="1" applyBorder="1" applyAlignment="1">
      <alignment horizontal="center" vertical="center" wrapText="1"/>
    </xf>
    <xf numFmtId="0" fontId="18" fillId="0" borderId="15" xfId="133" applyFont="1" applyFill="1" applyBorder="1" applyAlignment="1">
      <alignment horizontal="center" vertical="center" wrapText="1"/>
    </xf>
    <xf numFmtId="172" fontId="17" fillId="33" borderId="28" xfId="93" applyFont="1" applyFill="1" applyBorder="1" applyAlignment="1">
      <alignment horizontal="center" vertical="center" wrapText="1"/>
    </xf>
    <xf numFmtId="172" fontId="17" fillId="33" borderId="28" xfId="93" applyFont="1" applyFill="1" applyBorder="1" applyAlignment="1">
      <alignment horizontal="left" vertical="center" wrapText="1"/>
    </xf>
    <xf numFmtId="170" fontId="17" fillId="33" borderId="28" xfId="25" applyNumberFormat="1" applyFont="1" applyFill="1" applyBorder="1" applyAlignment="1">
      <alignment horizontal="center" vertical="center" wrapText="1"/>
    </xf>
    <xf numFmtId="181" fontId="17" fillId="33" borderId="28" xfId="93" applyNumberFormat="1" applyFont="1" applyFill="1" applyBorder="1" applyAlignment="1">
      <alignment horizontal="center" vertical="center" wrapText="1"/>
    </xf>
    <xf numFmtId="172" fontId="17" fillId="33" borderId="29" xfId="93" applyFont="1" applyFill="1" applyBorder="1" applyAlignment="1">
      <alignment horizontal="center" vertical="center" wrapText="1"/>
    </xf>
    <xf numFmtId="172" fontId="18" fillId="2" borderId="61" xfId="93" applyFont="1" applyFill="1" applyBorder="1" applyAlignment="1">
      <alignment horizontal="left" vertical="center" wrapText="1"/>
    </xf>
    <xf numFmtId="172" fontId="17" fillId="33" borderId="29" xfId="93" applyFont="1" applyFill="1" applyBorder="1" applyAlignment="1">
      <alignment horizontal="left" vertical="center" wrapText="1"/>
    </xf>
    <xf numFmtId="181" fontId="22" fillId="5" borderId="30" xfId="109" applyNumberFormat="1" applyFont="1" applyFill="1" applyBorder="1" applyAlignment="1">
      <alignment horizontal="center" vertical="center"/>
    </xf>
    <xf numFmtId="172" fontId="18" fillId="2" borderId="61" xfId="93" applyFont="1" applyFill="1" applyBorder="1" applyAlignment="1">
      <alignment horizontal="center" vertical="center" wrapText="1"/>
    </xf>
    <xf numFmtId="172" fontId="17" fillId="33" borderId="31" xfId="93" applyFont="1" applyFill="1" applyBorder="1" applyAlignment="1">
      <alignment horizontal="center" vertical="center" wrapText="1"/>
    </xf>
    <xf numFmtId="181" fontId="17" fillId="33" borderId="31" xfId="93" applyNumberFormat="1" applyFont="1" applyFill="1" applyBorder="1" applyAlignment="1">
      <alignment horizontal="center" vertical="center" wrapText="1"/>
    </xf>
    <xf numFmtId="181" fontId="22" fillId="5" borderId="31" xfId="109" applyNumberFormat="1" applyFont="1" applyFill="1" applyBorder="1" applyAlignment="1">
      <alignment horizontal="center" vertical="center"/>
    </xf>
    <xf numFmtId="172" fontId="18" fillId="2" borderId="68" xfId="93" applyFont="1" applyFill="1" applyBorder="1" applyAlignment="1">
      <alignment horizontal="center" vertical="center" wrapText="1"/>
    </xf>
    <xf numFmtId="172" fontId="18" fillId="2" borderId="69" xfId="93" applyFont="1" applyFill="1" applyBorder="1" applyAlignment="1">
      <alignment horizontal="center" vertical="center" wrapText="1"/>
    </xf>
    <xf numFmtId="0" fontId="44" fillId="0" borderId="0" xfId="94" applyFont="1" applyAlignment="1">
      <alignment horizontal="left"/>
    </xf>
    <xf numFmtId="3" fontId="44" fillId="0" borderId="0" xfId="94" applyNumberFormat="1" applyFont="1" applyAlignment="1">
      <alignment horizontal="left"/>
    </xf>
    <xf numFmtId="0" fontId="2" fillId="0" borderId="0" xfId="137" applyFont="1"/>
    <xf numFmtId="1" fontId="58" fillId="35" borderId="79" xfId="137" applyNumberFormat="1" applyFont="1" applyFill="1" applyBorder="1" applyAlignment="1">
      <alignment horizontal="center" vertical="center" wrapText="1"/>
    </xf>
    <xf numFmtId="1" fontId="58" fillId="36" borderId="8" xfId="137" applyNumberFormat="1" applyFont="1" applyFill="1" applyBorder="1" applyAlignment="1">
      <alignment horizontal="center" vertical="center"/>
    </xf>
    <xf numFmtId="1" fontId="58" fillId="36" borderId="46" xfId="137" applyNumberFormat="1" applyFont="1" applyFill="1" applyBorder="1" applyAlignment="1">
      <alignment vertical="center"/>
    </xf>
    <xf numFmtId="3" fontId="58" fillId="36" borderId="46" xfId="137" applyNumberFormat="1" applyFont="1" applyFill="1" applyBorder="1" applyAlignment="1">
      <alignment horizontal="center" vertical="center" wrapText="1"/>
    </xf>
    <xf numFmtId="182" fontId="57" fillId="37" borderId="80" xfId="137" applyNumberFormat="1" applyFont="1" applyFill="1" applyBorder="1" applyAlignment="1">
      <alignment horizontal="center" vertical="center" wrapText="1"/>
    </xf>
    <xf numFmtId="1" fontId="57" fillId="37" borderId="81" xfId="137" applyNumberFormat="1" applyFont="1" applyFill="1" applyBorder="1" applyAlignment="1">
      <alignment horizontal="left" vertical="center" wrapText="1"/>
    </xf>
    <xf numFmtId="1" fontId="60" fillId="35" borderId="81" xfId="137" applyNumberFormat="1" applyFont="1" applyFill="1" applyBorder="1" applyAlignment="1">
      <alignment horizontal="center" vertical="center"/>
    </xf>
    <xf numFmtId="3" fontId="57" fillId="0" borderId="81" xfId="137" applyNumberFormat="1" applyFont="1" applyBorder="1" applyAlignment="1">
      <alignment horizontal="center" vertical="center"/>
    </xf>
    <xf numFmtId="1" fontId="57" fillId="35" borderId="81" xfId="137" applyNumberFormat="1" applyFont="1" applyFill="1" applyBorder="1" applyAlignment="1">
      <alignment horizontal="center" vertical="center" wrapText="1"/>
    </xf>
    <xf numFmtId="3" fontId="57" fillId="35" borderId="81" xfId="139" applyNumberFormat="1" applyFont="1" applyFill="1" applyBorder="1" applyAlignment="1" applyProtection="1">
      <alignment horizontal="center" vertical="center" wrapText="1"/>
    </xf>
    <xf numFmtId="3" fontId="57" fillId="35" borderId="81" xfId="138" applyNumberFormat="1" applyFont="1" applyFill="1" applyBorder="1" applyAlignment="1" applyProtection="1">
      <alignment horizontal="center" vertical="center" wrapText="1"/>
    </xf>
    <xf numFmtId="3" fontId="57" fillId="35" borderId="81" xfId="137" applyNumberFormat="1" applyFont="1" applyFill="1" applyBorder="1" applyAlignment="1">
      <alignment horizontal="center" vertical="center" wrapText="1"/>
    </xf>
    <xf numFmtId="3" fontId="57" fillId="35" borderId="82" xfId="137" applyNumberFormat="1" applyFont="1" applyFill="1" applyBorder="1" applyAlignment="1">
      <alignment horizontal="center" vertical="center" wrapText="1"/>
    </xf>
    <xf numFmtId="0" fontId="2" fillId="0" borderId="81" xfId="137" applyFont="1" applyBorder="1" applyAlignment="1">
      <alignment horizontal="center" vertical="center"/>
    </xf>
    <xf numFmtId="1" fontId="58" fillId="36" borderId="46" xfId="137" applyNumberFormat="1" applyFont="1" applyFill="1" applyBorder="1" applyAlignment="1">
      <alignment vertical="center" wrapText="1"/>
    </xf>
    <xf numFmtId="1" fontId="58" fillId="36" borderId="46" xfId="137" applyNumberFormat="1" applyFont="1" applyFill="1" applyBorder="1" applyAlignment="1">
      <alignment horizontal="center" vertical="center"/>
    </xf>
    <xf numFmtId="3" fontId="58" fillId="36" borderId="46" xfId="137" applyNumberFormat="1" applyFont="1" applyFill="1" applyBorder="1" applyAlignment="1">
      <alignment horizontal="center" vertical="center"/>
    </xf>
    <xf numFmtId="1" fontId="57" fillId="36" borderId="46" xfId="137" applyNumberFormat="1" applyFont="1" applyFill="1" applyBorder="1" applyAlignment="1">
      <alignment horizontal="center" vertical="center"/>
    </xf>
    <xf numFmtId="1" fontId="58" fillId="36" borderId="83" xfId="137" applyNumberFormat="1" applyFont="1" applyFill="1" applyBorder="1" applyAlignment="1">
      <alignment vertical="center"/>
    </xf>
    <xf numFmtId="1" fontId="58" fillId="36" borderId="84" xfId="137" applyNumberFormat="1" applyFont="1" applyFill="1" applyBorder="1" applyAlignment="1">
      <alignment vertical="center"/>
    </xf>
    <xf numFmtId="1" fontId="58" fillId="36" borderId="84" xfId="137" applyNumberFormat="1" applyFont="1" applyFill="1" applyBorder="1" applyAlignment="1">
      <alignment horizontal="left" vertical="center"/>
    </xf>
    <xf numFmtId="3" fontId="58" fillId="36" borderId="42" xfId="137" applyNumberFormat="1" applyFont="1" applyFill="1" applyBorder="1" applyAlignment="1">
      <alignment horizontal="center" vertical="center"/>
    </xf>
    <xf numFmtId="183" fontId="2" fillId="0" borderId="0" xfId="137" applyNumberFormat="1" applyFont="1"/>
    <xf numFmtId="3" fontId="2" fillId="0" borderId="0" xfId="137" applyNumberFormat="1" applyFont="1"/>
    <xf numFmtId="0" fontId="61" fillId="6" borderId="2" xfId="0" applyFont="1" applyFill="1" applyBorder="1" applyAlignment="1">
      <alignment horizontal="right" vertical="center"/>
    </xf>
    <xf numFmtId="0" fontId="61" fillId="6" borderId="4" xfId="0" applyFont="1" applyFill="1" applyBorder="1" applyAlignment="1">
      <alignment horizontal="right" vertical="center"/>
    </xf>
    <xf numFmtId="0" fontId="61" fillId="6" borderId="26" xfId="0" applyFont="1" applyFill="1" applyBorder="1" applyAlignment="1">
      <alignment horizontal="right" vertical="center"/>
    </xf>
    <xf numFmtId="0" fontId="62" fillId="2" borderId="2" xfId="0" applyFont="1" applyFill="1" applyBorder="1" applyAlignment="1">
      <alignment horizontal="right" vertical="center"/>
    </xf>
    <xf numFmtId="0" fontId="62" fillId="2" borderId="2" xfId="0" applyFont="1" applyFill="1" applyBorder="1" applyAlignment="1">
      <alignment vertical="center"/>
    </xf>
    <xf numFmtId="9" fontId="62" fillId="2" borderId="2" xfId="129" applyFont="1" applyFill="1" applyBorder="1" applyAlignment="1">
      <alignment horizontal="right" vertical="center"/>
    </xf>
    <xf numFmtId="170" fontId="58" fillId="36" borderId="84" xfId="132" applyNumberFormat="1" applyFont="1" applyFill="1" applyBorder="1" applyAlignment="1">
      <alignment horizontal="right" vertical="center"/>
    </xf>
    <xf numFmtId="170" fontId="62" fillId="2" borderId="2" xfId="132" applyNumberFormat="1" applyFont="1" applyFill="1" applyBorder="1" applyAlignment="1">
      <alignment horizontal="right" vertical="center"/>
    </xf>
    <xf numFmtId="43" fontId="2" fillId="0" borderId="81" xfId="132" applyFont="1" applyBorder="1" applyAlignment="1">
      <alignment horizontal="center" vertical="center"/>
    </xf>
    <xf numFmtId="1" fontId="15" fillId="36" borderId="46" xfId="137" applyNumberFormat="1" applyFont="1" applyFill="1" applyBorder="1" applyAlignment="1">
      <alignment horizontal="center" vertical="center"/>
    </xf>
    <xf numFmtId="1" fontId="2" fillId="0" borderId="81" xfId="137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0" fontId="62" fillId="2" borderId="81" xfId="132" applyNumberFormat="1" applyFont="1" applyFill="1" applyBorder="1" applyAlignment="1">
      <alignment horizontal="right" vertical="center"/>
    </xf>
    <xf numFmtId="9" fontId="62" fillId="2" borderId="81" xfId="129" applyFont="1" applyFill="1" applyBorder="1" applyAlignment="1">
      <alignment horizontal="right" vertical="center"/>
    </xf>
    <xf numFmtId="0" fontId="62" fillId="2" borderId="2" xfId="0" applyFont="1" applyFill="1" applyBorder="1" applyAlignment="1">
      <alignment vertical="center" wrapText="1"/>
    </xf>
    <xf numFmtId="1" fontId="58" fillId="36" borderId="84" xfId="137" applyNumberFormat="1" applyFont="1" applyFill="1" applyBorder="1" applyAlignment="1">
      <alignment vertical="center" wrapText="1"/>
    </xf>
    <xf numFmtId="1" fontId="2" fillId="0" borderId="0" xfId="137" applyNumberFormat="1" applyFont="1"/>
    <xf numFmtId="0" fontId="2" fillId="0" borderId="0" xfId="137" applyFont="1" applyAlignment="1">
      <alignment wrapText="1"/>
    </xf>
    <xf numFmtId="0" fontId="2" fillId="0" borderId="81" xfId="137" applyFont="1" applyBorder="1"/>
    <xf numFmtId="1" fontId="48" fillId="0" borderId="81" xfId="137" applyNumberFormat="1" applyFont="1" applyBorder="1"/>
    <xf numFmtId="0" fontId="48" fillId="0" borderId="81" xfId="137" applyFont="1" applyBorder="1" applyAlignment="1">
      <alignment horizontal="right"/>
    </xf>
    <xf numFmtId="1" fontId="2" fillId="0" borderId="81" xfId="137" applyNumberFormat="1" applyFont="1" applyBorder="1" applyAlignment="1">
      <alignment wrapText="1"/>
    </xf>
    <xf numFmtId="3" fontId="2" fillId="0" borderId="81" xfId="137" applyNumberFormat="1" applyFont="1" applyBorder="1"/>
    <xf numFmtId="0" fontId="1" fillId="0" borderId="81" xfId="137" applyFont="1" applyBorder="1" applyAlignment="1">
      <alignment horizontal="right" wrapText="1"/>
    </xf>
    <xf numFmtId="172" fontId="16" fillId="0" borderId="0" xfId="29" applyFont="1" applyAlignment="1">
      <alignment horizontal="center"/>
    </xf>
    <xf numFmtId="0" fontId="7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4" fillId="6" borderId="24" xfId="0" applyFont="1" applyFill="1" applyBorder="1" applyAlignment="1">
      <alignment horizontal="center" vertical="center" wrapText="1"/>
    </xf>
    <xf numFmtId="0" fontId="24" fillId="6" borderId="26" xfId="0" applyFont="1" applyFill="1" applyBorder="1" applyAlignment="1">
      <alignment horizontal="center" vertical="center" wrapText="1"/>
    </xf>
    <xf numFmtId="0" fontId="24" fillId="6" borderId="23" xfId="0" applyFont="1" applyFill="1" applyBorder="1" applyAlignment="1">
      <alignment horizontal="center" vertical="center"/>
    </xf>
    <xf numFmtId="0" fontId="24" fillId="6" borderId="25" xfId="0" applyFont="1" applyFill="1" applyBorder="1" applyAlignment="1">
      <alignment horizontal="center" vertical="center"/>
    </xf>
    <xf numFmtId="0" fontId="61" fillId="6" borderId="2" xfId="0" applyFont="1" applyFill="1" applyBorder="1" applyAlignment="1">
      <alignment horizontal="center" vertical="center" wrapText="1"/>
    </xf>
    <xf numFmtId="0" fontId="61" fillId="6" borderId="2" xfId="0" applyFont="1" applyFill="1" applyBorder="1" applyAlignment="1">
      <alignment horizontal="left" vertical="center"/>
    </xf>
    <xf numFmtId="1" fontId="58" fillId="35" borderId="45" xfId="137" applyNumberFormat="1" applyFont="1" applyFill="1" applyBorder="1" applyAlignment="1">
      <alignment horizontal="center" vertical="center"/>
    </xf>
    <xf numFmtId="1" fontId="58" fillId="35" borderId="41" xfId="137" applyNumberFormat="1" applyFont="1" applyFill="1" applyBorder="1" applyAlignment="1">
      <alignment horizontal="center" vertical="center"/>
    </xf>
    <xf numFmtId="1" fontId="58" fillId="35" borderId="75" xfId="137" applyNumberFormat="1" applyFont="1" applyFill="1" applyBorder="1" applyAlignment="1">
      <alignment horizontal="center" vertical="center" wrapText="1"/>
    </xf>
    <xf numFmtId="1" fontId="58" fillId="35" borderId="76" xfId="137" applyNumberFormat="1" applyFont="1" applyFill="1" applyBorder="1" applyAlignment="1">
      <alignment horizontal="center" vertical="center" wrapText="1"/>
    </xf>
    <xf numFmtId="1" fontId="58" fillId="35" borderId="77" xfId="137" applyNumberFormat="1" applyFont="1" applyFill="1" applyBorder="1" applyAlignment="1">
      <alignment horizontal="center" vertical="center" wrapText="1"/>
    </xf>
    <xf numFmtId="1" fontId="58" fillId="35" borderId="48" xfId="137" applyNumberFormat="1" applyFont="1" applyFill="1" applyBorder="1" applyAlignment="1">
      <alignment horizontal="center" vertical="center" wrapText="1"/>
    </xf>
    <xf numFmtId="1" fontId="58" fillId="35" borderId="78" xfId="137" applyNumberFormat="1" applyFont="1" applyFill="1" applyBorder="1" applyAlignment="1">
      <alignment horizontal="center" vertical="center" wrapText="1"/>
    </xf>
    <xf numFmtId="0" fontId="51" fillId="0" borderId="23" xfId="21" applyFont="1" applyFill="1" applyBorder="1" applyAlignment="1">
      <alignment horizontal="left" vertical="center" wrapText="1"/>
    </xf>
    <xf numFmtId="0" fontId="51" fillId="0" borderId="52" xfId="21" applyFont="1" applyFill="1" applyBorder="1" applyAlignment="1">
      <alignment horizontal="left" vertical="center" wrapText="1"/>
    </xf>
    <xf numFmtId="0" fontId="51" fillId="0" borderId="4" xfId="21" applyFont="1" applyFill="1" applyBorder="1" applyAlignment="1">
      <alignment horizontal="left" vertical="center" wrapText="1"/>
    </xf>
    <xf numFmtId="0" fontId="52" fillId="34" borderId="8" xfId="21" applyFont="1" applyFill="1" applyBorder="1" applyAlignment="1">
      <alignment horizontal="left" vertical="center" wrapText="1"/>
    </xf>
    <xf numFmtId="0" fontId="52" fillId="34" borderId="46" xfId="21" applyFont="1" applyFill="1" applyBorder="1" applyAlignment="1">
      <alignment horizontal="left" vertical="center" wrapText="1"/>
    </xf>
    <xf numFmtId="0" fontId="52" fillId="34" borderId="7" xfId="21" applyFont="1" applyFill="1" applyBorder="1" applyAlignment="1">
      <alignment horizontal="left" vertical="center" wrapText="1"/>
    </xf>
    <xf numFmtId="0" fontId="53" fillId="34" borderId="12" xfId="21" applyFont="1" applyFill="1" applyBorder="1" applyAlignment="1">
      <alignment horizontal="center" vertical="center" wrapText="1"/>
    </xf>
    <xf numFmtId="0" fontId="53" fillId="34" borderId="2" xfId="21" applyFont="1" applyFill="1" applyBorder="1" applyAlignment="1">
      <alignment horizontal="center" vertical="center" wrapText="1"/>
    </xf>
    <xf numFmtId="0" fontId="53" fillId="34" borderId="2" xfId="21" applyFont="1" applyFill="1" applyBorder="1" applyAlignment="1">
      <alignment horizontal="center" vertical="center"/>
    </xf>
    <xf numFmtId="0" fontId="53" fillId="34" borderId="13" xfId="21" applyFont="1" applyFill="1" applyBorder="1" applyAlignment="1">
      <alignment horizontal="center" vertical="center" wrapText="1"/>
    </xf>
    <xf numFmtId="0" fontId="52" fillId="34" borderId="2" xfId="21" applyFont="1" applyFill="1" applyBorder="1" applyAlignment="1">
      <alignment horizontal="left" vertical="center" wrapText="1"/>
    </xf>
    <xf numFmtId="10" fontId="53" fillId="34" borderId="2" xfId="21" applyNumberFormat="1" applyFont="1" applyFill="1" applyBorder="1" applyAlignment="1">
      <alignment horizontal="center" vertical="center" wrapText="1"/>
    </xf>
    <xf numFmtId="0" fontId="52" fillId="34" borderId="8" xfId="133" applyFont="1" applyFill="1" applyBorder="1" applyAlignment="1">
      <alignment horizontal="center" vertical="center" wrapText="1"/>
    </xf>
    <xf numFmtId="0" fontId="52" fillId="34" borderId="46" xfId="133" applyFont="1" applyFill="1" applyBorder="1" applyAlignment="1">
      <alignment horizontal="center" vertical="center" wrapText="1"/>
    </xf>
    <xf numFmtId="0" fontId="52" fillId="34" borderId="7" xfId="133" applyFont="1" applyFill="1" applyBorder="1" applyAlignment="1">
      <alignment horizontal="center" vertical="center" wrapText="1"/>
    </xf>
    <xf numFmtId="0" fontId="58" fillId="0" borderId="24" xfId="133" applyFont="1" applyFill="1" applyBorder="1" applyAlignment="1">
      <alignment horizontal="center" vertical="center" wrapText="1"/>
    </xf>
    <xf numFmtId="0" fontId="17" fillId="0" borderId="26" xfId="133" applyFont="1" applyFill="1" applyBorder="1" applyAlignment="1">
      <alignment horizontal="center" vertical="center" wrapText="1"/>
    </xf>
    <xf numFmtId="0" fontId="18" fillId="0" borderId="17" xfId="133" applyFont="1" applyFill="1" applyBorder="1" applyAlignment="1">
      <alignment horizontal="center" vertical="center" wrapText="1"/>
    </xf>
    <xf numFmtId="0" fontId="18" fillId="0" borderId="15" xfId="133" applyFont="1" applyFill="1" applyBorder="1" applyAlignment="1">
      <alignment horizontal="center" vertical="center" wrapText="1"/>
    </xf>
    <xf numFmtId="172" fontId="17" fillId="2" borderId="31" xfId="93" applyFont="1" applyFill="1" applyBorder="1" applyAlignment="1">
      <alignment horizontal="left" vertical="center" wrapText="1"/>
    </xf>
    <xf numFmtId="172" fontId="18" fillId="2" borderId="31" xfId="93" applyFont="1" applyFill="1" applyBorder="1" applyAlignment="1">
      <alignment horizontal="left" vertical="center" wrapText="1"/>
    </xf>
    <xf numFmtId="172" fontId="17" fillId="33" borderId="31" xfId="93" applyFont="1" applyFill="1" applyBorder="1" applyAlignment="1">
      <alignment horizontal="center" vertical="center" wrapText="1"/>
    </xf>
    <xf numFmtId="172" fontId="17" fillId="33" borderId="28" xfId="93" applyFont="1" applyFill="1" applyBorder="1" applyAlignment="1">
      <alignment horizontal="center" vertical="center" wrapText="1"/>
    </xf>
    <xf numFmtId="181" fontId="17" fillId="33" borderId="28" xfId="93" applyNumberFormat="1" applyFont="1" applyFill="1" applyBorder="1" applyAlignment="1">
      <alignment horizontal="center" vertical="center" wrapText="1"/>
    </xf>
    <xf numFmtId="172" fontId="17" fillId="33" borderId="28" xfId="93" applyFont="1" applyFill="1" applyBorder="1" applyAlignment="1">
      <alignment horizontal="center" vertical="center"/>
    </xf>
    <xf numFmtId="172" fontId="16" fillId="5" borderId="28" xfId="109" applyFont="1" applyFill="1" applyBorder="1" applyAlignment="1">
      <alignment horizontal="right" vertical="center"/>
    </xf>
    <xf numFmtId="172" fontId="17" fillId="33" borderId="28" xfId="93" applyFont="1" applyFill="1" applyBorder="1" applyAlignment="1">
      <alignment horizontal="left" vertical="center" wrapText="1"/>
    </xf>
    <xf numFmtId="172" fontId="18" fillId="2" borderId="60" xfId="93" applyFont="1" applyFill="1" applyBorder="1" applyAlignment="1">
      <alignment horizontal="center" vertical="center" wrapText="1"/>
    </xf>
    <xf numFmtId="172" fontId="18" fillId="2" borderId="61" xfId="93" applyFont="1" applyFill="1" applyBorder="1" applyAlignment="1">
      <alignment horizontal="center" vertical="center" wrapText="1"/>
    </xf>
    <xf numFmtId="181" fontId="17" fillId="33" borderId="31" xfId="93" applyNumberFormat="1" applyFont="1" applyFill="1" applyBorder="1" applyAlignment="1">
      <alignment horizontal="center" vertical="center" wrapText="1"/>
    </xf>
    <xf numFmtId="172" fontId="16" fillId="5" borderId="31" xfId="109" applyFont="1" applyFill="1" applyBorder="1" applyAlignment="1">
      <alignment horizontal="right" vertical="center"/>
    </xf>
    <xf numFmtId="181" fontId="22" fillId="5" borderId="31" xfId="109" applyNumberFormat="1" applyFont="1" applyFill="1" applyBorder="1" applyAlignment="1">
      <alignment horizontal="center" vertical="center"/>
    </xf>
    <xf numFmtId="172" fontId="18" fillId="2" borderId="68" xfId="93" applyFont="1" applyFill="1" applyBorder="1" applyAlignment="1">
      <alignment horizontal="center" vertical="center" wrapText="1"/>
    </xf>
    <xf numFmtId="172" fontId="18" fillId="2" borderId="69" xfId="93" applyFont="1" applyFill="1" applyBorder="1" applyAlignment="1">
      <alignment horizontal="center" vertical="center" wrapText="1"/>
    </xf>
    <xf numFmtId="172" fontId="18" fillId="5" borderId="31" xfId="109" applyFont="1" applyFill="1" applyBorder="1" applyAlignment="1">
      <alignment horizontal="center" vertical="center"/>
    </xf>
    <xf numFmtId="172" fontId="17" fillId="33" borderId="31" xfId="93" applyFont="1" applyFill="1" applyBorder="1" applyAlignment="1">
      <alignment horizontal="left" vertical="center" wrapText="1"/>
    </xf>
    <xf numFmtId="172" fontId="17" fillId="33" borderId="31" xfId="93" applyFont="1" applyFill="1" applyBorder="1" applyAlignment="1">
      <alignment horizontal="center" vertical="center"/>
    </xf>
    <xf numFmtId="172" fontId="17" fillId="33" borderId="31" xfId="93" applyFont="1" applyFill="1" applyBorder="1" applyAlignment="1">
      <alignment vertical="center"/>
    </xf>
    <xf numFmtId="181" fontId="22" fillId="5" borderId="30" xfId="109" applyNumberFormat="1" applyFont="1" applyFill="1" applyBorder="1" applyAlignment="1">
      <alignment horizontal="center" vertical="center"/>
    </xf>
    <xf numFmtId="181" fontId="22" fillId="5" borderId="63" xfId="109" applyNumberFormat="1" applyFont="1" applyFill="1" applyBorder="1" applyAlignment="1">
      <alignment horizontal="center" vertical="center"/>
    </xf>
    <xf numFmtId="172" fontId="17" fillId="33" borderId="28" xfId="93" applyFont="1" applyFill="1" applyBorder="1" applyAlignment="1">
      <alignment vertical="center"/>
    </xf>
    <xf numFmtId="172" fontId="17" fillId="33" borderId="30" xfId="93" applyFont="1" applyFill="1" applyBorder="1" applyAlignment="1">
      <alignment vertical="center"/>
    </xf>
    <xf numFmtId="172" fontId="17" fillId="33" borderId="54" xfId="93" applyFont="1" applyFill="1" applyBorder="1" applyAlignment="1">
      <alignment horizontal="center" vertical="center" wrapText="1"/>
    </xf>
    <xf numFmtId="172" fontId="17" fillId="33" borderId="55" xfId="93" applyFont="1" applyFill="1" applyBorder="1" applyAlignment="1">
      <alignment horizontal="center" vertical="center" wrapText="1"/>
    </xf>
    <xf numFmtId="172" fontId="17" fillId="33" borderId="56" xfId="93" applyFont="1" applyFill="1" applyBorder="1" applyAlignment="1">
      <alignment horizontal="center" vertical="center" wrapText="1"/>
    </xf>
    <xf numFmtId="172" fontId="17" fillId="33" borderId="57" xfId="93" applyFont="1" applyFill="1" applyBorder="1" applyAlignment="1">
      <alignment horizontal="center" vertical="center" wrapText="1"/>
    </xf>
    <xf numFmtId="172" fontId="18" fillId="2" borderId="58" xfId="93" applyFont="1" applyFill="1" applyBorder="1" applyAlignment="1">
      <alignment horizontal="left" vertical="center" wrapText="1"/>
    </xf>
    <xf numFmtId="172" fontId="18" fillId="2" borderId="59" xfId="93" applyFont="1" applyFill="1" applyBorder="1" applyAlignment="1">
      <alignment horizontal="left" vertical="center" wrapText="1"/>
    </xf>
    <xf numFmtId="172" fontId="17" fillId="5" borderId="27" xfId="93" applyFont="1" applyFill="1" applyBorder="1" applyAlignment="1">
      <alignment horizontal="right" vertical="center" wrapText="1"/>
    </xf>
    <xf numFmtId="172" fontId="17" fillId="33" borderId="53" xfId="93" applyFont="1" applyFill="1" applyBorder="1" applyAlignment="1">
      <alignment horizontal="center" vertical="center" wrapText="1"/>
    </xf>
    <xf numFmtId="172" fontId="17" fillId="33" borderId="0" xfId="93" applyFont="1" applyFill="1" applyBorder="1" applyAlignment="1">
      <alignment horizontal="center" vertical="center" wrapText="1"/>
    </xf>
    <xf numFmtId="172" fontId="17" fillId="33" borderId="29" xfId="93" applyFont="1" applyFill="1" applyBorder="1" applyAlignment="1">
      <alignment horizontal="center" vertical="center" wrapText="1"/>
    </xf>
    <xf numFmtId="172" fontId="17" fillId="33" borderId="27" xfId="93" applyFont="1" applyFill="1" applyBorder="1" applyAlignment="1">
      <alignment horizontal="center" vertical="center" wrapText="1"/>
    </xf>
    <xf numFmtId="172" fontId="18" fillId="2" borderId="60" xfId="93" applyFont="1" applyFill="1" applyBorder="1" applyAlignment="1">
      <alignment horizontal="left" vertical="center" wrapText="1"/>
    </xf>
    <xf numFmtId="172" fontId="18" fillId="2" borderId="61" xfId="93" applyFont="1" applyFill="1" applyBorder="1" applyAlignment="1">
      <alignment horizontal="left" vertical="center" wrapText="1"/>
    </xf>
    <xf numFmtId="172" fontId="17" fillId="5" borderId="28" xfId="93" applyFont="1" applyFill="1" applyBorder="1" applyAlignment="1">
      <alignment horizontal="right" vertical="center" wrapText="1"/>
    </xf>
    <xf numFmtId="172" fontId="17" fillId="33" borderId="29" xfId="93" applyFont="1" applyFill="1" applyBorder="1" applyAlignment="1">
      <alignment horizontal="left" vertical="center" wrapText="1"/>
    </xf>
    <xf numFmtId="172" fontId="17" fillId="33" borderId="29" xfId="93" applyFont="1" applyFill="1" applyBorder="1" applyAlignment="1">
      <alignment horizontal="center" vertical="center"/>
    </xf>
    <xf numFmtId="170" fontId="17" fillId="33" borderId="28" xfId="25" applyNumberFormat="1" applyFont="1" applyFill="1" applyBorder="1" applyAlignment="1">
      <alignment horizontal="center" vertical="center" wrapText="1"/>
    </xf>
    <xf numFmtId="172" fontId="17" fillId="33" borderId="29" xfId="93" applyFont="1" applyFill="1" applyBorder="1" applyAlignment="1">
      <alignment vertical="center"/>
    </xf>
    <xf numFmtId="172" fontId="21" fillId="32" borderId="49" xfId="93" applyFont="1" applyFill="1" applyBorder="1" applyAlignment="1">
      <alignment horizontal="center" vertical="center" wrapText="1"/>
    </xf>
    <xf numFmtId="172" fontId="26" fillId="32" borderId="50" xfId="93" applyFont="1" applyFill="1" applyBorder="1" applyAlignment="1">
      <alignment vertical="center"/>
    </xf>
    <xf numFmtId="172" fontId="26" fillId="32" borderId="51" xfId="93" applyFont="1" applyFill="1" applyBorder="1" applyAlignment="1">
      <alignment vertical="center"/>
    </xf>
    <xf numFmtId="172" fontId="17" fillId="33" borderId="27" xfId="93" applyFont="1" applyFill="1" applyBorder="1" applyAlignment="1">
      <alignment vertical="center"/>
    </xf>
    <xf numFmtId="3" fontId="15" fillId="30" borderId="16" xfId="94" applyNumberFormat="1" applyFont="1" applyFill="1" applyBorder="1" applyAlignment="1">
      <alignment horizontal="center"/>
    </xf>
    <xf numFmtId="3" fontId="15" fillId="30" borderId="6" xfId="94" applyNumberFormat="1" applyFont="1" applyFill="1" applyBorder="1" applyAlignment="1">
      <alignment horizontal="center"/>
    </xf>
    <xf numFmtId="0" fontId="44" fillId="0" borderId="0" xfId="94" applyFont="1" applyAlignment="1">
      <alignment horizontal="center" wrapText="1"/>
    </xf>
    <xf numFmtId="9" fontId="15" fillId="0" borderId="0" xfId="94" applyNumberFormat="1" applyFont="1" applyAlignment="1">
      <alignment horizontal="center" vertical="center" wrapText="1"/>
    </xf>
    <xf numFmtId="0" fontId="44" fillId="0" borderId="0" xfId="94" applyFont="1" applyAlignment="1">
      <alignment horizontal="left"/>
    </xf>
    <xf numFmtId="3" fontId="44" fillId="0" borderId="0" xfId="94" applyNumberFormat="1" applyFont="1" applyAlignment="1">
      <alignment horizontal="left"/>
    </xf>
    <xf numFmtId="180" fontId="46" fillId="0" borderId="0" xfId="94" applyNumberFormat="1" applyFont="1" applyAlignment="1">
      <alignment horizontal="center"/>
    </xf>
  </cellXfs>
  <cellStyles count="140">
    <cellStyle name="20% - Accent1 2" xfId="31" xr:uid="{00000000-0005-0000-0000-000000000000}"/>
    <cellStyle name="20% - Accent2 2" xfId="32" xr:uid="{00000000-0005-0000-0000-000001000000}"/>
    <cellStyle name="20% - Accent3 2" xfId="33" xr:uid="{00000000-0005-0000-0000-000002000000}"/>
    <cellStyle name="20% - Accent4 2" xfId="34" xr:uid="{00000000-0005-0000-0000-000003000000}"/>
    <cellStyle name="20% - Accent5 2" xfId="35" xr:uid="{00000000-0005-0000-0000-000004000000}"/>
    <cellStyle name="20% - Accent6 2" xfId="36" xr:uid="{00000000-0005-0000-0000-000005000000}"/>
    <cellStyle name="40% - Accent1 2" xfId="37" xr:uid="{00000000-0005-0000-0000-000006000000}"/>
    <cellStyle name="40% - Accent2 2" xfId="38" xr:uid="{00000000-0005-0000-0000-000007000000}"/>
    <cellStyle name="40% - Accent3 2" xfId="39" xr:uid="{00000000-0005-0000-0000-000008000000}"/>
    <cellStyle name="40% - Accent4 2" xfId="40" xr:uid="{00000000-0005-0000-0000-000009000000}"/>
    <cellStyle name="40% - Accent5 2" xfId="41" xr:uid="{00000000-0005-0000-0000-00000A000000}"/>
    <cellStyle name="40% - Accent6 2" xfId="42" xr:uid="{00000000-0005-0000-0000-00000B000000}"/>
    <cellStyle name="60% - Accent1 2" xfId="43" xr:uid="{00000000-0005-0000-0000-00000C000000}"/>
    <cellStyle name="60% - Accent2 2" xfId="44" xr:uid="{00000000-0005-0000-0000-00000D000000}"/>
    <cellStyle name="60% - Accent3 2" xfId="45" xr:uid="{00000000-0005-0000-0000-00000E000000}"/>
    <cellStyle name="60% - Accent4 2" xfId="46" xr:uid="{00000000-0005-0000-0000-00000F000000}"/>
    <cellStyle name="60% - Accent5 2" xfId="47" xr:uid="{00000000-0005-0000-0000-000010000000}"/>
    <cellStyle name="60% - Accent6 2" xfId="48" xr:uid="{00000000-0005-0000-0000-000011000000}"/>
    <cellStyle name="Accent1 2" xfId="49" xr:uid="{00000000-0005-0000-0000-000012000000}"/>
    <cellStyle name="Accent2 2" xfId="50" xr:uid="{00000000-0005-0000-0000-000013000000}"/>
    <cellStyle name="Accent3 2" xfId="51" xr:uid="{00000000-0005-0000-0000-000014000000}"/>
    <cellStyle name="Accent4 2" xfId="52" xr:uid="{00000000-0005-0000-0000-000015000000}"/>
    <cellStyle name="Accent5 2" xfId="53" xr:uid="{00000000-0005-0000-0000-000016000000}"/>
    <cellStyle name="Accent6 2" xfId="54" xr:uid="{00000000-0005-0000-0000-000017000000}"/>
    <cellStyle name="Bad 2" xfId="55" xr:uid="{00000000-0005-0000-0000-000018000000}"/>
    <cellStyle name="Cabecera 1" xfId="1" xr:uid="{00000000-0005-0000-0000-000019000000}"/>
    <cellStyle name="Cabecera 2" xfId="2" xr:uid="{00000000-0005-0000-0000-00001A000000}"/>
    <cellStyle name="Calculation 2" xfId="56" xr:uid="{00000000-0005-0000-0000-00001B000000}"/>
    <cellStyle name="Check Cell 2" xfId="57" xr:uid="{00000000-0005-0000-0000-00001C000000}"/>
    <cellStyle name="Comma" xfId="132" builtinId="3"/>
    <cellStyle name="Comma [0] 2" xfId="58" xr:uid="{00000000-0005-0000-0000-00001E000000}"/>
    <cellStyle name="Comma 2" xfId="25" xr:uid="{00000000-0005-0000-0000-00001F000000}"/>
    <cellStyle name="Comma 3" xfId="59" xr:uid="{00000000-0005-0000-0000-000020000000}"/>
    <cellStyle name="Comma 4" xfId="60" xr:uid="{00000000-0005-0000-0000-000021000000}"/>
    <cellStyle name="Comma 5" xfId="135" xr:uid="{00000000-0005-0000-0000-000022000000}"/>
    <cellStyle name="Comma 6" xfId="136" xr:uid="{00000000-0005-0000-0000-000023000000}"/>
    <cellStyle name="Comma 7" xfId="139" xr:uid="{22E130AB-F6A5-40D3-BB37-785874CE843B}"/>
    <cellStyle name="Euro" xfId="3" xr:uid="{00000000-0005-0000-0000-000024000000}"/>
    <cellStyle name="Euro 2" xfId="4" xr:uid="{00000000-0005-0000-0000-000025000000}"/>
    <cellStyle name="Explanatory Text 2" xfId="61" xr:uid="{00000000-0005-0000-0000-000026000000}"/>
    <cellStyle name="F2" xfId="5" xr:uid="{00000000-0005-0000-0000-000027000000}"/>
    <cellStyle name="F3" xfId="6" xr:uid="{00000000-0005-0000-0000-000028000000}"/>
    <cellStyle name="F4" xfId="7" xr:uid="{00000000-0005-0000-0000-000029000000}"/>
    <cellStyle name="F5" xfId="8" xr:uid="{00000000-0005-0000-0000-00002A000000}"/>
    <cellStyle name="F6" xfId="9" xr:uid="{00000000-0005-0000-0000-00002B000000}"/>
    <cellStyle name="F7" xfId="10" xr:uid="{00000000-0005-0000-0000-00002C000000}"/>
    <cellStyle name="F8" xfId="11" xr:uid="{00000000-0005-0000-0000-00002D000000}"/>
    <cellStyle name="Fecha" xfId="12" xr:uid="{00000000-0005-0000-0000-00002E000000}"/>
    <cellStyle name="Fijo" xfId="13" xr:uid="{00000000-0005-0000-0000-00002F000000}"/>
    <cellStyle name="Good 2" xfId="62" xr:uid="{00000000-0005-0000-0000-000030000000}"/>
    <cellStyle name="Heading 1 2" xfId="63" xr:uid="{00000000-0005-0000-0000-000031000000}"/>
    <cellStyle name="Heading 2 2" xfId="64" xr:uid="{00000000-0005-0000-0000-000032000000}"/>
    <cellStyle name="Heading 3 2" xfId="65" xr:uid="{00000000-0005-0000-0000-000033000000}"/>
    <cellStyle name="Heading 4 2" xfId="66" xr:uid="{00000000-0005-0000-0000-000034000000}"/>
    <cellStyle name="Heading1" xfId="14" xr:uid="{00000000-0005-0000-0000-000035000000}"/>
    <cellStyle name="Heading2" xfId="15" xr:uid="{00000000-0005-0000-0000-000036000000}"/>
    <cellStyle name="Input 2" xfId="67" xr:uid="{00000000-0005-0000-0000-000037000000}"/>
    <cellStyle name="Linked Cell 2" xfId="68" xr:uid="{00000000-0005-0000-0000-000038000000}"/>
    <cellStyle name="Millares [0] 2" xfId="16" xr:uid="{00000000-0005-0000-0000-000039000000}"/>
    <cellStyle name="Millares [0] 2 2" xfId="69" xr:uid="{00000000-0005-0000-0000-00003A000000}"/>
    <cellStyle name="Millares [0] 3" xfId="70" xr:uid="{00000000-0005-0000-0000-00003B000000}"/>
    <cellStyle name="Millares 2" xfId="17" xr:uid="{00000000-0005-0000-0000-00003C000000}"/>
    <cellStyle name="Millares 3" xfId="18" xr:uid="{00000000-0005-0000-0000-00003D000000}"/>
    <cellStyle name="Millares 3 2" xfId="71" xr:uid="{00000000-0005-0000-0000-00003E000000}"/>
    <cellStyle name="Millares 4" xfId="72" xr:uid="{00000000-0005-0000-0000-00003F000000}"/>
    <cellStyle name="Millares 4 2" xfId="73" xr:uid="{00000000-0005-0000-0000-000040000000}"/>
    <cellStyle name="Millares 5" xfId="74" xr:uid="{00000000-0005-0000-0000-000041000000}"/>
    <cellStyle name="Millares 5 2" xfId="75" xr:uid="{00000000-0005-0000-0000-000042000000}"/>
    <cellStyle name="Millares 5 3" xfId="76" xr:uid="{00000000-0005-0000-0000-000043000000}"/>
    <cellStyle name="Millares 6" xfId="77" xr:uid="{00000000-0005-0000-0000-000044000000}"/>
    <cellStyle name="Moneda 2" xfId="78" xr:uid="{00000000-0005-0000-0000-000045000000}"/>
    <cellStyle name="Moneda 2 2" xfId="79" xr:uid="{00000000-0005-0000-0000-000046000000}"/>
    <cellStyle name="Moneda 2 3" xfId="80" xr:uid="{00000000-0005-0000-0000-000047000000}"/>
    <cellStyle name="Monetario" xfId="19" xr:uid="{00000000-0005-0000-0000-000048000000}"/>
    <cellStyle name="Monetario0" xfId="20" xr:uid="{00000000-0005-0000-0000-000049000000}"/>
    <cellStyle name="Neutral 2" xfId="81" xr:uid="{00000000-0005-0000-0000-00004A000000}"/>
    <cellStyle name="Normal" xfId="0" builtinId="0"/>
    <cellStyle name="Normal 10" xfId="82" xr:uid="{00000000-0005-0000-0000-00004C000000}"/>
    <cellStyle name="Normal 10 2" xfId="83" xr:uid="{00000000-0005-0000-0000-00004D000000}"/>
    <cellStyle name="Normal 10 2 2" xfId="84" xr:uid="{00000000-0005-0000-0000-00004E000000}"/>
    <cellStyle name="Normal 10 3" xfId="85" xr:uid="{00000000-0005-0000-0000-00004F000000}"/>
    <cellStyle name="Normal 11" xfId="86" xr:uid="{00000000-0005-0000-0000-000050000000}"/>
    <cellStyle name="Normal 12" xfId="87" xr:uid="{00000000-0005-0000-0000-000051000000}"/>
    <cellStyle name="Normal 13" xfId="30" xr:uid="{00000000-0005-0000-0000-000052000000}"/>
    <cellStyle name="Normal 14" xfId="88" xr:uid="{00000000-0005-0000-0000-000053000000}"/>
    <cellStyle name="Normal 14 2" xfId="89" xr:uid="{00000000-0005-0000-0000-000054000000}"/>
    <cellStyle name="Normal 15" xfId="90" xr:uid="{00000000-0005-0000-0000-000055000000}"/>
    <cellStyle name="Normal 16" xfId="91" xr:uid="{00000000-0005-0000-0000-000056000000}"/>
    <cellStyle name="Normal 17" xfId="134" xr:uid="{00000000-0005-0000-0000-000057000000}"/>
    <cellStyle name="Normal 18" xfId="137" xr:uid="{9656AC92-B8F4-4197-BCE3-8E236F107A67}"/>
    <cellStyle name="Normal 2" xfId="21" xr:uid="{00000000-0005-0000-0000-000058000000}"/>
    <cellStyle name="Normal 2 2" xfId="92" xr:uid="{00000000-0005-0000-0000-000059000000}"/>
    <cellStyle name="Normal 2 2 2" xfId="93" xr:uid="{00000000-0005-0000-0000-00005A000000}"/>
    <cellStyle name="Normal 2 3" xfId="94" xr:uid="{00000000-0005-0000-0000-00005B000000}"/>
    <cellStyle name="Normal 2_POA 18 meses" xfId="95" xr:uid="{00000000-0005-0000-0000-00005C000000}"/>
    <cellStyle name="Normal 3" xfId="26" xr:uid="{00000000-0005-0000-0000-00005D000000}"/>
    <cellStyle name="Normal 3 2" xfId="96" xr:uid="{00000000-0005-0000-0000-00005E000000}"/>
    <cellStyle name="Normal 3 2 2" xfId="97" xr:uid="{00000000-0005-0000-0000-00005F000000}"/>
    <cellStyle name="Normal 3 3" xfId="133" xr:uid="{00000000-0005-0000-0000-000060000000}"/>
    <cellStyle name="Normal 4" xfId="29" xr:uid="{00000000-0005-0000-0000-000061000000}"/>
    <cellStyle name="Normal 4 2" xfId="98" xr:uid="{00000000-0005-0000-0000-000062000000}"/>
    <cellStyle name="Normal 4 3" xfId="99" xr:uid="{00000000-0005-0000-0000-000063000000}"/>
    <cellStyle name="Normal 5" xfId="100" xr:uid="{00000000-0005-0000-0000-000064000000}"/>
    <cellStyle name="Normal 5 2" xfId="101" xr:uid="{00000000-0005-0000-0000-000065000000}"/>
    <cellStyle name="Normal 5 2 2" xfId="102" xr:uid="{00000000-0005-0000-0000-000066000000}"/>
    <cellStyle name="Normal 5 3" xfId="103" xr:uid="{00000000-0005-0000-0000-000067000000}"/>
    <cellStyle name="Normal 6" xfId="104" xr:uid="{00000000-0005-0000-0000-000068000000}"/>
    <cellStyle name="Normal 7" xfId="27" xr:uid="{00000000-0005-0000-0000-000069000000}"/>
    <cellStyle name="Normal 7 2" xfId="28" xr:uid="{00000000-0005-0000-0000-00006A000000}"/>
    <cellStyle name="Normal 7 3" xfId="105" xr:uid="{00000000-0005-0000-0000-00006B000000}"/>
    <cellStyle name="Normal 8" xfId="106" xr:uid="{00000000-0005-0000-0000-00006C000000}"/>
    <cellStyle name="Normal 8 2" xfId="107" xr:uid="{00000000-0005-0000-0000-00006D000000}"/>
    <cellStyle name="Normal 9" xfId="108" xr:uid="{00000000-0005-0000-0000-00006E000000}"/>
    <cellStyle name="Normal 9 2" xfId="109" xr:uid="{00000000-0005-0000-0000-00006F000000}"/>
    <cellStyle name="Normal 9 2 2" xfId="110" xr:uid="{00000000-0005-0000-0000-000070000000}"/>
    <cellStyle name="Normal 9 3" xfId="111" xr:uid="{00000000-0005-0000-0000-000071000000}"/>
    <cellStyle name="Normal_9. PA" xfId="131" xr:uid="{00000000-0005-0000-0000-000072000000}"/>
    <cellStyle name="Normal_PA_1" xfId="130" xr:uid="{00000000-0005-0000-0000-000073000000}"/>
    <cellStyle name="Note 2" xfId="112" xr:uid="{00000000-0005-0000-0000-000079000000}"/>
    <cellStyle name="Output 2" xfId="113" xr:uid="{00000000-0005-0000-0000-00007A000000}"/>
    <cellStyle name="Percent" xfId="129" builtinId="5"/>
    <cellStyle name="Percent 2" xfId="138" xr:uid="{E5C8103D-5C2F-4AB4-BFD4-6BA41AA58422}"/>
    <cellStyle name="Porcentaje 2" xfId="22" xr:uid="{00000000-0005-0000-0000-00007C000000}"/>
    <cellStyle name="Porcentaje 2 2" xfId="114" xr:uid="{00000000-0005-0000-0000-00007D000000}"/>
    <cellStyle name="Porcentaje 3" xfId="115" xr:uid="{00000000-0005-0000-0000-00007E000000}"/>
    <cellStyle name="Porcentual 2" xfId="116" xr:uid="{00000000-0005-0000-0000-00007F000000}"/>
    <cellStyle name="Porcentual 2 2" xfId="117" xr:uid="{00000000-0005-0000-0000-000080000000}"/>
    <cellStyle name="Porcentual 2 3" xfId="118" xr:uid="{00000000-0005-0000-0000-000081000000}"/>
    <cellStyle name="Porcentual 3" xfId="119" xr:uid="{00000000-0005-0000-0000-000082000000}"/>
    <cellStyle name="Porcentual 4" xfId="120" xr:uid="{00000000-0005-0000-0000-000083000000}"/>
    <cellStyle name="Porcentual 5" xfId="121" xr:uid="{00000000-0005-0000-0000-000084000000}"/>
    <cellStyle name="Porcentual 6" xfId="122" xr:uid="{00000000-0005-0000-0000-000085000000}"/>
    <cellStyle name="Porcentual 6 2" xfId="123" xr:uid="{00000000-0005-0000-0000-000086000000}"/>
    <cellStyle name="Porcentual 7" xfId="124" xr:uid="{00000000-0005-0000-0000-000087000000}"/>
    <cellStyle name="Porcentual 7 2" xfId="125" xr:uid="{00000000-0005-0000-0000-000088000000}"/>
    <cellStyle name="Punto" xfId="23" xr:uid="{00000000-0005-0000-0000-000089000000}"/>
    <cellStyle name="Punto0" xfId="24" xr:uid="{00000000-0005-0000-0000-00008A000000}"/>
    <cellStyle name="Title 2" xfId="126" xr:uid="{00000000-0005-0000-0000-00008B000000}"/>
    <cellStyle name="Total 2" xfId="127" xr:uid="{00000000-0005-0000-0000-00008C000000}"/>
    <cellStyle name="Warning Text 2" xfId="128" xr:uid="{00000000-0005-0000-0000-00008D000000}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6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23" Type="http://schemas.openxmlformats.org/officeDocument/2006/relationships/customXml" Target="../customXml/item5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Relationship Id="rId22" Type="http://schemas.openxmlformats.org/officeDocument/2006/relationships/customXml" Target="../customXml/item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'R41'!$A$18:$A$42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'R41'!$C$18:$C$42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E614-4D2E-A920-F1B672023599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'R41'!$A$18:$A$42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'R41'!$F$18:$F$42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E614-4D2E-A920-F1B6720235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Re!$A$18:$A$42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Re!$C$18:$C$42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ECD-498C-B7EE-38F607E3BD9C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Re!$F$18:$F$42</c:f>
              <c:numCache>
                <c:formatCode>0.00%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ECD-498C-B7EE-38F607E3BD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ES"/>
              <a:t>Curva de Avance Físico - Financiero</a:t>
            </a:r>
          </a:p>
        </c:rich>
      </c:tx>
      <c:layout>
        <c:manualLayout>
          <c:xMode val="edge"/>
          <c:yMode val="edge"/>
          <c:x val="0.74969191467547902"/>
          <c:y val="2.621302579604579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851811153247034E-2"/>
          <c:y val="0.13421052631578917"/>
          <c:w val="0.7283828354358437"/>
          <c:h val="0.7486081241787903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4'!$C$18:$C$42</c:f>
              <c:numCache>
                <c:formatCode>0.00%</c:formatCode>
                <c:ptCount val="25"/>
                <c:pt idx="0">
                  <c:v>0</c:v>
                </c:pt>
                <c:pt idx="1">
                  <c:v>2.5000000000000001E-2</c:v>
                </c:pt>
                <c:pt idx="2">
                  <c:v>5.5E-2</c:v>
                </c:pt>
                <c:pt idx="3">
                  <c:v>0.09</c:v>
                </c:pt>
                <c:pt idx="4">
                  <c:v>0.125</c:v>
                </c:pt>
                <c:pt idx="5">
                  <c:v>0.16500000000000001</c:v>
                </c:pt>
                <c:pt idx="6">
                  <c:v>0.21000000000000002</c:v>
                </c:pt>
                <c:pt idx="7">
                  <c:v>0.255</c:v>
                </c:pt>
                <c:pt idx="8">
                  <c:v>0.30499999999999999</c:v>
                </c:pt>
                <c:pt idx="9">
                  <c:v>0.36</c:v>
                </c:pt>
                <c:pt idx="10">
                  <c:v>0.41499999999999998</c:v>
                </c:pt>
                <c:pt idx="11">
                  <c:v>0.47</c:v>
                </c:pt>
                <c:pt idx="12">
                  <c:v>0.53</c:v>
                </c:pt>
                <c:pt idx="13">
                  <c:v>0.60000000000000009</c:v>
                </c:pt>
                <c:pt idx="14">
                  <c:v>0.67000000000000015</c:v>
                </c:pt>
                <c:pt idx="15">
                  <c:v>0.7350000000000001</c:v>
                </c:pt>
                <c:pt idx="16">
                  <c:v>0.8</c:v>
                </c:pt>
                <c:pt idx="17">
                  <c:v>0.85000000000000009</c:v>
                </c:pt>
                <c:pt idx="18">
                  <c:v>0.90000000000000013</c:v>
                </c:pt>
                <c:pt idx="19">
                  <c:v>0.94000000000000017</c:v>
                </c:pt>
                <c:pt idx="20">
                  <c:v>0.96000000000000019</c:v>
                </c:pt>
                <c:pt idx="21">
                  <c:v>0.9700000000000002</c:v>
                </c:pt>
                <c:pt idx="22">
                  <c:v>0.9800000000000002</c:v>
                </c:pt>
                <c:pt idx="23">
                  <c:v>0.99000000000000021</c:v>
                </c:pt>
                <c:pt idx="24">
                  <c:v>1.0000000000000002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CC7-43D1-AE18-B6FDB94BFA51}"/>
            </c:ext>
          </c:extLst>
        </c:ser>
        <c:ser>
          <c:idx val="1"/>
          <c:order val="1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'Tramo 4'!$A$18:$A$42</c:f>
              <c:numCache>
                <c:formatCode>General</c:formatCode>
                <c:ptCount val="25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</c:numCache>
            </c:numRef>
          </c:xVal>
          <c:yVal>
            <c:numRef>
              <c:f>'Tramo 4'!$F$18:$F$42</c:f>
              <c:numCache>
                <c:formatCode>0.00%</c:formatCode>
                <c:ptCount val="25"/>
                <c:pt idx="0">
                  <c:v>0.2</c:v>
                </c:pt>
                <c:pt idx="1">
                  <c:v>0.22</c:v>
                </c:pt>
                <c:pt idx="2">
                  <c:v>0.24399999999999999</c:v>
                </c:pt>
                <c:pt idx="3">
                  <c:v>0.27200000000000002</c:v>
                </c:pt>
                <c:pt idx="4">
                  <c:v>0.3</c:v>
                </c:pt>
                <c:pt idx="5">
                  <c:v>0.33200000000000002</c:v>
                </c:pt>
                <c:pt idx="6">
                  <c:v>0.36799999999999999</c:v>
                </c:pt>
                <c:pt idx="7">
                  <c:v>0.40400000000000003</c:v>
                </c:pt>
                <c:pt idx="8">
                  <c:v>0.44400000000000001</c:v>
                </c:pt>
                <c:pt idx="9">
                  <c:v>0.48799999999999999</c:v>
                </c:pt>
                <c:pt idx="10">
                  <c:v>0.53200000000000003</c:v>
                </c:pt>
                <c:pt idx="11">
                  <c:v>0.57599999999999996</c:v>
                </c:pt>
                <c:pt idx="12">
                  <c:v>0.624</c:v>
                </c:pt>
                <c:pt idx="13">
                  <c:v>0.68</c:v>
                </c:pt>
                <c:pt idx="14">
                  <c:v>0.73599999999999999</c:v>
                </c:pt>
                <c:pt idx="15">
                  <c:v>0.78800000000000003</c:v>
                </c:pt>
                <c:pt idx="16">
                  <c:v>0.84</c:v>
                </c:pt>
                <c:pt idx="17">
                  <c:v>0.88</c:v>
                </c:pt>
                <c:pt idx="18">
                  <c:v>0.92</c:v>
                </c:pt>
                <c:pt idx="19">
                  <c:v>0.95199999999999996</c:v>
                </c:pt>
                <c:pt idx="20">
                  <c:v>0.96799999999999997</c:v>
                </c:pt>
                <c:pt idx="21">
                  <c:v>0.97599999999999998</c:v>
                </c:pt>
                <c:pt idx="22">
                  <c:v>0.98399999999999999</c:v>
                </c:pt>
                <c:pt idx="23">
                  <c:v>0.99199999999999999</c:v>
                </c:pt>
                <c:pt idx="24">
                  <c:v>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CC7-43D1-AE18-B6FDB94BF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02848"/>
        <c:axId val="197640576"/>
      </c:scatterChart>
      <c:valAx>
        <c:axId val="197502848"/>
        <c:scaling>
          <c:orientation val="minMax"/>
          <c:max val="24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640576"/>
        <c:crosses val="autoZero"/>
        <c:crossBetween val="midCat"/>
        <c:majorUnit val="1"/>
      </c:valAx>
      <c:valAx>
        <c:axId val="19764057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7502848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3771146336539404"/>
          <c:y val="0.41052631578947668"/>
          <c:w val="0.15009390711714601"/>
          <c:h val="0.123684210526316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278" r="0.75000000000000278" t="1" header="0" footer="0"/>
    <c:pageSetup paperSize="9" orientation="landscape" horizontalDpi="-1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357188</xdr:colOff>
      <xdr:row>4</xdr:row>
      <xdr:rowOff>9525</xdr:rowOff>
    </xdr:from>
    <xdr:to>
      <xdr:col>26</xdr:col>
      <xdr:colOff>141514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C9DE286-2DC9-4B5F-BEB4-12C90F0DC9A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248331</xdr:colOff>
      <xdr:row>4</xdr:row>
      <xdr:rowOff>9525</xdr:rowOff>
    </xdr:from>
    <xdr:to>
      <xdr:col>26</xdr:col>
      <xdr:colOff>32657</xdr:colOff>
      <xdr:row>26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3CA234-1FC4-4FA5-971C-87A88ABCD44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TEODORON\Local%20Settings\Temporary%20Internet%20Files\Content.Outlook\K2JWR7MW\GRP%20EMP%202120OC-CO%20-%20SEP%202010%20(2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godoy.IDB\Documents\AR-L1274\Preparaci&#243;n\PEP%20POA%20PA\AR-L1274%20Borrador%20plan%20de%20adquisiciones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 t="str">
            <v>I</v>
          </cell>
          <cell r="D8" t="str">
            <v>Desarrollo</v>
          </cell>
          <cell r="E8" t="str">
            <v xml:space="preserve">Que la entidad se vea sometida a procesos judiciales y/o administrativos </v>
          </cell>
        </row>
        <row r="12">
          <cell r="C12" t="str">
            <v>I y II</v>
          </cell>
          <cell r="D12" t="str">
            <v>Desarrollo</v>
          </cell>
          <cell r="E12" t="str">
            <v>Sobrecostos de las obras</v>
          </cell>
        </row>
        <row r="19">
          <cell r="C19" t="str">
            <v>II</v>
          </cell>
          <cell r="D19" t="str">
            <v>Desarrollo</v>
          </cell>
          <cell r="E19" t="str">
            <v>Retrasos/ paro de ejecución del interceptor</v>
          </cell>
        </row>
        <row r="26">
          <cell r="C26" t="str">
            <v>I y II</v>
          </cell>
          <cell r="D26" t="str">
            <v>Fiduciarios</v>
          </cell>
          <cell r="E26" t="str">
            <v>Retrasos en las contrataciones /adquisiciones</v>
          </cell>
        </row>
        <row r="31">
          <cell r="C31" t="str">
            <v>I y II</v>
          </cell>
          <cell r="D31" t="str">
            <v>Ambientales y Sociales</v>
          </cell>
          <cell r="E31" t="str">
            <v>No se logren los objetivos de calidad del proyecto</v>
          </cell>
        </row>
        <row r="35">
          <cell r="C35" t="str">
            <v>I y II</v>
          </cell>
          <cell r="D35" t="str">
            <v>Ambientales y Sociales</v>
          </cell>
          <cell r="E35" t="str">
            <v>Impacto en el medio ambiente por problemas en el proceso de construcción</v>
          </cell>
        </row>
        <row r="40">
          <cell r="C40" t="str">
            <v>III</v>
          </cell>
          <cell r="D40" t="str">
            <v>Gobernabilidad</v>
          </cell>
          <cell r="E40" t="str">
            <v>Retraso en la implementación de la NIIF</v>
          </cell>
        </row>
        <row r="44">
          <cell r="C44" t="str">
            <v>I</v>
          </cell>
          <cell r="D44" t="str">
            <v>Desarrollo</v>
          </cell>
          <cell r="E44" t="str">
            <v>Retrasos/ paro de ejecución de la PTAR</v>
          </cell>
        </row>
      </sheetData>
      <sheetData sheetId="1">
        <row r="15">
          <cell r="I15">
            <v>2</v>
          </cell>
          <cell r="J15" t="str">
            <v>Medio</v>
          </cell>
        </row>
        <row r="16">
          <cell r="I16">
            <v>1</v>
          </cell>
          <cell r="J16" t="str">
            <v>Bajo</v>
          </cell>
        </row>
        <row r="17">
          <cell r="I17">
            <v>2</v>
          </cell>
          <cell r="J17" t="str">
            <v>Medio</v>
          </cell>
        </row>
        <row r="18">
          <cell r="I18">
            <v>2</v>
          </cell>
          <cell r="J18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1</v>
          </cell>
          <cell r="J23" t="str">
            <v>Bajo</v>
          </cell>
        </row>
        <row r="25">
          <cell r="I25">
            <v>2</v>
          </cell>
          <cell r="J25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ructura del Proyecto"/>
      <sheetName val="Plan de Adquisiciones"/>
      <sheetName val="Detalle Plan de Adquisiciones"/>
    </sheetNames>
    <sheetDataSet>
      <sheetData sheetId="0"/>
      <sheetData sheetId="1">
        <row r="11">
          <cell r="A11" t="str">
            <v>Obras de mejoramiento en red vial principal de la PBA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1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FE88DC-AAA0-491C-96BC-20476ECD8499}">
  <sheetPr>
    <pageSetUpPr fitToPage="1"/>
  </sheetPr>
  <dimension ref="A1:I93"/>
  <sheetViews>
    <sheetView topLeftCell="A27" zoomScaleNormal="100" workbookViewId="0">
      <selection activeCell="I32" sqref="I32"/>
    </sheetView>
  </sheetViews>
  <sheetFormatPr defaultColWidth="11.44140625" defaultRowHeight="15" x14ac:dyDescent="0.25"/>
  <cols>
    <col min="1" max="1" width="5.77734375" style="1" customWidth="1"/>
    <col min="2" max="2" width="58.77734375" style="1" customWidth="1"/>
    <col min="3" max="3" width="17" style="2" customWidth="1"/>
    <col min="4" max="4" width="8.21875" style="2" bestFit="1" customWidth="1"/>
    <col min="5" max="5" width="18.77734375" style="2" hidden="1" customWidth="1"/>
    <col min="6" max="6" width="9" style="2" hidden="1" customWidth="1"/>
    <col min="7" max="7" width="17.44140625" style="2" bestFit="1" customWidth="1"/>
    <col min="8" max="8" width="13.21875" style="1" bestFit="1" customWidth="1"/>
    <col min="9" max="16384" width="11.44140625" style="1"/>
  </cols>
  <sheetData>
    <row r="1" spans="1:9" ht="16.5" customHeight="1" x14ac:dyDescent="0.25">
      <c r="A1" s="347" t="s">
        <v>242</v>
      </c>
      <c r="B1" s="347"/>
      <c r="C1" s="347"/>
      <c r="D1" s="347"/>
      <c r="E1" s="347"/>
      <c r="F1" s="347"/>
      <c r="G1" s="347"/>
    </row>
    <row r="2" spans="1:9" ht="33.75" customHeight="1" x14ac:dyDescent="0.25">
      <c r="A2" s="348" t="s">
        <v>241</v>
      </c>
      <c r="B2" s="348"/>
      <c r="C2" s="348"/>
      <c r="D2" s="348"/>
      <c r="E2" s="348"/>
      <c r="F2" s="348"/>
      <c r="G2" s="348"/>
    </row>
    <row r="3" spans="1:9" ht="33.75" hidden="1" customHeight="1" x14ac:dyDescent="0.25">
      <c r="A3" s="333"/>
      <c r="B3" s="333"/>
      <c r="C3" s="333"/>
      <c r="D3" s="333"/>
      <c r="E3" s="333"/>
      <c r="F3" s="333"/>
      <c r="G3" s="333"/>
    </row>
    <row r="4" spans="1:9" ht="33.75" hidden="1" customHeight="1" x14ac:dyDescent="0.25">
      <c r="A4" s="333" t="s">
        <v>5</v>
      </c>
      <c r="B4" s="333" t="s">
        <v>6</v>
      </c>
      <c r="C4" s="333"/>
      <c r="D4" s="333"/>
      <c r="E4" s="333"/>
      <c r="F4" s="333"/>
      <c r="G4" s="333"/>
    </row>
    <row r="5" spans="1:9" ht="15" hidden="1" customHeight="1" x14ac:dyDescent="0.25">
      <c r="A5" s="333"/>
      <c r="B5" s="333"/>
      <c r="C5" s="333"/>
      <c r="D5" s="333"/>
      <c r="E5" s="333"/>
      <c r="F5" s="333"/>
      <c r="G5" s="333"/>
    </row>
    <row r="6" spans="1:9" customFormat="1" ht="13.2" hidden="1" x14ac:dyDescent="0.25">
      <c r="A6" s="349"/>
      <c r="B6" s="351" t="s">
        <v>7</v>
      </c>
      <c r="C6" s="17" t="s">
        <v>8</v>
      </c>
      <c r="D6" s="215"/>
      <c r="E6" s="215"/>
      <c r="F6" s="215"/>
      <c r="G6" s="215"/>
    </row>
    <row r="7" spans="1:9" customFormat="1" ht="13.2" hidden="1" x14ac:dyDescent="0.25">
      <c r="A7" s="350"/>
      <c r="B7" s="352"/>
      <c r="C7" s="18" t="s">
        <v>9</v>
      </c>
      <c r="D7" s="18"/>
      <c r="E7" s="18"/>
      <c r="F7" s="18"/>
      <c r="G7" s="18"/>
    </row>
    <row r="8" spans="1:9" customFormat="1" ht="23.25" hidden="1" customHeight="1" x14ac:dyDescent="0.25">
      <c r="A8" s="7">
        <v>1</v>
      </c>
      <c r="B8" s="8" t="s">
        <v>10</v>
      </c>
      <c r="C8" s="9">
        <f>+C9</f>
        <v>502000000</v>
      </c>
      <c r="D8" s="9"/>
      <c r="E8" s="9" t="s">
        <v>11</v>
      </c>
      <c r="F8" s="216"/>
      <c r="G8" s="216" t="s">
        <v>12</v>
      </c>
    </row>
    <row r="9" spans="1:9" s="13" customFormat="1" ht="13.2" hidden="1" x14ac:dyDescent="0.25">
      <c r="A9" s="10">
        <v>1.1000000000000001</v>
      </c>
      <c r="B9" s="11" t="s">
        <v>13</v>
      </c>
      <c r="C9" s="12">
        <f>+C10+C13+C11+C12</f>
        <v>502000000</v>
      </c>
      <c r="D9" s="12"/>
      <c r="E9" s="12">
        <f>+E10+E11+E12+E13</f>
        <v>474000000</v>
      </c>
      <c r="F9" s="12"/>
      <c r="G9" s="12">
        <f>+G10+G11+G12+G13</f>
        <v>28000000</v>
      </c>
      <c r="H9" s="222"/>
      <c r="I9" s="231"/>
    </row>
    <row r="10" spans="1:9" s="13" customFormat="1" ht="13.2" hidden="1" x14ac:dyDescent="0.25">
      <c r="A10" s="101" t="s">
        <v>14</v>
      </c>
      <c r="B10" s="102" t="s">
        <v>15</v>
      </c>
      <c r="C10" s="103">
        <f>+G10+E10</f>
        <v>107000000</v>
      </c>
      <c r="D10" s="103"/>
      <c r="E10" s="103">
        <v>100000000</v>
      </c>
      <c r="F10" s="103"/>
      <c r="G10" s="103">
        <v>7000000</v>
      </c>
      <c r="H10" s="222"/>
      <c r="I10" s="223"/>
    </row>
    <row r="11" spans="1:9" s="13" customFormat="1" ht="13.2" hidden="1" x14ac:dyDescent="0.25">
      <c r="A11" s="101" t="s">
        <v>16</v>
      </c>
      <c r="B11" s="102" t="s">
        <v>17</v>
      </c>
      <c r="C11" s="103">
        <f t="shared" ref="C11:C13" si="0">+G11+E11</f>
        <v>144000000</v>
      </c>
      <c r="D11" s="103"/>
      <c r="E11" s="103">
        <v>135000000</v>
      </c>
      <c r="F11" s="103"/>
      <c r="G11" s="103">
        <v>9000000</v>
      </c>
      <c r="H11" s="222"/>
      <c r="I11" s="223"/>
    </row>
    <row r="12" spans="1:9" s="13" customFormat="1" ht="13.2" hidden="1" x14ac:dyDescent="0.25">
      <c r="A12" s="101" t="s">
        <v>18</v>
      </c>
      <c r="B12" s="102" t="s">
        <v>19</v>
      </c>
      <c r="C12" s="103">
        <f t="shared" si="0"/>
        <v>134000000</v>
      </c>
      <c r="D12" s="103"/>
      <c r="E12" s="103">
        <v>128000000</v>
      </c>
      <c r="F12" s="103"/>
      <c r="G12" s="103">
        <v>6000000</v>
      </c>
      <c r="H12" s="222"/>
      <c r="I12" s="223"/>
    </row>
    <row r="13" spans="1:9" s="13" customFormat="1" ht="13.2" hidden="1" x14ac:dyDescent="0.25">
      <c r="A13" s="101" t="s">
        <v>20</v>
      </c>
      <c r="B13" s="102" t="s">
        <v>21</v>
      </c>
      <c r="C13" s="103">
        <f t="shared" si="0"/>
        <v>117000000</v>
      </c>
      <c r="D13" s="103"/>
      <c r="E13" s="103">
        <v>111000000</v>
      </c>
      <c r="F13" s="103"/>
      <c r="G13" s="103">
        <v>6000000</v>
      </c>
      <c r="H13" s="222"/>
      <c r="I13" s="223"/>
    </row>
    <row r="14" spans="1:9" customFormat="1" ht="18.75" hidden="1" customHeight="1" x14ac:dyDescent="0.25">
      <c r="A14" s="7">
        <v>2</v>
      </c>
      <c r="B14" s="8" t="s">
        <v>22</v>
      </c>
      <c r="C14" s="9" t="e">
        <f>+C15+C16+C17+C18</f>
        <v>#REF!</v>
      </c>
      <c r="D14" s="9"/>
      <c r="E14" s="9" t="e">
        <f>+E15+E16+E17</f>
        <v>#REF!</v>
      </c>
      <c r="F14" s="216"/>
      <c r="G14" s="216"/>
    </row>
    <row r="15" spans="1:9" customFormat="1" ht="18.75" hidden="1" customHeight="1" x14ac:dyDescent="0.25">
      <c r="A15" s="10">
        <v>2.1</v>
      </c>
      <c r="B15" s="11" t="s">
        <v>23</v>
      </c>
      <c r="C15" s="12" t="e">
        <f>+#REF!</f>
        <v>#REF!</v>
      </c>
      <c r="D15" s="12"/>
      <c r="E15" s="12" t="e">
        <f>+#REF!</f>
        <v>#REF!</v>
      </c>
      <c r="F15" s="12"/>
      <c r="G15" s="12"/>
    </row>
    <row r="16" spans="1:9" customFormat="1" ht="13.2" hidden="1" x14ac:dyDescent="0.25">
      <c r="A16" s="10">
        <v>2.2000000000000002</v>
      </c>
      <c r="B16" s="11" t="s">
        <v>24</v>
      </c>
      <c r="C16" s="12" t="e">
        <f>+#REF!</f>
        <v>#REF!</v>
      </c>
      <c r="D16" s="12"/>
      <c r="E16" s="12" t="e">
        <f>+#REF!</f>
        <v>#REF!</v>
      </c>
      <c r="F16" s="12"/>
      <c r="G16" s="12"/>
    </row>
    <row r="17" spans="1:8" s="13" customFormat="1" ht="13.2" hidden="1" x14ac:dyDescent="0.25">
      <c r="A17" s="10">
        <v>2.2999999999999998</v>
      </c>
      <c r="B17" s="11" t="s">
        <v>25</v>
      </c>
      <c r="C17" s="12" t="e">
        <f>+#REF!</f>
        <v>#REF!</v>
      </c>
      <c r="D17" s="12"/>
      <c r="E17" s="12" t="e">
        <f>+#REF!</f>
        <v>#REF!</v>
      </c>
      <c r="F17" s="12"/>
      <c r="G17" s="12"/>
    </row>
    <row r="18" spans="1:8" s="13" customFormat="1" ht="13.2" hidden="1" x14ac:dyDescent="0.25">
      <c r="A18" s="10">
        <v>2.4</v>
      </c>
      <c r="B18" s="11" t="s">
        <v>26</v>
      </c>
      <c r="C18" s="12" t="e">
        <f>+#REF!</f>
        <v>#REF!</v>
      </c>
      <c r="D18" s="12"/>
      <c r="E18" s="12"/>
      <c r="F18" s="12"/>
      <c r="G18" s="12"/>
    </row>
    <row r="19" spans="1:8" customFormat="1" ht="13.2" hidden="1" x14ac:dyDescent="0.25">
      <c r="A19" s="14"/>
      <c r="B19" s="15" t="s">
        <v>27</v>
      </c>
      <c r="C19" s="16" t="e">
        <f>+C14+C8</f>
        <v>#REF!</v>
      </c>
      <c r="D19" s="16"/>
      <c r="E19" s="16"/>
      <c r="F19" s="16"/>
      <c r="G19" s="16"/>
    </row>
    <row r="20" spans="1:8" customFormat="1" ht="13.2" hidden="1" x14ac:dyDescent="0.25"/>
    <row r="21" spans="1:8" customFormat="1" hidden="1" x14ac:dyDescent="0.25">
      <c r="A21" s="1"/>
      <c r="B21" s="1"/>
      <c r="C21" s="2"/>
      <c r="D21" s="2"/>
      <c r="E21" s="2"/>
      <c r="F21" s="2"/>
      <c r="G21" s="2"/>
    </row>
    <row r="22" spans="1:8" s="13" customFormat="1" ht="22.5" hidden="1" customHeight="1" x14ac:dyDescent="0.25">
      <c r="A22" s="1"/>
      <c r="B22" s="1"/>
      <c r="C22" s="2"/>
      <c r="D22" s="2"/>
      <c r="E22" s="2"/>
      <c r="F22" s="2"/>
      <c r="G22" s="2"/>
    </row>
    <row r="23" spans="1:8" customFormat="1" x14ac:dyDescent="0.25">
      <c r="A23" s="1"/>
      <c r="B23" s="1"/>
      <c r="C23" s="2"/>
      <c r="D23" s="2"/>
      <c r="E23" s="2"/>
      <c r="F23" s="2"/>
      <c r="G23" s="2"/>
    </row>
    <row r="24" spans="1:8" s="13" customFormat="1" ht="22.5" customHeight="1" x14ac:dyDescent="0.25">
      <c r="A24" s="333"/>
      <c r="B24" s="333" t="s">
        <v>6</v>
      </c>
      <c r="C24" s="2"/>
      <c r="D24" s="2"/>
      <c r="E24" s="2"/>
      <c r="F24" s="2"/>
      <c r="G24" s="2"/>
    </row>
    <row r="25" spans="1:8" customFormat="1" x14ac:dyDescent="0.25">
      <c r="A25" s="1"/>
      <c r="B25" s="1"/>
      <c r="C25" s="2"/>
      <c r="D25" s="2"/>
      <c r="E25" s="2"/>
      <c r="F25" s="2"/>
      <c r="G25" s="2"/>
    </row>
    <row r="26" spans="1:8" customFormat="1" ht="14.4" x14ac:dyDescent="0.25">
      <c r="A26" s="353"/>
      <c r="B26" s="354" t="s">
        <v>7</v>
      </c>
      <c r="C26" s="322" t="s">
        <v>8</v>
      </c>
      <c r="D26" s="323"/>
      <c r="E26" s="323" t="s">
        <v>28</v>
      </c>
      <c r="F26" s="323"/>
      <c r="G26" s="323" t="s">
        <v>27</v>
      </c>
    </row>
    <row r="27" spans="1:8" customFormat="1" thickBot="1" x14ac:dyDescent="0.3">
      <c r="A27" s="353"/>
      <c r="B27" s="354"/>
      <c r="C27" s="322" t="s">
        <v>9</v>
      </c>
      <c r="D27" s="324"/>
      <c r="E27" s="324" t="s">
        <v>9</v>
      </c>
      <c r="F27" s="324"/>
      <c r="G27" s="324" t="s">
        <v>9</v>
      </c>
    </row>
    <row r="28" spans="1:8" customFormat="1" thickBot="1" x14ac:dyDescent="0.3">
      <c r="A28" s="316"/>
      <c r="B28" s="317"/>
      <c r="C28" s="328" t="s">
        <v>274</v>
      </c>
      <c r="D28" s="328"/>
      <c r="E28" s="328"/>
      <c r="F28" s="328"/>
      <c r="G28" s="328"/>
    </row>
    <row r="29" spans="1:8" customFormat="1" ht="16.5" customHeight="1" thickBot="1" x14ac:dyDescent="0.3">
      <c r="A29" s="316"/>
      <c r="B29" s="317" t="s">
        <v>240</v>
      </c>
      <c r="C29" s="328">
        <f>+SUM(C30:C37)</f>
        <v>292500000</v>
      </c>
      <c r="D29" s="328"/>
      <c r="E29" s="328">
        <f t="shared" ref="E29:G29" si="1">+SUM(E30:E37)</f>
        <v>0</v>
      </c>
      <c r="F29" s="328">
        <f t="shared" si="1"/>
        <v>0</v>
      </c>
      <c r="G29" s="328">
        <f t="shared" si="1"/>
        <v>292500000</v>
      </c>
      <c r="H29" s="232"/>
    </row>
    <row r="30" spans="1:8" s="13" customFormat="1" ht="30" customHeight="1" x14ac:dyDescent="0.25">
      <c r="A30" s="325">
        <v>1.1000000000000001</v>
      </c>
      <c r="B30" s="336" t="s">
        <v>245</v>
      </c>
      <c r="C30" s="329">
        <v>31750000</v>
      </c>
      <c r="D30" s="327">
        <f>+C30/G30</f>
        <v>1</v>
      </c>
      <c r="E30" s="329"/>
      <c r="F30" s="329"/>
      <c r="G30" s="329">
        <f>+C30</f>
        <v>31750000</v>
      </c>
      <c r="H30" s="232"/>
    </row>
    <row r="31" spans="1:8" s="13" customFormat="1" ht="30" customHeight="1" x14ac:dyDescent="0.25">
      <c r="A31" s="325">
        <v>1.2</v>
      </c>
      <c r="B31" s="336" t="s">
        <v>246</v>
      </c>
      <c r="C31" s="329">
        <v>22500000</v>
      </c>
      <c r="D31" s="327">
        <f t="shared" ref="D31:D37" si="2">+C31/G31</f>
        <v>1</v>
      </c>
      <c r="E31" s="329"/>
      <c r="F31" s="329"/>
      <c r="G31" s="329">
        <f t="shared" ref="G31:G44" si="3">+C31</f>
        <v>22500000</v>
      </c>
      <c r="H31" s="232"/>
    </row>
    <row r="32" spans="1:8" s="13" customFormat="1" ht="22.5" customHeight="1" x14ac:dyDescent="0.25">
      <c r="A32" s="325">
        <v>1.3</v>
      </c>
      <c r="B32" s="336" t="s">
        <v>263</v>
      </c>
      <c r="C32" s="329">
        <v>22260000</v>
      </c>
      <c r="D32" s="327">
        <f t="shared" si="2"/>
        <v>1</v>
      </c>
      <c r="E32" s="329"/>
      <c r="F32" s="329"/>
      <c r="G32" s="329">
        <f t="shared" si="3"/>
        <v>22260000</v>
      </c>
      <c r="H32" s="232"/>
    </row>
    <row r="33" spans="1:8" s="13" customFormat="1" ht="22.5" customHeight="1" x14ac:dyDescent="0.25">
      <c r="A33" s="325">
        <v>1.4</v>
      </c>
      <c r="B33" s="336" t="s">
        <v>247</v>
      </c>
      <c r="C33" s="329">
        <v>14740000</v>
      </c>
      <c r="D33" s="327">
        <f t="shared" si="2"/>
        <v>1</v>
      </c>
      <c r="E33" s="329"/>
      <c r="F33" s="329"/>
      <c r="G33" s="329">
        <f t="shared" si="3"/>
        <v>14740000</v>
      </c>
      <c r="H33" s="232"/>
    </row>
    <row r="34" spans="1:8" customFormat="1" ht="14.4" x14ac:dyDescent="0.25">
      <c r="A34" s="325">
        <v>1.5</v>
      </c>
      <c r="B34" s="336" t="s">
        <v>270</v>
      </c>
      <c r="C34" s="329">
        <v>145350000</v>
      </c>
      <c r="D34" s="327">
        <f t="shared" si="2"/>
        <v>1</v>
      </c>
      <c r="E34" s="329"/>
      <c r="F34" s="329"/>
      <c r="G34" s="329">
        <f t="shared" si="3"/>
        <v>145350000</v>
      </c>
      <c r="H34" s="232"/>
    </row>
    <row r="35" spans="1:8" customFormat="1" ht="14.4" x14ac:dyDescent="0.25">
      <c r="A35" s="325">
        <v>1.6</v>
      </c>
      <c r="B35" s="336" t="s">
        <v>271</v>
      </c>
      <c r="C35" s="334">
        <v>46900000</v>
      </c>
      <c r="D35" s="335">
        <f>+D34</f>
        <v>1</v>
      </c>
      <c r="E35" s="334"/>
      <c r="F35" s="334"/>
      <c r="G35" s="329">
        <f t="shared" si="3"/>
        <v>46900000</v>
      </c>
      <c r="H35" s="232"/>
    </row>
    <row r="36" spans="1:8" customFormat="1" ht="14.4" x14ac:dyDescent="0.25">
      <c r="A36" s="325">
        <v>1.7</v>
      </c>
      <c r="B36" s="336" t="s">
        <v>244</v>
      </c>
      <c r="C36" s="329">
        <v>6000000</v>
      </c>
      <c r="D36" s="327">
        <f t="shared" si="2"/>
        <v>1</v>
      </c>
      <c r="E36" s="329"/>
      <c r="F36" s="329"/>
      <c r="G36" s="329">
        <f t="shared" si="3"/>
        <v>6000000</v>
      </c>
      <c r="H36" s="232"/>
    </row>
    <row r="37" spans="1:8" customFormat="1" thickBot="1" x14ac:dyDescent="0.3">
      <c r="A37" s="325">
        <v>1.8</v>
      </c>
      <c r="B37" s="336" t="s">
        <v>30</v>
      </c>
      <c r="C37" s="329">
        <v>3000000</v>
      </c>
      <c r="D37" s="327">
        <f t="shared" si="2"/>
        <v>1</v>
      </c>
      <c r="E37" s="329"/>
      <c r="F37" s="329"/>
      <c r="G37" s="329">
        <f t="shared" si="3"/>
        <v>3000000</v>
      </c>
      <c r="H37" s="232"/>
    </row>
    <row r="38" spans="1:8" customFormat="1" thickBot="1" x14ac:dyDescent="0.3">
      <c r="A38" s="316">
        <v>2</v>
      </c>
      <c r="B38" s="337" t="s">
        <v>29</v>
      </c>
      <c r="C38" s="328">
        <f>+SUM(C39+C40)</f>
        <v>3000000</v>
      </c>
      <c r="D38" s="328"/>
      <c r="E38" s="328">
        <f t="shared" ref="E38:F38" si="4">+SUM(E39+E40)</f>
        <v>0</v>
      </c>
      <c r="F38" s="328">
        <f t="shared" si="4"/>
        <v>0</v>
      </c>
      <c r="G38" s="328">
        <f t="shared" si="3"/>
        <v>3000000</v>
      </c>
      <c r="H38" s="328"/>
    </row>
    <row r="39" spans="1:8" customFormat="1" ht="14.4" x14ac:dyDescent="0.25">
      <c r="A39" s="325">
        <v>2.1</v>
      </c>
      <c r="B39" s="336" t="s">
        <v>276</v>
      </c>
      <c r="C39" s="329">
        <v>2900000</v>
      </c>
      <c r="D39" s="327">
        <f t="shared" ref="D39:D44" si="5">+C39/G39</f>
        <v>1</v>
      </c>
      <c r="E39" s="329">
        <v>0</v>
      </c>
      <c r="F39" s="329">
        <f t="shared" ref="F39:F44" si="6">+E39/G39</f>
        <v>0</v>
      </c>
      <c r="G39" s="329">
        <f t="shared" si="3"/>
        <v>2900000</v>
      </c>
      <c r="H39" s="232"/>
    </row>
    <row r="40" spans="1:8" customFormat="1" ht="29.4" thickBot="1" x14ac:dyDescent="0.3">
      <c r="A40" s="325">
        <v>2.2000000000000002</v>
      </c>
      <c r="B40" s="336" t="s">
        <v>248</v>
      </c>
      <c r="C40" s="329">
        <v>100000</v>
      </c>
      <c r="D40" s="327">
        <f t="shared" si="5"/>
        <v>1</v>
      </c>
      <c r="E40" s="329">
        <v>0</v>
      </c>
      <c r="F40" s="329">
        <f t="shared" si="6"/>
        <v>0</v>
      </c>
      <c r="G40" s="329">
        <f t="shared" si="3"/>
        <v>100000</v>
      </c>
      <c r="H40" s="232"/>
    </row>
    <row r="41" spans="1:8" customFormat="1" thickBot="1" x14ac:dyDescent="0.3">
      <c r="A41" s="316"/>
      <c r="B41" s="317" t="s">
        <v>261</v>
      </c>
      <c r="C41" s="328">
        <f>+SUM(C42:C44)</f>
        <v>4500000</v>
      </c>
      <c r="D41" s="328"/>
      <c r="E41" s="328">
        <f>+E42+E44</f>
        <v>0</v>
      </c>
      <c r="F41" s="328">
        <f>+E41/G41</f>
        <v>0</v>
      </c>
      <c r="G41" s="328">
        <f t="shared" si="3"/>
        <v>4500000</v>
      </c>
      <c r="H41" s="328"/>
    </row>
    <row r="42" spans="1:8" customFormat="1" ht="14.4" x14ac:dyDescent="0.25">
      <c r="A42" s="325">
        <v>3.1</v>
      </c>
      <c r="B42" s="326" t="s">
        <v>31</v>
      </c>
      <c r="C42" s="329">
        <v>4000000</v>
      </c>
      <c r="D42" s="327">
        <f t="shared" si="5"/>
        <v>1</v>
      </c>
      <c r="E42" s="329">
        <v>0</v>
      </c>
      <c r="F42" s="329">
        <f t="shared" si="6"/>
        <v>0</v>
      </c>
      <c r="G42" s="329">
        <f t="shared" si="3"/>
        <v>4000000</v>
      </c>
      <c r="H42" s="232"/>
    </row>
    <row r="43" spans="1:8" customFormat="1" ht="14.4" x14ac:dyDescent="0.25">
      <c r="A43" s="325">
        <v>3.2</v>
      </c>
      <c r="B43" s="326" t="s">
        <v>243</v>
      </c>
      <c r="C43" s="329">
        <v>50000</v>
      </c>
      <c r="D43" s="327">
        <f>+C43/G43</f>
        <v>1</v>
      </c>
      <c r="E43" s="329"/>
      <c r="F43" s="329"/>
      <c r="G43" s="329">
        <f t="shared" si="3"/>
        <v>50000</v>
      </c>
      <c r="H43" s="232"/>
    </row>
    <row r="44" spans="1:8" customFormat="1" thickBot="1" x14ac:dyDescent="0.3">
      <c r="A44" s="325">
        <v>3.3</v>
      </c>
      <c r="B44" s="326" t="s">
        <v>262</v>
      </c>
      <c r="C44" s="329">
        <v>450000</v>
      </c>
      <c r="D44" s="327">
        <f t="shared" si="5"/>
        <v>1</v>
      </c>
      <c r="E44" s="329">
        <v>0</v>
      </c>
      <c r="F44" s="329">
        <f t="shared" si="6"/>
        <v>0</v>
      </c>
      <c r="G44" s="329">
        <f t="shared" si="3"/>
        <v>450000</v>
      </c>
      <c r="H44" s="232"/>
    </row>
    <row r="45" spans="1:8" ht="15.6" thickBot="1" x14ac:dyDescent="0.3">
      <c r="A45" s="316"/>
      <c r="B45" s="317" t="s">
        <v>27</v>
      </c>
      <c r="C45" s="328">
        <f>+SUM(C41+C38+C29)</f>
        <v>300000000</v>
      </c>
      <c r="D45" s="328"/>
      <c r="E45" s="328">
        <f>+E38+E29+E41</f>
        <v>0</v>
      </c>
      <c r="F45" s="328"/>
      <c r="G45" s="328">
        <f>+G41+G38+G29</f>
        <v>300000000</v>
      </c>
    </row>
    <row r="53" spans="2:7" x14ac:dyDescent="0.25">
      <c r="B53" s="6"/>
      <c r="C53" s="4"/>
      <c r="D53" s="4"/>
      <c r="E53" s="4"/>
      <c r="F53" s="4"/>
      <c r="G53" s="4"/>
    </row>
    <row r="54" spans="2:7" x14ac:dyDescent="0.25">
      <c r="B54" s="5"/>
      <c r="C54" s="4"/>
      <c r="D54" s="4"/>
      <c r="E54" s="4"/>
      <c r="F54" s="4"/>
      <c r="G54" s="4"/>
    </row>
    <row r="55" spans="2:7" x14ac:dyDescent="0.25">
      <c r="B55" s="5"/>
      <c r="C55" s="4"/>
      <c r="D55" s="4"/>
      <c r="E55" s="4"/>
      <c r="F55" s="4"/>
      <c r="G55" s="4"/>
    </row>
    <row r="56" spans="2:7" x14ac:dyDescent="0.25">
      <c r="B56" s="5"/>
      <c r="C56" s="4"/>
      <c r="D56" s="4"/>
      <c r="E56" s="4"/>
      <c r="F56" s="4"/>
      <c r="G56" s="4"/>
    </row>
    <row r="57" spans="2:7" ht="16.5" customHeight="1" x14ac:dyDescent="0.25">
      <c r="B57" s="3"/>
      <c r="C57" s="4"/>
      <c r="D57" s="4"/>
      <c r="E57" s="4"/>
      <c r="F57" s="4"/>
      <c r="G57" s="4"/>
    </row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4" ht="16.5" customHeight="1" x14ac:dyDescent="0.25"/>
    <row r="77" ht="16.5" customHeight="1" x14ac:dyDescent="0.25"/>
    <row r="93" ht="16.5" customHeight="1" x14ac:dyDescent="0.25"/>
  </sheetData>
  <mergeCells count="6">
    <mergeCell ref="A1:G1"/>
    <mergeCell ref="A2:G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C66"/>
  <sheetViews>
    <sheetView showGridLines="0" zoomScale="80" zoomScaleNormal="80" workbookViewId="0">
      <selection activeCell="I46" sqref="I46:J46"/>
    </sheetView>
  </sheetViews>
  <sheetFormatPr defaultColWidth="11.44140625" defaultRowHeight="12" x14ac:dyDescent="0.25"/>
  <cols>
    <col min="1" max="1" width="17.44140625" style="91" customWidth="1"/>
    <col min="2" max="2" width="14.21875" style="91" customWidth="1"/>
    <col min="3" max="3" width="16.77734375" style="91" customWidth="1"/>
    <col min="4" max="4" width="13.77734375" style="91" customWidth="1"/>
    <col min="5" max="5" width="13.5546875" style="91" customWidth="1"/>
    <col min="6" max="6" width="18.21875" style="91" customWidth="1"/>
    <col min="7" max="7" width="17.5546875" style="91" customWidth="1"/>
    <col min="8" max="8" width="17.44140625" style="91" customWidth="1"/>
    <col min="9" max="9" width="13.77734375" style="91" customWidth="1"/>
    <col min="10" max="10" width="16.44140625" style="91" customWidth="1"/>
    <col min="11" max="11" width="13.77734375" style="91" customWidth="1"/>
    <col min="12" max="12" width="15.77734375" style="91" customWidth="1"/>
    <col min="13" max="13" width="15.21875" style="91" customWidth="1"/>
    <col min="14" max="20" width="13.77734375" style="91" customWidth="1"/>
    <col min="21" max="21" width="14.77734375" style="91" customWidth="1"/>
    <col min="22" max="16384" width="11.44140625" style="91"/>
  </cols>
  <sheetData>
    <row r="1" spans="1:21" ht="15.75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25">
      <c r="A2" s="22"/>
      <c r="B2" s="23"/>
      <c r="C2" s="24"/>
      <c r="D2" s="24"/>
      <c r="E2" s="25"/>
      <c r="F2" s="25"/>
      <c r="G2" s="21"/>
      <c r="H2" s="26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22" t="s">
        <v>206</v>
      </c>
      <c r="B3" s="429" t="e">
        <f>+#REF!</f>
        <v>#REF!</v>
      </c>
      <c r="C3" s="429"/>
      <c r="D3" s="429"/>
      <c r="E3" s="429"/>
      <c r="F3" s="429"/>
      <c r="G3" s="429"/>
      <c r="H3" s="429"/>
      <c r="I3" s="429"/>
      <c r="J3" s="27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x14ac:dyDescent="0.25">
      <c r="A5" s="430" t="str">
        <f>CONCATENATE("PLAZO: ",A44," MESES (",A45,")")</f>
        <v>PLAZO: 26 MESES (780 dias)</v>
      </c>
      <c r="B5" s="430"/>
      <c r="C5" s="430"/>
      <c r="D5" s="29"/>
      <c r="E5" s="30" t="s">
        <v>207</v>
      </c>
      <c r="F5" s="21"/>
      <c r="G5" s="21"/>
      <c r="H5" s="26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x14ac:dyDescent="0.25">
      <c r="A6" s="21"/>
      <c r="B6" s="31"/>
      <c r="C6" s="29"/>
      <c r="D6" s="29"/>
      <c r="E6" s="29"/>
      <c r="F6" s="21"/>
      <c r="G6" s="21"/>
      <c r="H6" s="26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x14ac:dyDescent="0.25">
      <c r="A7" s="21"/>
      <c r="B7" s="31"/>
      <c r="C7" s="32" t="s">
        <v>208</v>
      </c>
      <c r="D7" s="431"/>
      <c r="E7" s="431"/>
      <c r="F7" s="431"/>
      <c r="G7" s="21"/>
      <c r="H7" s="32" t="s">
        <v>209</v>
      </c>
      <c r="I7" s="33">
        <f ca="1">NOW()</f>
        <v>43616.674115740738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x14ac:dyDescent="0.25">
      <c r="A8" s="21"/>
      <c r="B8" s="31"/>
      <c r="C8" s="32" t="str">
        <f>IF(D7=0,"MONTO ESTIMADO CON IVA:","MONTO DE CONTRATO CON IVA:")</f>
        <v>MONTO ESTIMADO CON IVA:</v>
      </c>
      <c r="D8" s="34" t="e">
        <f>+#REF!</f>
        <v>#REF!</v>
      </c>
      <c r="E8" s="35" t="s">
        <v>210</v>
      </c>
      <c r="F8" s="21" t="s">
        <v>211</v>
      </c>
      <c r="G8" s="21"/>
      <c r="H8" s="26" t="s">
        <v>212</v>
      </c>
      <c r="I8" s="36">
        <v>1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 x14ac:dyDescent="0.25">
      <c r="A9" s="21"/>
      <c r="B9" s="31"/>
      <c r="C9" s="32" t="s">
        <v>235</v>
      </c>
      <c r="D9" s="34">
        <v>900000</v>
      </c>
      <c r="E9" s="29" t="s">
        <v>213</v>
      </c>
      <c r="F9" s="21"/>
      <c r="G9" s="21"/>
      <c r="H9" s="26"/>
      <c r="I9" s="37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x14ac:dyDescent="0.25">
      <c r="A10" s="21"/>
      <c r="B10" s="31"/>
      <c r="C10" s="32" t="s">
        <v>236</v>
      </c>
      <c r="D10" s="34" t="e">
        <f>+D8+D9</f>
        <v>#REF!</v>
      </c>
      <c r="E10" s="29" t="s">
        <v>210</v>
      </c>
      <c r="F10" s="21"/>
      <c r="G10" s="21"/>
      <c r="H10" s="26"/>
      <c r="I10" s="37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x14ac:dyDescent="0.25">
      <c r="A11" s="21"/>
      <c r="B11" s="21"/>
      <c r="C11" s="32" t="str">
        <f>IF(D7=0,"MONTO ESTIMADO SIN IVA:","MONTO DE CONTRATO SIN IVA:")</f>
        <v>MONTO ESTIMADO SIN IVA:</v>
      </c>
      <c r="D11" s="38" t="e">
        <f>D8</f>
        <v>#REF!</v>
      </c>
      <c r="E11" s="39" t="s">
        <v>213</v>
      </c>
      <c r="F11" s="29"/>
      <c r="G11" s="21"/>
      <c r="H11" s="26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x14ac:dyDescent="0.25">
      <c r="A12" s="21"/>
      <c r="B12" s="21"/>
      <c r="C12" s="32" t="s">
        <v>214</v>
      </c>
      <c r="D12" s="36">
        <v>100</v>
      </c>
      <c r="E12" s="29"/>
      <c r="F12" s="29" t="s">
        <v>215</v>
      </c>
      <c r="G12" s="21"/>
      <c r="H12" s="26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x14ac:dyDescent="0.25">
      <c r="A13" s="21"/>
      <c r="B13" s="21"/>
      <c r="C13" s="32" t="s">
        <v>216</v>
      </c>
      <c r="D13" s="40">
        <f>100-D12</f>
        <v>0</v>
      </c>
      <c r="E13" s="29"/>
      <c r="F13" s="29"/>
      <c r="G13" s="21"/>
      <c r="H13" s="26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x14ac:dyDescent="0.25">
      <c r="A14" s="21"/>
      <c r="B14" s="21"/>
      <c r="C14" s="32" t="s">
        <v>217</v>
      </c>
      <c r="D14" s="37">
        <v>0</v>
      </c>
      <c r="E14" s="29"/>
      <c r="F14" s="29"/>
      <c r="G14" s="21"/>
      <c r="H14" s="26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x14ac:dyDescent="0.25">
      <c r="A15" s="21"/>
      <c r="B15" s="32" t="s">
        <v>218</v>
      </c>
      <c r="C15" s="432"/>
      <c r="D15" s="432"/>
      <c r="E15" s="295" t="s">
        <v>219</v>
      </c>
      <c r="F15" s="296"/>
      <c r="G15" s="21"/>
      <c r="H15" s="41" t="s">
        <v>220</v>
      </c>
      <c r="I15" s="36">
        <v>10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2.6" thickBot="1" x14ac:dyDescent="0.3">
      <c r="A16" s="21"/>
      <c r="B16" s="31"/>
      <c r="C16" s="29"/>
      <c r="D16" s="29"/>
      <c r="E16" s="29"/>
      <c r="F16" s="42"/>
      <c r="G16" s="21"/>
      <c r="H16" s="26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36.6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2.6" thickBot="1" x14ac:dyDescent="0.3">
      <c r="A18" s="51">
        <v>0</v>
      </c>
      <c r="B18" s="52">
        <f>D14/100</f>
        <v>0</v>
      </c>
      <c r="C18" s="52">
        <v>0</v>
      </c>
      <c r="D18" s="53" t="e">
        <f>ROUND(B18*D11,0)</f>
        <v>#REF!</v>
      </c>
      <c r="E18" s="54" t="e">
        <f>D18</f>
        <v>#REF!</v>
      </c>
      <c r="F18" s="55" t="e">
        <f t="shared" ref="F18:F44" si="0">E18/$E$36</f>
        <v>#REF!</v>
      </c>
      <c r="G18" s="56" t="s">
        <v>228</v>
      </c>
      <c r="H18" s="57" t="e">
        <f t="shared" ref="H18:H44" si="1">ROUND(D18*0.1,0)</f>
        <v>#REF!</v>
      </c>
      <c r="I18" s="58">
        <v>0</v>
      </c>
      <c r="J18" s="58" t="e">
        <f t="shared" ref="J18:J33" si="2">ROUNDUP(D18*$D$12/100,-(LEN(D18)-$I$15))</f>
        <v>#REF!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2.6" thickBot="1" x14ac:dyDescent="0.3">
      <c r="A19" s="59">
        <v>1</v>
      </c>
      <c r="B19" s="60">
        <v>2.5000000000000001E-2</v>
      </c>
      <c r="C19" s="60">
        <f t="shared" ref="C19:C33" si="3">B19+C18</f>
        <v>2.5000000000000001E-2</v>
      </c>
      <c r="D19" s="61" t="e">
        <f>ROUND(B19*$D$11*(100-$D$14)/100,0)</f>
        <v>#REF!</v>
      </c>
      <c r="E19" s="62" t="e">
        <f>E18+D19</f>
        <v>#REF!</v>
      </c>
      <c r="F19" s="63" t="e">
        <f t="shared" si="0"/>
        <v>#REF!</v>
      </c>
      <c r="G19" s="64" t="s">
        <v>35</v>
      </c>
      <c r="H19" s="57" t="e">
        <f t="shared" si="1"/>
        <v>#REF!</v>
      </c>
      <c r="I19" s="66" t="e">
        <f>ROUNDUP((D19+H19-J19),-(LEN(D19)-$I$15))</f>
        <v>#REF!</v>
      </c>
      <c r="J19" s="66" t="e">
        <f>ROUNDUP(D19*$D$12/100,-(LEN(D19)-$I$15))</f>
        <v>#REF!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2.6" thickBot="1" x14ac:dyDescent="0.3">
      <c r="A20" s="59">
        <v>2</v>
      </c>
      <c r="B20" s="60">
        <v>0.03</v>
      </c>
      <c r="C20" s="60">
        <f t="shared" si="3"/>
        <v>5.5E-2</v>
      </c>
      <c r="D20" s="61" t="e">
        <f t="shared" ref="D20:D31" si="4">ROUND(B20*$D$11*(100-$D$14)/100,0)</f>
        <v>#REF!</v>
      </c>
      <c r="E20" s="62" t="e">
        <f t="shared" ref="E20:E33" si="5">E19+D20</f>
        <v>#REF!</v>
      </c>
      <c r="F20" s="63" t="e">
        <f t="shared" si="0"/>
        <v>#REF!</v>
      </c>
      <c r="G20" s="64" t="s">
        <v>36</v>
      </c>
      <c r="H20" s="57" t="e">
        <f t="shared" si="1"/>
        <v>#REF!</v>
      </c>
      <c r="I20" s="66" t="e">
        <f t="shared" ref="I20:I44" si="6">ROUNDUP((D20+H20-J20),-(LEN(D20)-$I$15))</f>
        <v>#REF!</v>
      </c>
      <c r="J20" s="66" t="e">
        <f t="shared" si="2"/>
        <v>#REF!</v>
      </c>
      <c r="K20" s="67" t="e">
        <f>+SUM(J18:J20)</f>
        <v>#REF!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2.6" thickBot="1" x14ac:dyDescent="0.3">
      <c r="A21" s="59">
        <v>3</v>
      </c>
      <c r="B21" s="60">
        <v>3.5000000000000003E-2</v>
      </c>
      <c r="C21" s="60">
        <f t="shared" si="3"/>
        <v>0.09</v>
      </c>
      <c r="D21" s="61" t="e">
        <f t="shared" si="4"/>
        <v>#REF!</v>
      </c>
      <c r="E21" s="62" t="e">
        <f t="shared" si="5"/>
        <v>#REF!</v>
      </c>
      <c r="F21" s="63" t="e">
        <f t="shared" si="0"/>
        <v>#REF!</v>
      </c>
      <c r="G21" s="64" t="s">
        <v>37</v>
      </c>
      <c r="H21" s="57" t="e">
        <f t="shared" si="1"/>
        <v>#REF!</v>
      </c>
      <c r="I21" s="66" t="e">
        <f t="shared" si="6"/>
        <v>#REF!</v>
      </c>
      <c r="J21" s="66" t="e">
        <f t="shared" si="2"/>
        <v>#REF!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2.6" thickBot="1" x14ac:dyDescent="0.3">
      <c r="A22" s="59">
        <v>4</v>
      </c>
      <c r="B22" s="60">
        <v>3.5000000000000003E-2</v>
      </c>
      <c r="C22" s="60">
        <f t="shared" si="3"/>
        <v>0.125</v>
      </c>
      <c r="D22" s="61" t="e">
        <f t="shared" si="4"/>
        <v>#REF!</v>
      </c>
      <c r="E22" s="62" t="e">
        <f t="shared" si="5"/>
        <v>#REF!</v>
      </c>
      <c r="F22" s="63" t="e">
        <f t="shared" si="0"/>
        <v>#REF!</v>
      </c>
      <c r="G22" s="64" t="s">
        <v>38</v>
      </c>
      <c r="H22" s="57" t="e">
        <f t="shared" si="1"/>
        <v>#REF!</v>
      </c>
      <c r="I22" s="66" t="e">
        <f t="shared" si="6"/>
        <v>#REF!</v>
      </c>
      <c r="J22" s="66" t="e">
        <f t="shared" si="2"/>
        <v>#REF!</v>
      </c>
      <c r="K22" s="68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2.6" thickBot="1" x14ac:dyDescent="0.3">
      <c r="A23" s="59">
        <v>5</v>
      </c>
      <c r="B23" s="60">
        <v>0.04</v>
      </c>
      <c r="C23" s="60">
        <f t="shared" si="3"/>
        <v>0.16500000000000001</v>
      </c>
      <c r="D23" s="61" t="e">
        <f t="shared" si="4"/>
        <v>#REF!</v>
      </c>
      <c r="E23" s="62" t="e">
        <f t="shared" si="5"/>
        <v>#REF!</v>
      </c>
      <c r="F23" s="63" t="e">
        <f t="shared" si="0"/>
        <v>#REF!</v>
      </c>
      <c r="G23" s="64" t="s">
        <v>39</v>
      </c>
      <c r="H23" s="57" t="e">
        <f t="shared" si="1"/>
        <v>#REF!</v>
      </c>
      <c r="I23" s="66" t="e">
        <f t="shared" si="6"/>
        <v>#REF!</v>
      </c>
      <c r="J23" s="66" t="e">
        <f t="shared" si="2"/>
        <v>#REF!</v>
      </c>
      <c r="K23" s="68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6" thickBot="1" x14ac:dyDescent="0.3">
      <c r="A24" s="59">
        <v>6</v>
      </c>
      <c r="B24" s="60">
        <v>4.4999999999999998E-2</v>
      </c>
      <c r="C24" s="60">
        <f t="shared" si="3"/>
        <v>0.21000000000000002</v>
      </c>
      <c r="D24" s="61" t="e">
        <f t="shared" si="4"/>
        <v>#REF!</v>
      </c>
      <c r="E24" s="62" t="e">
        <f>E23+D24</f>
        <v>#REF!</v>
      </c>
      <c r="F24" s="63" t="e">
        <f t="shared" si="0"/>
        <v>#REF!</v>
      </c>
      <c r="G24" s="64" t="s">
        <v>40</v>
      </c>
      <c r="H24" s="57" t="e">
        <f t="shared" si="1"/>
        <v>#REF!</v>
      </c>
      <c r="I24" s="66" t="e">
        <f>ROUNDUP((D24+H24-J24),-(LEN(D24)-$I$15))</f>
        <v>#REF!</v>
      </c>
      <c r="J24" s="66" t="e">
        <f>ROUNDUP(D24*$D$12/100,-(LEN(D24)-$I$15))</f>
        <v>#REF!</v>
      </c>
      <c r="K24" s="68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6" thickBot="1" x14ac:dyDescent="0.3">
      <c r="A25" s="59">
        <v>7</v>
      </c>
      <c r="B25" s="60">
        <v>4.4999999999999998E-2</v>
      </c>
      <c r="C25" s="60">
        <f t="shared" si="3"/>
        <v>0.255</v>
      </c>
      <c r="D25" s="61" t="e">
        <f t="shared" si="4"/>
        <v>#REF!</v>
      </c>
      <c r="E25" s="62" t="e">
        <f t="shared" si="5"/>
        <v>#REF!</v>
      </c>
      <c r="F25" s="63" t="e">
        <f t="shared" si="0"/>
        <v>#REF!</v>
      </c>
      <c r="G25" s="64" t="s">
        <v>41</v>
      </c>
      <c r="H25" s="57" t="e">
        <f t="shared" si="1"/>
        <v>#REF!</v>
      </c>
      <c r="I25" s="66" t="e">
        <f t="shared" si="6"/>
        <v>#REF!</v>
      </c>
      <c r="J25" s="66" t="e">
        <f t="shared" si="2"/>
        <v>#REF!</v>
      </c>
      <c r="K25" s="69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6" thickBot="1" x14ac:dyDescent="0.3">
      <c r="A26" s="59">
        <v>8</v>
      </c>
      <c r="B26" s="60">
        <v>0.05</v>
      </c>
      <c r="C26" s="60">
        <f t="shared" si="3"/>
        <v>0.30499999999999999</v>
      </c>
      <c r="D26" s="61" t="e">
        <f t="shared" si="4"/>
        <v>#REF!</v>
      </c>
      <c r="E26" s="62" t="e">
        <f t="shared" si="5"/>
        <v>#REF!</v>
      </c>
      <c r="F26" s="63" t="e">
        <f t="shared" si="0"/>
        <v>#REF!</v>
      </c>
      <c r="G26" s="64" t="s">
        <v>42</v>
      </c>
      <c r="H26" s="57" t="e">
        <f t="shared" si="1"/>
        <v>#REF!</v>
      </c>
      <c r="I26" s="66" t="e">
        <f t="shared" si="6"/>
        <v>#REF!</v>
      </c>
      <c r="J26" s="66" t="e">
        <f t="shared" si="2"/>
        <v>#REF!</v>
      </c>
      <c r="K26" s="68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6" thickBot="1" x14ac:dyDescent="0.3">
      <c r="A27" s="59">
        <v>9</v>
      </c>
      <c r="B27" s="60">
        <v>5.5E-2</v>
      </c>
      <c r="C27" s="60">
        <f t="shared" si="3"/>
        <v>0.36</v>
      </c>
      <c r="D27" s="61" t="e">
        <f t="shared" si="4"/>
        <v>#REF!</v>
      </c>
      <c r="E27" s="62" t="e">
        <f t="shared" si="5"/>
        <v>#REF!</v>
      </c>
      <c r="F27" s="63" t="e">
        <f t="shared" si="0"/>
        <v>#REF!</v>
      </c>
      <c r="G27" s="64" t="s">
        <v>43</v>
      </c>
      <c r="H27" s="57" t="e">
        <f t="shared" si="1"/>
        <v>#REF!</v>
      </c>
      <c r="I27" s="66" t="e">
        <f t="shared" si="6"/>
        <v>#REF!</v>
      </c>
      <c r="J27" s="66" t="e">
        <f t="shared" si="2"/>
        <v>#REF!</v>
      </c>
      <c r="K27" s="68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6" thickBot="1" x14ac:dyDescent="0.3">
      <c r="A28" s="59">
        <v>10</v>
      </c>
      <c r="B28" s="60">
        <v>5.5E-2</v>
      </c>
      <c r="C28" s="60">
        <f t="shared" si="3"/>
        <v>0.41499999999999998</v>
      </c>
      <c r="D28" s="61" t="e">
        <f t="shared" si="4"/>
        <v>#REF!</v>
      </c>
      <c r="E28" s="62" t="e">
        <f t="shared" si="5"/>
        <v>#REF!</v>
      </c>
      <c r="F28" s="63" t="e">
        <f t="shared" si="0"/>
        <v>#REF!</v>
      </c>
      <c r="G28" s="64" t="s">
        <v>44</v>
      </c>
      <c r="H28" s="57" t="e">
        <f t="shared" si="1"/>
        <v>#REF!</v>
      </c>
      <c r="I28" s="66" t="e">
        <f t="shared" si="6"/>
        <v>#REF!</v>
      </c>
      <c r="J28" s="66" t="e">
        <f t="shared" si="2"/>
        <v>#REF!</v>
      </c>
      <c r="K28" s="68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6" thickBot="1" x14ac:dyDescent="0.3">
      <c r="A29" s="59">
        <v>11</v>
      </c>
      <c r="B29" s="60">
        <v>5.5E-2</v>
      </c>
      <c r="C29" s="60">
        <f t="shared" si="3"/>
        <v>0.47</v>
      </c>
      <c r="D29" s="61" t="e">
        <f t="shared" si="4"/>
        <v>#REF!</v>
      </c>
      <c r="E29" s="62" t="e">
        <f t="shared" si="5"/>
        <v>#REF!</v>
      </c>
      <c r="F29" s="63" t="e">
        <f t="shared" si="0"/>
        <v>#REF!</v>
      </c>
      <c r="G29" s="64" t="s">
        <v>45</v>
      </c>
      <c r="H29" s="57" t="e">
        <f t="shared" si="1"/>
        <v>#REF!</v>
      </c>
      <c r="I29" s="66" t="e">
        <f t="shared" si="6"/>
        <v>#REF!</v>
      </c>
      <c r="J29" s="66" t="e">
        <f t="shared" si="2"/>
        <v>#REF!</v>
      </c>
      <c r="K29" s="68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2.6" thickBot="1" x14ac:dyDescent="0.3">
      <c r="A30" s="59">
        <v>12</v>
      </c>
      <c r="B30" s="60">
        <v>0.06</v>
      </c>
      <c r="C30" s="60">
        <f t="shared" si="3"/>
        <v>0.53</v>
      </c>
      <c r="D30" s="61" t="e">
        <f t="shared" si="4"/>
        <v>#REF!</v>
      </c>
      <c r="E30" s="62" t="e">
        <f t="shared" si="5"/>
        <v>#REF!</v>
      </c>
      <c r="F30" s="63" t="e">
        <f t="shared" si="0"/>
        <v>#REF!</v>
      </c>
      <c r="G30" s="64" t="s">
        <v>46</v>
      </c>
      <c r="H30" s="57" t="e">
        <f t="shared" si="1"/>
        <v>#REF!</v>
      </c>
      <c r="I30" s="66" t="e">
        <f t="shared" si="6"/>
        <v>#REF!</v>
      </c>
      <c r="J30" s="66" t="e">
        <f t="shared" si="2"/>
        <v>#REF!</v>
      </c>
      <c r="K30" s="68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6" thickBot="1" x14ac:dyDescent="0.3">
      <c r="A31" s="59">
        <v>13</v>
      </c>
      <c r="B31" s="60">
        <v>7.0000000000000007E-2</v>
      </c>
      <c r="C31" s="60">
        <f t="shared" si="3"/>
        <v>0.60000000000000009</v>
      </c>
      <c r="D31" s="61" t="e">
        <f t="shared" si="4"/>
        <v>#REF!</v>
      </c>
      <c r="E31" s="62" t="e">
        <f t="shared" si="5"/>
        <v>#REF!</v>
      </c>
      <c r="F31" s="63" t="e">
        <f t="shared" si="0"/>
        <v>#REF!</v>
      </c>
      <c r="G31" s="64" t="s">
        <v>47</v>
      </c>
      <c r="H31" s="57" t="e">
        <f t="shared" si="1"/>
        <v>#REF!</v>
      </c>
      <c r="I31" s="66" t="e">
        <f t="shared" si="6"/>
        <v>#REF!</v>
      </c>
      <c r="J31" s="66" t="e">
        <f t="shared" si="2"/>
        <v>#REF!</v>
      </c>
      <c r="K31" s="68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6" thickBot="1" x14ac:dyDescent="0.3">
      <c r="A32" s="59">
        <v>14</v>
      </c>
      <c r="B32" s="60">
        <v>7.0000000000000007E-2</v>
      </c>
      <c r="C32" s="60">
        <f t="shared" si="3"/>
        <v>0.67000000000000015</v>
      </c>
      <c r="D32" s="61" t="e">
        <f>ROUND(B32*$D$11*(100-$D$14)/100,0)</f>
        <v>#REF!</v>
      </c>
      <c r="E32" s="62" t="e">
        <f t="shared" si="5"/>
        <v>#REF!</v>
      </c>
      <c r="F32" s="63" t="e">
        <f t="shared" si="0"/>
        <v>#REF!</v>
      </c>
      <c r="G32" s="64" t="s">
        <v>48</v>
      </c>
      <c r="H32" s="57" t="e">
        <f t="shared" si="1"/>
        <v>#REF!</v>
      </c>
      <c r="I32" s="66" t="e">
        <f t="shared" si="6"/>
        <v>#REF!</v>
      </c>
      <c r="J32" s="66" t="e">
        <f t="shared" si="2"/>
        <v>#REF!</v>
      </c>
      <c r="K32" s="70" t="e">
        <f>+SUM(J21:J32)</f>
        <v>#REF!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6" thickBot="1" x14ac:dyDescent="0.3">
      <c r="A33" s="59">
        <v>15</v>
      </c>
      <c r="B33" s="60">
        <v>6.5000000000000002E-2</v>
      </c>
      <c r="C33" s="60">
        <f t="shared" si="3"/>
        <v>0.7350000000000001</v>
      </c>
      <c r="D33" s="61" t="e">
        <f>ROUND(B33*$D$11*(100-$D$14)/100,0)</f>
        <v>#REF!</v>
      </c>
      <c r="E33" s="62" t="e">
        <f t="shared" si="5"/>
        <v>#REF!</v>
      </c>
      <c r="F33" s="63" t="e">
        <f t="shared" si="0"/>
        <v>#REF!</v>
      </c>
      <c r="G33" s="64" t="s">
        <v>49</v>
      </c>
      <c r="H33" s="57" t="e">
        <f t="shared" si="1"/>
        <v>#REF!</v>
      </c>
      <c r="I33" s="66" t="e">
        <f t="shared" si="6"/>
        <v>#REF!</v>
      </c>
      <c r="J33" s="66" t="e">
        <f t="shared" si="2"/>
        <v>#REF!</v>
      </c>
      <c r="K33" s="68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6" thickBot="1" x14ac:dyDescent="0.3">
      <c r="A34" s="59">
        <v>16</v>
      </c>
      <c r="B34" s="60">
        <v>6.5000000000000002E-2</v>
      </c>
      <c r="C34" s="60">
        <f>B34+C33</f>
        <v>0.8</v>
      </c>
      <c r="D34" s="61" t="e">
        <f>ROUND(B34*$D$11*(100-$D$14)/100,0)</f>
        <v>#REF!</v>
      </c>
      <c r="E34" s="62" t="e">
        <f>E33+D34</f>
        <v>#REF!</v>
      </c>
      <c r="F34" s="63" t="e">
        <f t="shared" si="0"/>
        <v>#REF!</v>
      </c>
      <c r="G34" s="64" t="s">
        <v>50</v>
      </c>
      <c r="H34" s="57" t="e">
        <f t="shared" si="1"/>
        <v>#REF!</v>
      </c>
      <c r="I34" s="66" t="e">
        <f t="shared" si="6"/>
        <v>#REF!</v>
      </c>
      <c r="J34" s="66" t="e">
        <f>ROUNDUP(D34*$D$12/100,-(LEN(D34)-$I$15))</f>
        <v>#REF!</v>
      </c>
      <c r="K34" s="68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2.6" thickBot="1" x14ac:dyDescent="0.3">
      <c r="A35" s="59">
        <v>17</v>
      </c>
      <c r="B35" s="60">
        <v>0.05</v>
      </c>
      <c r="C35" s="60">
        <f>B35+C34</f>
        <v>0.85000000000000009</v>
      </c>
      <c r="D35" s="61" t="e">
        <f>ROUND(B35*$D$11*(100-$D$14)/100,0)</f>
        <v>#REF!</v>
      </c>
      <c r="E35" s="62" t="e">
        <f>E34+D35</f>
        <v>#REF!</v>
      </c>
      <c r="F35" s="63" t="e">
        <f t="shared" si="0"/>
        <v>#REF!</v>
      </c>
      <c r="G35" s="64" t="s">
        <v>51</v>
      </c>
      <c r="H35" s="57" t="e">
        <f t="shared" si="1"/>
        <v>#REF!</v>
      </c>
      <c r="I35" s="66" t="e">
        <f t="shared" si="6"/>
        <v>#REF!</v>
      </c>
      <c r="J35" s="66" t="e">
        <f>ROUNDUP(D35*$D$12/100,-(LEN(D35)-$I$15))</f>
        <v>#REF!</v>
      </c>
      <c r="K35" s="68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2.6" thickBot="1" x14ac:dyDescent="0.3">
      <c r="A36" s="71">
        <v>18</v>
      </c>
      <c r="B36" s="60">
        <v>0.05</v>
      </c>
      <c r="C36" s="72">
        <f>B36+C35</f>
        <v>0.90000000000000013</v>
      </c>
      <c r="D36" s="73" t="e">
        <f>ROUND(B36*$D$11*(100-$D$14)/100,0)</f>
        <v>#REF!</v>
      </c>
      <c r="E36" s="74" t="e">
        <f>E35+D36</f>
        <v>#REF!</v>
      </c>
      <c r="F36" s="75" t="e">
        <f t="shared" si="0"/>
        <v>#REF!</v>
      </c>
      <c r="G36" s="76" t="s">
        <v>52</v>
      </c>
      <c r="H36" s="57" t="e">
        <f t="shared" si="1"/>
        <v>#REF!</v>
      </c>
      <c r="I36" s="78" t="e">
        <f t="shared" si="6"/>
        <v>#REF!</v>
      </c>
      <c r="J36" s="78" t="e">
        <f>ROUNDUP(D36*$D$12/100,-(LEN(D36)-$I$15))</f>
        <v>#REF!</v>
      </c>
      <c r="K36" s="70" t="e">
        <f>+SUM(J33:J36)</f>
        <v>#REF!</v>
      </c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2.6" thickBot="1" x14ac:dyDescent="0.3">
      <c r="A37" s="59">
        <v>19</v>
      </c>
      <c r="B37" s="60">
        <v>0.04</v>
      </c>
      <c r="C37" s="72">
        <f t="shared" ref="C37:C44" si="7">B37+C36</f>
        <v>0.94000000000000017</v>
      </c>
      <c r="D37" s="73" t="e">
        <f t="shared" ref="D37:D44" si="8">ROUND(B37*$D$11*(100-$D$14)/100,0)</f>
        <v>#REF!</v>
      </c>
      <c r="E37" s="74" t="e">
        <f t="shared" ref="E37:E44" si="9">E36+D37</f>
        <v>#REF!</v>
      </c>
      <c r="F37" s="75" t="e">
        <f t="shared" si="0"/>
        <v>#REF!</v>
      </c>
      <c r="G37" s="76" t="s">
        <v>53</v>
      </c>
      <c r="H37" s="57" t="e">
        <f t="shared" si="1"/>
        <v>#REF!</v>
      </c>
      <c r="I37" s="78" t="e">
        <f t="shared" si="6"/>
        <v>#REF!</v>
      </c>
      <c r="J37" s="78" t="e">
        <f t="shared" ref="J37:J44" si="10">ROUNDUP(D37*$D$12/100,-(LEN(D37)-$I$15))</f>
        <v>#REF!</v>
      </c>
      <c r="K37" s="70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2.6" thickBot="1" x14ac:dyDescent="0.3">
      <c r="A38" s="71">
        <v>20</v>
      </c>
      <c r="B38" s="60">
        <v>0.02</v>
      </c>
      <c r="C38" s="72">
        <f t="shared" si="7"/>
        <v>0.96000000000000019</v>
      </c>
      <c r="D38" s="73" t="e">
        <f t="shared" si="8"/>
        <v>#REF!</v>
      </c>
      <c r="E38" s="74" t="e">
        <f t="shared" si="9"/>
        <v>#REF!</v>
      </c>
      <c r="F38" s="75" t="e">
        <f t="shared" si="0"/>
        <v>#REF!</v>
      </c>
      <c r="G38" s="76" t="s">
        <v>54</v>
      </c>
      <c r="H38" s="57" t="e">
        <f t="shared" si="1"/>
        <v>#REF!</v>
      </c>
      <c r="I38" s="78" t="e">
        <f t="shared" si="6"/>
        <v>#REF!</v>
      </c>
      <c r="J38" s="78" t="e">
        <f t="shared" si="10"/>
        <v>#REF!</v>
      </c>
      <c r="K38" s="70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.6" thickBot="1" x14ac:dyDescent="0.3">
      <c r="A39" s="59">
        <v>21</v>
      </c>
      <c r="B39" s="90">
        <v>0.01</v>
      </c>
      <c r="C39" s="72">
        <f t="shared" si="7"/>
        <v>0.9700000000000002</v>
      </c>
      <c r="D39" s="73" t="e">
        <f t="shared" si="8"/>
        <v>#REF!</v>
      </c>
      <c r="E39" s="74" t="e">
        <f t="shared" si="9"/>
        <v>#REF!</v>
      </c>
      <c r="F39" s="75" t="e">
        <f t="shared" si="0"/>
        <v>#REF!</v>
      </c>
      <c r="G39" s="76" t="s">
        <v>55</v>
      </c>
      <c r="H39" s="57" t="e">
        <f t="shared" si="1"/>
        <v>#REF!</v>
      </c>
      <c r="I39" s="78" t="e">
        <f t="shared" si="6"/>
        <v>#REF!</v>
      </c>
      <c r="J39" s="78" t="e">
        <f t="shared" si="10"/>
        <v>#REF!</v>
      </c>
      <c r="K39" s="70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2.6" thickBot="1" x14ac:dyDescent="0.3">
      <c r="A40" s="71">
        <v>22</v>
      </c>
      <c r="B40" s="60">
        <v>0.01</v>
      </c>
      <c r="C40" s="72">
        <f t="shared" si="7"/>
        <v>0.9800000000000002</v>
      </c>
      <c r="D40" s="73" t="e">
        <f t="shared" si="8"/>
        <v>#REF!</v>
      </c>
      <c r="E40" s="74" t="e">
        <f t="shared" si="9"/>
        <v>#REF!</v>
      </c>
      <c r="F40" s="75" t="e">
        <f t="shared" si="0"/>
        <v>#REF!</v>
      </c>
      <c r="G40" s="76" t="s">
        <v>56</v>
      </c>
      <c r="H40" s="57" t="e">
        <f t="shared" si="1"/>
        <v>#REF!</v>
      </c>
      <c r="I40" s="78" t="e">
        <f t="shared" si="6"/>
        <v>#REF!</v>
      </c>
      <c r="J40" s="78" t="e">
        <f t="shared" si="10"/>
        <v>#REF!</v>
      </c>
      <c r="K40" s="70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2.6" thickBot="1" x14ac:dyDescent="0.3">
      <c r="A41" s="59">
        <v>23</v>
      </c>
      <c r="B41" s="60">
        <v>5.0000000000000001E-3</v>
      </c>
      <c r="C41" s="72">
        <f t="shared" si="7"/>
        <v>0.98500000000000021</v>
      </c>
      <c r="D41" s="73" t="e">
        <f t="shared" si="8"/>
        <v>#REF!</v>
      </c>
      <c r="E41" s="74" t="e">
        <f t="shared" si="9"/>
        <v>#REF!</v>
      </c>
      <c r="F41" s="75" t="e">
        <f t="shared" si="0"/>
        <v>#REF!</v>
      </c>
      <c r="G41" s="76" t="s">
        <v>57</v>
      </c>
      <c r="H41" s="57" t="e">
        <f t="shared" si="1"/>
        <v>#REF!</v>
      </c>
      <c r="I41" s="78" t="e">
        <f t="shared" si="6"/>
        <v>#REF!</v>
      </c>
      <c r="J41" s="78" t="e">
        <f t="shared" si="10"/>
        <v>#REF!</v>
      </c>
      <c r="K41" s="70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2.6" thickBot="1" x14ac:dyDescent="0.3">
      <c r="A42" s="71">
        <v>24</v>
      </c>
      <c r="B42" s="72">
        <v>5.0000000000000001E-3</v>
      </c>
      <c r="C42" s="72">
        <f t="shared" si="7"/>
        <v>0.99000000000000021</v>
      </c>
      <c r="D42" s="73" t="e">
        <f t="shared" si="8"/>
        <v>#REF!</v>
      </c>
      <c r="E42" s="74" t="e">
        <f t="shared" si="9"/>
        <v>#REF!</v>
      </c>
      <c r="F42" s="75" t="e">
        <f t="shared" si="0"/>
        <v>#REF!</v>
      </c>
      <c r="G42" s="76" t="s">
        <v>58</v>
      </c>
      <c r="H42" s="57" t="e">
        <f t="shared" si="1"/>
        <v>#REF!</v>
      </c>
      <c r="I42" s="78" t="e">
        <f t="shared" si="6"/>
        <v>#REF!</v>
      </c>
      <c r="J42" s="78" t="e">
        <f t="shared" si="10"/>
        <v>#REF!</v>
      </c>
      <c r="K42" s="70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2.6" thickBot="1" x14ac:dyDescent="0.3">
      <c r="A43" s="59">
        <v>25</v>
      </c>
      <c r="B43" s="90">
        <v>5.0000000000000001E-3</v>
      </c>
      <c r="C43" s="72">
        <f t="shared" si="7"/>
        <v>0.99500000000000022</v>
      </c>
      <c r="D43" s="233" t="e">
        <f t="shared" si="8"/>
        <v>#REF!</v>
      </c>
      <c r="E43" s="74" t="e">
        <f t="shared" si="9"/>
        <v>#REF!</v>
      </c>
      <c r="F43" s="75" t="e">
        <f t="shared" si="0"/>
        <v>#REF!</v>
      </c>
      <c r="G43" s="76" t="s">
        <v>59</v>
      </c>
      <c r="H43" s="57" t="e">
        <f t="shared" si="1"/>
        <v>#REF!</v>
      </c>
      <c r="I43" s="82" t="e">
        <f t="shared" si="6"/>
        <v>#REF!</v>
      </c>
      <c r="J43" s="82" t="e">
        <f t="shared" si="10"/>
        <v>#REF!</v>
      </c>
      <c r="K43" s="70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2.6" thickBot="1" x14ac:dyDescent="0.3">
      <c r="A44" s="71">
        <v>26</v>
      </c>
      <c r="B44" s="90">
        <v>5.0000000000000001E-3</v>
      </c>
      <c r="C44" s="72">
        <f t="shared" si="7"/>
        <v>1.0000000000000002</v>
      </c>
      <c r="D44" s="233" t="e">
        <f t="shared" si="8"/>
        <v>#REF!</v>
      </c>
      <c r="E44" s="74" t="e">
        <f t="shared" si="9"/>
        <v>#REF!</v>
      </c>
      <c r="F44" s="75" t="e">
        <f t="shared" si="0"/>
        <v>#REF!</v>
      </c>
      <c r="G44" s="76" t="s">
        <v>60</v>
      </c>
      <c r="H44" s="57" t="e">
        <f t="shared" si="1"/>
        <v>#REF!</v>
      </c>
      <c r="I44" s="82" t="e">
        <f t="shared" si="6"/>
        <v>#REF!</v>
      </c>
      <c r="J44" s="82" t="e">
        <f t="shared" si="10"/>
        <v>#REF!</v>
      </c>
      <c r="K44" s="70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2.6" thickBot="1" x14ac:dyDescent="0.3">
      <c r="A45" s="79" t="str">
        <f>A44*30 &amp; " dias"</f>
        <v>780 dias</v>
      </c>
      <c r="B45" s="80">
        <f>SUM(B19:B44)</f>
        <v>1.0000000000000002</v>
      </c>
      <c r="C45" s="81"/>
      <c r="D45" s="82" t="e">
        <f>SUM(D18:D44)</f>
        <v>#REF!</v>
      </c>
      <c r="E45" s="21"/>
      <c r="F45" s="26"/>
      <c r="G45" s="26"/>
      <c r="H45" s="21"/>
      <c r="I45" s="83" t="e">
        <f>SUM(I18:I44)</f>
        <v>#REF!</v>
      </c>
      <c r="J45" s="83" t="e">
        <f>SUM(J18:J44)</f>
        <v>#REF!</v>
      </c>
      <c r="K45" s="68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6"/>
      <c r="B46" s="31"/>
      <c r="C46" s="29"/>
      <c r="D46" s="29"/>
      <c r="E46" s="29"/>
      <c r="F46" s="21"/>
      <c r="G46" s="21"/>
      <c r="H46" s="32" t="s">
        <v>229</v>
      </c>
      <c r="I46" s="426" t="e">
        <f>I45+J45</f>
        <v>#REF!</v>
      </c>
      <c r="J46" s="427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5" t="s">
        <v>237</v>
      </c>
      <c r="B47" s="25"/>
      <c r="C47" s="25"/>
      <c r="D47" s="29"/>
      <c r="E47" s="29"/>
      <c r="F47" s="21"/>
      <c r="G47" s="21"/>
      <c r="H47" s="32" t="s">
        <v>231</v>
      </c>
      <c r="I47" s="41" t="e">
        <f>I46/1.1-D11</f>
        <v>#REF!</v>
      </c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84"/>
      <c r="C48" s="29"/>
      <c r="D48" s="29"/>
      <c r="E48" s="29"/>
      <c r="F48" s="21"/>
      <c r="G48" s="21"/>
      <c r="H48" s="26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9" x14ac:dyDescent="0.25">
      <c r="A49" s="21"/>
      <c r="B49" s="84"/>
      <c r="C49" s="29"/>
      <c r="D49" s="29"/>
      <c r="E49" s="29"/>
      <c r="F49" s="21"/>
      <c r="G49" s="21"/>
      <c r="H49" s="26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9" x14ac:dyDescent="0.25">
      <c r="A50" s="21"/>
      <c r="B50" s="31"/>
      <c r="C50" s="29"/>
      <c r="D50" s="29"/>
      <c r="E50" s="29"/>
      <c r="F50" s="21"/>
      <c r="G50" s="21"/>
      <c r="H50" s="26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9" x14ac:dyDescent="0.25">
      <c r="A51" s="21"/>
      <c r="B51" s="31"/>
      <c r="C51" s="29"/>
      <c r="D51" s="29"/>
      <c r="E51" s="29"/>
      <c r="F51" s="21"/>
      <c r="G51" s="21"/>
      <c r="H51" s="26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9" x14ac:dyDescent="0.25">
      <c r="A52" s="21"/>
      <c r="B52" s="31"/>
      <c r="C52" s="29"/>
      <c r="D52" s="29"/>
      <c r="E52" s="29"/>
      <c r="F52" s="21"/>
      <c r="G52" s="21"/>
      <c r="H52" s="26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9" x14ac:dyDescent="0.25">
      <c r="A53" s="21"/>
      <c r="B53" s="31"/>
      <c r="C53" s="29"/>
      <c r="D53" s="29"/>
      <c r="E53" s="29"/>
      <c r="F53" s="21"/>
      <c r="G53" s="21"/>
      <c r="H53" s="26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9" x14ac:dyDescent="0.25">
      <c r="A54" s="21"/>
      <c r="B54" s="31"/>
      <c r="C54" s="29"/>
      <c r="D54" s="29"/>
      <c r="E54" s="29"/>
      <c r="F54" s="21"/>
      <c r="G54" s="21"/>
      <c r="H54" s="26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9" s="93" customFormat="1" ht="12.75" customHeight="1" x14ac:dyDescent="0.25">
      <c r="A55" s="92"/>
      <c r="B55" s="92" t="s">
        <v>232</v>
      </c>
      <c r="C55" s="92" t="s">
        <v>35</v>
      </c>
      <c r="D55" s="92" t="s">
        <v>36</v>
      </c>
      <c r="E55" s="92" t="s">
        <v>37</v>
      </c>
      <c r="F55" s="92" t="s">
        <v>38</v>
      </c>
      <c r="G55" s="92" t="s">
        <v>39</v>
      </c>
      <c r="H55" s="92" t="s">
        <v>40</v>
      </c>
      <c r="I55" s="92" t="s">
        <v>41</v>
      </c>
      <c r="J55" s="92" t="s">
        <v>42</v>
      </c>
      <c r="K55" s="92" t="s">
        <v>43</v>
      </c>
      <c r="L55" s="92" t="s">
        <v>44</v>
      </c>
      <c r="M55" s="92" t="s">
        <v>45</v>
      </c>
      <c r="N55" s="92" t="s">
        <v>46</v>
      </c>
      <c r="O55" s="92" t="s">
        <v>47</v>
      </c>
      <c r="P55" s="92" t="s">
        <v>48</v>
      </c>
      <c r="Q55" s="92" t="s">
        <v>49</v>
      </c>
      <c r="R55" s="92" t="s">
        <v>50</v>
      </c>
      <c r="S55" s="92" t="s">
        <v>51</v>
      </c>
      <c r="T55" s="92" t="s">
        <v>52</v>
      </c>
      <c r="U55" s="92" t="s">
        <v>53</v>
      </c>
      <c r="V55" s="92" t="s">
        <v>54</v>
      </c>
      <c r="W55" s="92" t="s">
        <v>55</v>
      </c>
      <c r="X55" s="92" t="s">
        <v>56</v>
      </c>
      <c r="Y55" s="92" t="s">
        <v>57</v>
      </c>
      <c r="Z55" s="92" t="s">
        <v>58</v>
      </c>
      <c r="AA55" s="92" t="s">
        <v>59</v>
      </c>
      <c r="AB55" s="92" t="s">
        <v>60</v>
      </c>
    </row>
    <row r="56" spans="1:29" s="96" customFormat="1" x14ac:dyDescent="0.25">
      <c r="A56" s="94" t="s">
        <v>233</v>
      </c>
      <c r="B56" s="95">
        <v>0</v>
      </c>
      <c r="C56" s="95">
        <v>0</v>
      </c>
      <c r="D56" s="95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0</v>
      </c>
      <c r="AB56" s="95">
        <v>0</v>
      </c>
      <c r="AC56" s="96">
        <f>SUM(B56:T56)</f>
        <v>0</v>
      </c>
    </row>
    <row r="57" spans="1:29" s="96" customFormat="1" x14ac:dyDescent="0.25">
      <c r="A57" s="94" t="s">
        <v>234</v>
      </c>
      <c r="B57" s="95" t="e">
        <f>$J18</f>
        <v>#REF!</v>
      </c>
      <c r="C57" s="95" t="e">
        <f>$J19</f>
        <v>#REF!</v>
      </c>
      <c r="D57" s="95" t="e">
        <f>$J20</f>
        <v>#REF!</v>
      </c>
      <c r="E57" s="95" t="e">
        <f>$J21</f>
        <v>#REF!</v>
      </c>
      <c r="F57" s="95" t="e">
        <f>$J22</f>
        <v>#REF!</v>
      </c>
      <c r="G57" s="95" t="e">
        <f>$J23</f>
        <v>#REF!</v>
      </c>
      <c r="H57" s="95" t="e">
        <f>$J24</f>
        <v>#REF!</v>
      </c>
      <c r="I57" s="95" t="e">
        <f>$J25</f>
        <v>#REF!</v>
      </c>
      <c r="J57" s="95" t="e">
        <f>$J26</f>
        <v>#REF!</v>
      </c>
      <c r="K57" s="95" t="e">
        <f>$J27</f>
        <v>#REF!</v>
      </c>
      <c r="L57" s="95" t="e">
        <f>$J28</f>
        <v>#REF!</v>
      </c>
      <c r="M57" s="95" t="e">
        <f>$J29</f>
        <v>#REF!</v>
      </c>
      <c r="N57" s="95" t="e">
        <f>$J30</f>
        <v>#REF!</v>
      </c>
      <c r="O57" s="95" t="e">
        <f>$J31</f>
        <v>#REF!</v>
      </c>
      <c r="P57" s="95" t="e">
        <f>$J32</f>
        <v>#REF!</v>
      </c>
      <c r="Q57" s="95" t="e">
        <f>$J33</f>
        <v>#REF!</v>
      </c>
      <c r="R57" s="95" t="e">
        <f>$J34</f>
        <v>#REF!</v>
      </c>
      <c r="S57" s="95" t="e">
        <f>$J35</f>
        <v>#REF!</v>
      </c>
      <c r="T57" s="95" t="e">
        <f>$J36</f>
        <v>#REF!</v>
      </c>
      <c r="U57" s="95" t="e">
        <f>$J37</f>
        <v>#REF!</v>
      </c>
      <c r="V57" s="95" t="e">
        <f>$J38</f>
        <v>#REF!</v>
      </c>
      <c r="W57" s="95" t="e">
        <f>$J39</f>
        <v>#REF!</v>
      </c>
      <c r="X57" s="95" t="e">
        <f>$J40</f>
        <v>#REF!</v>
      </c>
      <c r="Y57" s="95" t="e">
        <f>$J41</f>
        <v>#REF!</v>
      </c>
      <c r="Z57" s="95" t="e">
        <f>$J42</f>
        <v>#REF!</v>
      </c>
      <c r="AA57" s="95" t="e">
        <f t="shared" ref="AA57:AB57" si="11">$J42</f>
        <v>#REF!</v>
      </c>
      <c r="AB57" s="95" t="e">
        <f t="shared" si="11"/>
        <v>#REF!</v>
      </c>
      <c r="AC57" s="97" t="e">
        <f>SUM(B57:Z57)</f>
        <v>#REF!</v>
      </c>
    </row>
    <row r="58" spans="1:29" x14ac:dyDescent="0.25">
      <c r="A58" s="98" t="s">
        <v>238</v>
      </c>
      <c r="B58" s="99" t="e">
        <f>SUM(B56:B57)</f>
        <v>#REF!</v>
      </c>
      <c r="C58" s="99" t="e">
        <f>SUM(C56:C57)*0.45</f>
        <v>#REF!</v>
      </c>
      <c r="D58" s="99" t="e">
        <f t="shared" ref="D58:AB58" si="12">SUM(D56:D57)*0.45</f>
        <v>#REF!</v>
      </c>
      <c r="E58" s="99" t="e">
        <f t="shared" si="12"/>
        <v>#REF!</v>
      </c>
      <c r="F58" s="99" t="e">
        <f t="shared" si="12"/>
        <v>#REF!</v>
      </c>
      <c r="G58" s="99" t="e">
        <f t="shared" si="12"/>
        <v>#REF!</v>
      </c>
      <c r="H58" s="99" t="e">
        <f t="shared" si="12"/>
        <v>#REF!</v>
      </c>
      <c r="I58" s="99" t="e">
        <f t="shared" si="12"/>
        <v>#REF!</v>
      </c>
      <c r="J58" s="99" t="e">
        <f t="shared" si="12"/>
        <v>#REF!</v>
      </c>
      <c r="K58" s="99" t="e">
        <f t="shared" si="12"/>
        <v>#REF!</v>
      </c>
      <c r="L58" s="99" t="e">
        <f t="shared" si="12"/>
        <v>#REF!</v>
      </c>
      <c r="M58" s="99" t="e">
        <f t="shared" si="12"/>
        <v>#REF!</v>
      </c>
      <c r="N58" s="99" t="e">
        <f t="shared" si="12"/>
        <v>#REF!</v>
      </c>
      <c r="O58" s="99" t="e">
        <f t="shared" si="12"/>
        <v>#REF!</v>
      </c>
      <c r="P58" s="99" t="e">
        <f t="shared" si="12"/>
        <v>#REF!</v>
      </c>
      <c r="Q58" s="99" t="e">
        <f t="shared" si="12"/>
        <v>#REF!</v>
      </c>
      <c r="R58" s="99" t="e">
        <f t="shared" si="12"/>
        <v>#REF!</v>
      </c>
      <c r="S58" s="99" t="e">
        <f t="shared" si="12"/>
        <v>#REF!</v>
      </c>
      <c r="T58" s="99" t="e">
        <f t="shared" si="12"/>
        <v>#REF!</v>
      </c>
      <c r="U58" s="99" t="e">
        <f t="shared" si="12"/>
        <v>#REF!</v>
      </c>
      <c r="V58" s="99" t="e">
        <f t="shared" si="12"/>
        <v>#REF!</v>
      </c>
      <c r="W58" s="99" t="e">
        <f t="shared" si="12"/>
        <v>#REF!</v>
      </c>
      <c r="X58" s="99" t="e">
        <f t="shared" si="12"/>
        <v>#REF!</v>
      </c>
      <c r="Y58" s="99" t="e">
        <f t="shared" si="12"/>
        <v>#REF!</v>
      </c>
      <c r="Z58" s="99" t="e">
        <f t="shared" si="12"/>
        <v>#REF!</v>
      </c>
      <c r="AA58" s="99" t="e">
        <f t="shared" si="12"/>
        <v>#REF!</v>
      </c>
      <c r="AB58" s="99" t="e">
        <f t="shared" si="12"/>
        <v>#REF!</v>
      </c>
      <c r="AC58" s="99" t="e">
        <f>SUM(B58:AB58)</f>
        <v>#REF!</v>
      </c>
    </row>
    <row r="59" spans="1:29" s="97" customFormat="1" x14ac:dyDescent="0.25">
      <c r="A59" s="100" t="s">
        <v>239</v>
      </c>
      <c r="B59" s="100">
        <v>0</v>
      </c>
      <c r="C59" s="100" t="e">
        <f>C65</f>
        <v>#REF!</v>
      </c>
      <c r="D59" s="100" t="e">
        <f t="shared" ref="D59:AB59" si="13">C59</f>
        <v>#REF!</v>
      </c>
      <c r="E59" s="100" t="e">
        <f t="shared" si="13"/>
        <v>#REF!</v>
      </c>
      <c r="F59" s="100" t="e">
        <f t="shared" si="13"/>
        <v>#REF!</v>
      </c>
      <c r="G59" s="100" t="e">
        <f t="shared" si="13"/>
        <v>#REF!</v>
      </c>
      <c r="H59" s="100" t="e">
        <f t="shared" si="13"/>
        <v>#REF!</v>
      </c>
      <c r="I59" s="100" t="e">
        <f t="shared" si="13"/>
        <v>#REF!</v>
      </c>
      <c r="J59" s="100" t="e">
        <f t="shared" si="13"/>
        <v>#REF!</v>
      </c>
      <c r="K59" s="100" t="e">
        <f t="shared" si="13"/>
        <v>#REF!</v>
      </c>
      <c r="L59" s="100" t="e">
        <f t="shared" si="13"/>
        <v>#REF!</v>
      </c>
      <c r="M59" s="100" t="e">
        <f t="shared" si="13"/>
        <v>#REF!</v>
      </c>
      <c r="N59" s="100" t="e">
        <f t="shared" si="13"/>
        <v>#REF!</v>
      </c>
      <c r="O59" s="100" t="e">
        <f t="shared" si="13"/>
        <v>#REF!</v>
      </c>
      <c r="P59" s="100" t="e">
        <f t="shared" si="13"/>
        <v>#REF!</v>
      </c>
      <c r="Q59" s="100" t="e">
        <f t="shared" si="13"/>
        <v>#REF!</v>
      </c>
      <c r="R59" s="100" t="e">
        <f t="shared" si="13"/>
        <v>#REF!</v>
      </c>
      <c r="S59" s="100" t="e">
        <f t="shared" si="13"/>
        <v>#REF!</v>
      </c>
      <c r="T59" s="100" t="e">
        <f t="shared" si="13"/>
        <v>#REF!</v>
      </c>
      <c r="U59" s="100" t="e">
        <f t="shared" si="13"/>
        <v>#REF!</v>
      </c>
      <c r="V59" s="100" t="e">
        <f t="shared" si="13"/>
        <v>#REF!</v>
      </c>
      <c r="W59" s="100" t="e">
        <f t="shared" si="13"/>
        <v>#REF!</v>
      </c>
      <c r="X59" s="100" t="e">
        <f t="shared" si="13"/>
        <v>#REF!</v>
      </c>
      <c r="Y59" s="100" t="e">
        <f t="shared" si="13"/>
        <v>#REF!</v>
      </c>
      <c r="Z59" s="100" t="e">
        <f t="shared" si="13"/>
        <v>#REF!</v>
      </c>
      <c r="AA59" s="100" t="e">
        <f t="shared" si="13"/>
        <v>#REF!</v>
      </c>
      <c r="AB59" s="100" t="e">
        <f t="shared" si="13"/>
        <v>#REF!</v>
      </c>
      <c r="AC59" s="99" t="e">
        <f>SUM(B59:AB59)</f>
        <v>#REF!</v>
      </c>
    </row>
    <row r="60" spans="1:29" s="97" customFormat="1" x14ac:dyDescent="0.25">
      <c r="A60" s="100" t="s">
        <v>232</v>
      </c>
      <c r="B60" s="100" t="e">
        <f>A63*10%</f>
        <v>#REF!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99" t="e">
        <f>SUM(B60:AB60)</f>
        <v>#REF!</v>
      </c>
    </row>
    <row r="61" spans="1:29" s="97" customFormat="1" x14ac:dyDescent="0.25">
      <c r="A61" s="100"/>
      <c r="B61" s="100" t="e">
        <f>SUM(B58:B60)</f>
        <v>#REF!</v>
      </c>
      <c r="C61" s="100" t="e">
        <f t="shared" ref="C61:AB61" si="14">SUM(C58:C60)</f>
        <v>#REF!</v>
      </c>
      <c r="D61" s="100" t="e">
        <f t="shared" si="14"/>
        <v>#REF!</v>
      </c>
      <c r="E61" s="100" t="e">
        <f t="shared" si="14"/>
        <v>#REF!</v>
      </c>
      <c r="F61" s="100" t="e">
        <f t="shared" si="14"/>
        <v>#REF!</v>
      </c>
      <c r="G61" s="100" t="e">
        <f t="shared" si="14"/>
        <v>#REF!</v>
      </c>
      <c r="H61" s="100" t="e">
        <f t="shared" si="14"/>
        <v>#REF!</v>
      </c>
      <c r="I61" s="100" t="e">
        <f t="shared" si="14"/>
        <v>#REF!</v>
      </c>
      <c r="J61" s="100" t="e">
        <f t="shared" si="14"/>
        <v>#REF!</v>
      </c>
      <c r="K61" s="100" t="e">
        <f t="shared" si="14"/>
        <v>#REF!</v>
      </c>
      <c r="L61" s="100" t="e">
        <f t="shared" si="14"/>
        <v>#REF!</v>
      </c>
      <c r="M61" s="100" t="e">
        <f t="shared" si="14"/>
        <v>#REF!</v>
      </c>
      <c r="N61" s="100" t="e">
        <f t="shared" si="14"/>
        <v>#REF!</v>
      </c>
      <c r="O61" s="100" t="e">
        <f t="shared" si="14"/>
        <v>#REF!</v>
      </c>
      <c r="P61" s="100" t="e">
        <f t="shared" si="14"/>
        <v>#REF!</v>
      </c>
      <c r="Q61" s="100" t="e">
        <f t="shared" si="14"/>
        <v>#REF!</v>
      </c>
      <c r="R61" s="100" t="e">
        <f t="shared" si="14"/>
        <v>#REF!</v>
      </c>
      <c r="S61" s="100" t="e">
        <f t="shared" si="14"/>
        <v>#REF!</v>
      </c>
      <c r="T61" s="100" t="e">
        <f t="shared" si="14"/>
        <v>#REF!</v>
      </c>
      <c r="U61" s="100" t="e">
        <f t="shared" si="14"/>
        <v>#REF!</v>
      </c>
      <c r="V61" s="100" t="e">
        <f t="shared" si="14"/>
        <v>#REF!</v>
      </c>
      <c r="W61" s="100" t="e">
        <f t="shared" si="14"/>
        <v>#REF!</v>
      </c>
      <c r="X61" s="100" t="e">
        <f t="shared" si="14"/>
        <v>#REF!</v>
      </c>
      <c r="Y61" s="100" t="e">
        <f t="shared" si="14"/>
        <v>#REF!</v>
      </c>
      <c r="Z61" s="100" t="e">
        <f t="shared" si="14"/>
        <v>#REF!</v>
      </c>
      <c r="AA61" s="100" t="e">
        <f t="shared" si="14"/>
        <v>#REF!</v>
      </c>
      <c r="AB61" s="100" t="e">
        <f t="shared" si="14"/>
        <v>#REF!</v>
      </c>
      <c r="AC61" s="99" t="e">
        <f>SUM(B61:AB61)</f>
        <v>#REF!</v>
      </c>
    </row>
    <row r="62" spans="1:29" s="96" customFormat="1" x14ac:dyDescent="0.25">
      <c r="C62" s="96" t="e">
        <f>B62/A63</f>
        <v>#REF!</v>
      </c>
    </row>
    <row r="63" spans="1:29" s="96" customFormat="1" x14ac:dyDescent="0.25">
      <c r="A63" s="96" t="e">
        <f>+D8</f>
        <v>#REF!</v>
      </c>
    </row>
    <row r="64" spans="1:29" s="96" customFormat="1" x14ac:dyDescent="0.25">
      <c r="A64" s="96" t="e">
        <f>A63*0.1</f>
        <v>#REF!</v>
      </c>
    </row>
    <row r="65" spans="1:3" s="96" customFormat="1" x14ac:dyDescent="0.25">
      <c r="A65" s="96" t="e">
        <f>A63*0.45</f>
        <v>#REF!</v>
      </c>
      <c r="C65" s="96" t="e">
        <f>A65/26</f>
        <v>#REF!</v>
      </c>
    </row>
    <row r="66" spans="1:3" s="96" customFormat="1" x14ac:dyDescent="0.25"/>
  </sheetData>
  <mergeCells count="6">
    <mergeCell ref="I46:J46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66"/>
  <sheetViews>
    <sheetView showGridLines="0" zoomScale="80" zoomScaleNormal="80" workbookViewId="0">
      <selection activeCell="A5" sqref="A5:C5"/>
    </sheetView>
  </sheetViews>
  <sheetFormatPr defaultColWidth="11.44140625" defaultRowHeight="12" x14ac:dyDescent="0.25"/>
  <cols>
    <col min="1" max="1" width="17.44140625" style="91" customWidth="1"/>
    <col min="2" max="2" width="14.21875" style="91" customWidth="1"/>
    <col min="3" max="3" width="16.77734375" style="91" customWidth="1"/>
    <col min="4" max="4" width="13.77734375" style="91" bestFit="1" customWidth="1"/>
    <col min="5" max="5" width="13.5546875" style="91" customWidth="1"/>
    <col min="6" max="6" width="18.21875" style="91" customWidth="1"/>
    <col min="7" max="7" width="17.5546875" style="91" bestFit="1" customWidth="1"/>
    <col min="8" max="8" width="17.44140625" style="91" bestFit="1" customWidth="1"/>
    <col min="9" max="9" width="13.77734375" style="91" bestFit="1" customWidth="1"/>
    <col min="10" max="10" width="16.44140625" style="91" bestFit="1" customWidth="1"/>
    <col min="11" max="11" width="13.77734375" style="91" bestFit="1" customWidth="1"/>
    <col min="12" max="12" width="15.77734375" style="91" bestFit="1" customWidth="1"/>
    <col min="13" max="13" width="15.21875" style="91" bestFit="1" customWidth="1"/>
    <col min="14" max="20" width="13.77734375" style="91" bestFit="1" customWidth="1"/>
    <col min="21" max="21" width="14.77734375" style="91" bestFit="1" customWidth="1"/>
    <col min="22" max="16384" width="11.44140625" style="91"/>
  </cols>
  <sheetData>
    <row r="1" spans="1:21" ht="15.75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25">
      <c r="A2" s="22"/>
      <c r="B2" s="23"/>
      <c r="C2" s="24"/>
      <c r="D2" s="24"/>
      <c r="E2" s="25"/>
      <c r="F2" s="25"/>
      <c r="G2" s="21"/>
      <c r="H2" s="26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22" t="s">
        <v>206</v>
      </c>
      <c r="B3" s="429" t="e">
        <f>+#REF!</f>
        <v>#REF!</v>
      </c>
      <c r="C3" s="429"/>
      <c r="D3" s="429"/>
      <c r="E3" s="429"/>
      <c r="F3" s="429"/>
      <c r="G3" s="429"/>
      <c r="H3" s="429"/>
      <c r="I3" s="429"/>
      <c r="J3" s="27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x14ac:dyDescent="0.25">
      <c r="A5" s="430" t="str">
        <f>CONCATENATE("PLAZO: ",A36," MESES (",A45,")")</f>
        <v>PLAZO: 18 MESES (720 dias)</v>
      </c>
      <c r="B5" s="430"/>
      <c r="C5" s="430"/>
      <c r="D5" s="29"/>
      <c r="E5" s="30" t="s">
        <v>207</v>
      </c>
      <c r="F5" s="21"/>
      <c r="G5" s="21"/>
      <c r="H5" s="26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x14ac:dyDescent="0.25">
      <c r="A6" s="21"/>
      <c r="B6" s="31"/>
      <c r="C6" s="29"/>
      <c r="D6" s="29"/>
      <c r="E6" s="29"/>
      <c r="F6" s="21"/>
      <c r="G6" s="21"/>
      <c r="H6" s="26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x14ac:dyDescent="0.25">
      <c r="A7" s="21"/>
      <c r="B7" s="31"/>
      <c r="C7" s="32" t="s">
        <v>208</v>
      </c>
      <c r="D7" s="431"/>
      <c r="E7" s="431"/>
      <c r="F7" s="431"/>
      <c r="G7" s="21"/>
      <c r="H7" s="32" t="s">
        <v>209</v>
      </c>
      <c r="I7" s="33">
        <f ca="1">NOW()</f>
        <v>43616.674115740738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x14ac:dyDescent="0.25">
      <c r="A8" s="21"/>
      <c r="B8" s="31"/>
      <c r="C8" s="32" t="str">
        <f>IF(D7=0,"MONTO ESTIMADO CON IVA:","MONTO DE CONTRATO CON IVA:")</f>
        <v>MONTO ESTIMADO CON IVA:</v>
      </c>
      <c r="D8" s="34" t="e">
        <f>+#REF!</f>
        <v>#REF!</v>
      </c>
      <c r="E8" s="35" t="s">
        <v>210</v>
      </c>
      <c r="F8" s="21" t="s">
        <v>211</v>
      </c>
      <c r="G8" s="21"/>
      <c r="H8" s="26" t="s">
        <v>212</v>
      </c>
      <c r="I8" s="36">
        <v>1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 x14ac:dyDescent="0.25">
      <c r="A9" s="21"/>
      <c r="B9" s="31"/>
      <c r="C9" s="32" t="s">
        <v>235</v>
      </c>
      <c r="D9" s="34">
        <v>900000</v>
      </c>
      <c r="E9" s="29" t="s">
        <v>213</v>
      </c>
      <c r="F9" s="21"/>
      <c r="G9" s="21"/>
      <c r="H9" s="26"/>
      <c r="I9" s="37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x14ac:dyDescent="0.25">
      <c r="A10" s="21"/>
      <c r="B10" s="31"/>
      <c r="C10" s="32" t="s">
        <v>236</v>
      </c>
      <c r="D10" s="34" t="e">
        <f>+D8+D9</f>
        <v>#REF!</v>
      </c>
      <c r="E10" s="29" t="s">
        <v>210</v>
      </c>
      <c r="F10" s="21"/>
      <c r="G10" s="21"/>
      <c r="H10" s="26"/>
      <c r="I10" s="37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x14ac:dyDescent="0.25">
      <c r="A11" s="21"/>
      <c r="B11" s="21"/>
      <c r="C11" s="32" t="str">
        <f>IF(D7=0,"MONTO ESTIMADO SIN IVA:","MONTO DE CONTRATO SIN IVA:")</f>
        <v>MONTO ESTIMADO SIN IVA:</v>
      </c>
      <c r="D11" s="38" t="e">
        <f>D8</f>
        <v>#REF!</v>
      </c>
      <c r="E11" s="39" t="s">
        <v>213</v>
      </c>
      <c r="F11" s="29"/>
      <c r="G11" s="21"/>
      <c r="H11" s="26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x14ac:dyDescent="0.25">
      <c r="A12" s="21"/>
      <c r="B12" s="21"/>
      <c r="C12" s="32" t="s">
        <v>214</v>
      </c>
      <c r="D12" s="36">
        <v>100</v>
      </c>
      <c r="E12" s="29"/>
      <c r="F12" s="29" t="s">
        <v>215</v>
      </c>
      <c r="G12" s="21"/>
      <c r="H12" s="26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x14ac:dyDescent="0.25">
      <c r="A13" s="21"/>
      <c r="B13" s="21"/>
      <c r="C13" s="32" t="s">
        <v>216</v>
      </c>
      <c r="D13" s="40">
        <f>100-D12</f>
        <v>0</v>
      </c>
      <c r="E13" s="29"/>
      <c r="F13" s="29"/>
      <c r="G13" s="21"/>
      <c r="H13" s="26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x14ac:dyDescent="0.25">
      <c r="A14" s="21"/>
      <c r="B14" s="21"/>
      <c r="C14" s="32" t="s">
        <v>217</v>
      </c>
      <c r="D14" s="37">
        <v>0</v>
      </c>
      <c r="E14" s="29"/>
      <c r="F14" s="29"/>
      <c r="G14" s="21"/>
      <c r="H14" s="26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x14ac:dyDescent="0.25">
      <c r="A15" s="21"/>
      <c r="B15" s="32" t="s">
        <v>218</v>
      </c>
      <c r="C15" s="432"/>
      <c r="D15" s="432"/>
      <c r="E15" s="295" t="s">
        <v>219</v>
      </c>
      <c r="F15" s="296"/>
      <c r="G15" s="21"/>
      <c r="H15" s="41" t="s">
        <v>220</v>
      </c>
      <c r="I15" s="36">
        <v>10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2.6" thickBot="1" x14ac:dyDescent="0.3">
      <c r="A16" s="21"/>
      <c r="B16" s="31"/>
      <c r="C16" s="29"/>
      <c r="D16" s="29"/>
      <c r="E16" s="29"/>
      <c r="F16" s="42"/>
      <c r="G16" s="21"/>
      <c r="H16" s="26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36.6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ht="12.6" thickBot="1" x14ac:dyDescent="0.3">
      <c r="A18" s="51">
        <v>0</v>
      </c>
      <c r="B18" s="52">
        <f>D14/100</f>
        <v>0</v>
      </c>
      <c r="C18" s="52">
        <v>0</v>
      </c>
      <c r="D18" s="53" t="e">
        <f>ROUND(B18*D11,0)</f>
        <v>#REF!</v>
      </c>
      <c r="E18" s="54" t="e">
        <f>D18</f>
        <v>#REF!</v>
      </c>
      <c r="F18" s="55" t="e">
        <f t="shared" ref="F18:F42" si="0">E18/$E$36</f>
        <v>#REF!</v>
      </c>
      <c r="G18" s="56" t="s">
        <v>228</v>
      </c>
      <c r="H18" s="57" t="e">
        <f t="shared" ref="H18:H44" si="1">ROUND(D18*0.1,0)</f>
        <v>#REF!</v>
      </c>
      <c r="I18" s="58">
        <v>0</v>
      </c>
      <c r="J18" s="58" t="e">
        <f t="shared" ref="J18:J33" si="2">ROUNDUP(D18*$D$12/100,-(LEN(D18)-$I$15))</f>
        <v>#REF!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ht="12.6" thickBot="1" x14ac:dyDescent="0.3">
      <c r="A19" s="59">
        <v>1</v>
      </c>
      <c r="B19" s="60">
        <v>2.5000000000000001E-2</v>
      </c>
      <c r="C19" s="60">
        <f t="shared" ref="C19:C33" si="3">B19+C18</f>
        <v>2.5000000000000001E-2</v>
      </c>
      <c r="D19" s="61" t="e">
        <f>ROUND(B19*$D$11*(100-$D$14)/100,0)</f>
        <v>#REF!</v>
      </c>
      <c r="E19" s="62" t="e">
        <f>E18+D19</f>
        <v>#REF!</v>
      </c>
      <c r="F19" s="63" t="e">
        <f t="shared" si="0"/>
        <v>#REF!</v>
      </c>
      <c r="G19" s="64" t="s">
        <v>35</v>
      </c>
      <c r="H19" s="57" t="e">
        <f t="shared" si="1"/>
        <v>#REF!</v>
      </c>
      <c r="I19" s="66" t="e">
        <f>ROUNDUP((D19+H19-J19),-(LEN(D19)-$I$15))</f>
        <v>#REF!</v>
      </c>
      <c r="J19" s="66" t="e">
        <f>ROUNDUP(D19*$D$12/100,-(LEN(D19)-$I$15))</f>
        <v>#REF!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ht="12.6" thickBot="1" x14ac:dyDescent="0.3">
      <c r="A20" s="59">
        <v>2</v>
      </c>
      <c r="B20" s="60">
        <v>0.03</v>
      </c>
      <c r="C20" s="60">
        <f t="shared" si="3"/>
        <v>5.5E-2</v>
      </c>
      <c r="D20" s="61" t="e">
        <f t="shared" ref="D20:D31" si="4">ROUND(B20*$D$11*(100-$D$14)/100,0)</f>
        <v>#REF!</v>
      </c>
      <c r="E20" s="62" t="e">
        <f t="shared" ref="E20:E33" si="5">E19+D20</f>
        <v>#REF!</v>
      </c>
      <c r="F20" s="63" t="e">
        <f t="shared" si="0"/>
        <v>#REF!</v>
      </c>
      <c r="G20" s="64" t="s">
        <v>36</v>
      </c>
      <c r="H20" s="57" t="e">
        <f t="shared" si="1"/>
        <v>#REF!</v>
      </c>
      <c r="I20" s="66" t="e">
        <f t="shared" ref="I20:I44" si="6">ROUNDUP((D20+H20-J20),-(LEN(D20)-$I$15))</f>
        <v>#REF!</v>
      </c>
      <c r="J20" s="66" t="e">
        <f t="shared" si="2"/>
        <v>#REF!</v>
      </c>
      <c r="K20" s="67" t="e">
        <f>+SUM(J18:J20)</f>
        <v>#REF!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ht="12.6" thickBot="1" x14ac:dyDescent="0.3">
      <c r="A21" s="59">
        <v>3</v>
      </c>
      <c r="B21" s="60">
        <v>3.5000000000000003E-2</v>
      </c>
      <c r="C21" s="60">
        <f t="shared" si="3"/>
        <v>0.09</v>
      </c>
      <c r="D21" s="61" t="e">
        <f t="shared" si="4"/>
        <v>#REF!</v>
      </c>
      <c r="E21" s="62" t="e">
        <f t="shared" si="5"/>
        <v>#REF!</v>
      </c>
      <c r="F21" s="63" t="e">
        <f t="shared" si="0"/>
        <v>#REF!</v>
      </c>
      <c r="G21" s="64" t="s">
        <v>37</v>
      </c>
      <c r="H21" s="57" t="e">
        <f t="shared" si="1"/>
        <v>#REF!</v>
      </c>
      <c r="I21" s="66" t="e">
        <f t="shared" si="6"/>
        <v>#REF!</v>
      </c>
      <c r="J21" s="66" t="e">
        <f t="shared" si="2"/>
        <v>#REF!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ht="12.6" thickBot="1" x14ac:dyDescent="0.3">
      <c r="A22" s="59">
        <v>4</v>
      </c>
      <c r="B22" s="60">
        <v>3.5000000000000003E-2</v>
      </c>
      <c r="C22" s="60">
        <f t="shared" si="3"/>
        <v>0.125</v>
      </c>
      <c r="D22" s="61" t="e">
        <f t="shared" si="4"/>
        <v>#REF!</v>
      </c>
      <c r="E22" s="62" t="e">
        <f t="shared" si="5"/>
        <v>#REF!</v>
      </c>
      <c r="F22" s="63" t="e">
        <f t="shared" si="0"/>
        <v>#REF!</v>
      </c>
      <c r="G22" s="64" t="s">
        <v>38</v>
      </c>
      <c r="H22" s="57" t="e">
        <f t="shared" si="1"/>
        <v>#REF!</v>
      </c>
      <c r="I22" s="66" t="e">
        <f t="shared" si="6"/>
        <v>#REF!</v>
      </c>
      <c r="J22" s="66" t="e">
        <f t="shared" si="2"/>
        <v>#REF!</v>
      </c>
      <c r="K22" s="68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ht="12.6" thickBot="1" x14ac:dyDescent="0.3">
      <c r="A23" s="59">
        <v>5</v>
      </c>
      <c r="B23" s="60">
        <v>0.04</v>
      </c>
      <c r="C23" s="60">
        <f t="shared" si="3"/>
        <v>0.16500000000000001</v>
      </c>
      <c r="D23" s="61" t="e">
        <f t="shared" si="4"/>
        <v>#REF!</v>
      </c>
      <c r="E23" s="62" t="e">
        <f t="shared" si="5"/>
        <v>#REF!</v>
      </c>
      <c r="F23" s="63" t="e">
        <f t="shared" si="0"/>
        <v>#REF!</v>
      </c>
      <c r="G23" s="64" t="s">
        <v>39</v>
      </c>
      <c r="H23" s="57" t="e">
        <f t="shared" si="1"/>
        <v>#REF!</v>
      </c>
      <c r="I23" s="66" t="e">
        <f t="shared" si="6"/>
        <v>#REF!</v>
      </c>
      <c r="J23" s="66" t="e">
        <f t="shared" si="2"/>
        <v>#REF!</v>
      </c>
      <c r="K23" s="68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ht="12.6" thickBot="1" x14ac:dyDescent="0.3">
      <c r="A24" s="59">
        <v>6</v>
      </c>
      <c r="B24" s="60">
        <v>4.4999999999999998E-2</v>
      </c>
      <c r="C24" s="60">
        <f t="shared" si="3"/>
        <v>0.21000000000000002</v>
      </c>
      <c r="D24" s="61" t="e">
        <f t="shared" si="4"/>
        <v>#REF!</v>
      </c>
      <c r="E24" s="62" t="e">
        <f>E23+D24</f>
        <v>#REF!</v>
      </c>
      <c r="F24" s="63" t="e">
        <f t="shared" si="0"/>
        <v>#REF!</v>
      </c>
      <c r="G24" s="64" t="s">
        <v>40</v>
      </c>
      <c r="H24" s="57" t="e">
        <f t="shared" si="1"/>
        <v>#REF!</v>
      </c>
      <c r="I24" s="66" t="e">
        <f>ROUNDUP((D24+H24-J24),-(LEN(D24)-$I$15))</f>
        <v>#REF!</v>
      </c>
      <c r="J24" s="66" t="e">
        <f>ROUNDUP(D24*$D$12/100,-(LEN(D24)-$I$15))</f>
        <v>#REF!</v>
      </c>
      <c r="K24" s="68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ht="12.6" thickBot="1" x14ac:dyDescent="0.3">
      <c r="A25" s="59">
        <v>7</v>
      </c>
      <c r="B25" s="60">
        <v>4.4999999999999998E-2</v>
      </c>
      <c r="C25" s="60">
        <f t="shared" si="3"/>
        <v>0.255</v>
      </c>
      <c r="D25" s="61" t="e">
        <f t="shared" si="4"/>
        <v>#REF!</v>
      </c>
      <c r="E25" s="62" t="e">
        <f t="shared" si="5"/>
        <v>#REF!</v>
      </c>
      <c r="F25" s="63" t="e">
        <f t="shared" si="0"/>
        <v>#REF!</v>
      </c>
      <c r="G25" s="64" t="s">
        <v>41</v>
      </c>
      <c r="H25" s="57" t="e">
        <f t="shared" si="1"/>
        <v>#REF!</v>
      </c>
      <c r="I25" s="66" t="e">
        <f t="shared" si="6"/>
        <v>#REF!</v>
      </c>
      <c r="J25" s="66" t="e">
        <f t="shared" si="2"/>
        <v>#REF!</v>
      </c>
      <c r="K25" s="69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ht="12.6" thickBot="1" x14ac:dyDescent="0.3">
      <c r="A26" s="59">
        <v>8</v>
      </c>
      <c r="B26" s="60">
        <v>0.05</v>
      </c>
      <c r="C26" s="60">
        <f t="shared" si="3"/>
        <v>0.30499999999999999</v>
      </c>
      <c r="D26" s="61" t="e">
        <f t="shared" si="4"/>
        <v>#REF!</v>
      </c>
      <c r="E26" s="62" t="e">
        <f t="shared" si="5"/>
        <v>#REF!</v>
      </c>
      <c r="F26" s="63" t="e">
        <f t="shared" si="0"/>
        <v>#REF!</v>
      </c>
      <c r="G26" s="64" t="s">
        <v>42</v>
      </c>
      <c r="H26" s="57" t="e">
        <f t="shared" si="1"/>
        <v>#REF!</v>
      </c>
      <c r="I26" s="66" t="e">
        <f t="shared" si="6"/>
        <v>#REF!</v>
      </c>
      <c r="J26" s="66" t="e">
        <f t="shared" si="2"/>
        <v>#REF!</v>
      </c>
      <c r="K26" s="68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ht="12.6" thickBot="1" x14ac:dyDescent="0.3">
      <c r="A27" s="59">
        <v>9</v>
      </c>
      <c r="B27" s="60">
        <v>5.5E-2</v>
      </c>
      <c r="C27" s="60">
        <f t="shared" si="3"/>
        <v>0.36</v>
      </c>
      <c r="D27" s="61" t="e">
        <f t="shared" si="4"/>
        <v>#REF!</v>
      </c>
      <c r="E27" s="62" t="e">
        <f t="shared" si="5"/>
        <v>#REF!</v>
      </c>
      <c r="F27" s="63" t="e">
        <f t="shared" si="0"/>
        <v>#REF!</v>
      </c>
      <c r="G27" s="64" t="s">
        <v>43</v>
      </c>
      <c r="H27" s="57" t="e">
        <f t="shared" si="1"/>
        <v>#REF!</v>
      </c>
      <c r="I27" s="66" t="e">
        <f t="shared" si="6"/>
        <v>#REF!</v>
      </c>
      <c r="J27" s="66" t="e">
        <f t="shared" si="2"/>
        <v>#REF!</v>
      </c>
      <c r="K27" s="68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ht="12.6" thickBot="1" x14ac:dyDescent="0.3">
      <c r="A28" s="59">
        <v>10</v>
      </c>
      <c r="B28" s="60">
        <v>5.5E-2</v>
      </c>
      <c r="C28" s="60">
        <f t="shared" si="3"/>
        <v>0.41499999999999998</v>
      </c>
      <c r="D28" s="61" t="e">
        <f t="shared" si="4"/>
        <v>#REF!</v>
      </c>
      <c r="E28" s="62" t="e">
        <f t="shared" si="5"/>
        <v>#REF!</v>
      </c>
      <c r="F28" s="63" t="e">
        <f t="shared" si="0"/>
        <v>#REF!</v>
      </c>
      <c r="G28" s="64" t="s">
        <v>44</v>
      </c>
      <c r="H28" s="57" t="e">
        <f t="shared" si="1"/>
        <v>#REF!</v>
      </c>
      <c r="I28" s="66" t="e">
        <f t="shared" si="6"/>
        <v>#REF!</v>
      </c>
      <c r="J28" s="66" t="e">
        <f t="shared" si="2"/>
        <v>#REF!</v>
      </c>
      <c r="K28" s="68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ht="12.6" thickBot="1" x14ac:dyDescent="0.3">
      <c r="A29" s="59">
        <v>11</v>
      </c>
      <c r="B29" s="60">
        <v>5.5E-2</v>
      </c>
      <c r="C29" s="60">
        <f t="shared" si="3"/>
        <v>0.47</v>
      </c>
      <c r="D29" s="61" t="e">
        <f t="shared" si="4"/>
        <v>#REF!</v>
      </c>
      <c r="E29" s="62" t="e">
        <f t="shared" si="5"/>
        <v>#REF!</v>
      </c>
      <c r="F29" s="63" t="e">
        <f t="shared" si="0"/>
        <v>#REF!</v>
      </c>
      <c r="G29" s="64" t="s">
        <v>45</v>
      </c>
      <c r="H29" s="57" t="e">
        <f t="shared" si="1"/>
        <v>#REF!</v>
      </c>
      <c r="I29" s="66" t="e">
        <f t="shared" si="6"/>
        <v>#REF!</v>
      </c>
      <c r="J29" s="66" t="e">
        <f t="shared" si="2"/>
        <v>#REF!</v>
      </c>
      <c r="K29" s="68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ht="12.6" thickBot="1" x14ac:dyDescent="0.3">
      <c r="A30" s="59">
        <v>12</v>
      </c>
      <c r="B30" s="60">
        <v>0.06</v>
      </c>
      <c r="C30" s="60">
        <f t="shared" si="3"/>
        <v>0.53</v>
      </c>
      <c r="D30" s="61" t="e">
        <f t="shared" si="4"/>
        <v>#REF!</v>
      </c>
      <c r="E30" s="62" t="e">
        <f t="shared" si="5"/>
        <v>#REF!</v>
      </c>
      <c r="F30" s="63" t="e">
        <f t="shared" si="0"/>
        <v>#REF!</v>
      </c>
      <c r="G30" s="64" t="s">
        <v>46</v>
      </c>
      <c r="H30" s="57" t="e">
        <f t="shared" si="1"/>
        <v>#REF!</v>
      </c>
      <c r="I30" s="66" t="e">
        <f t="shared" si="6"/>
        <v>#REF!</v>
      </c>
      <c r="J30" s="66" t="e">
        <f t="shared" si="2"/>
        <v>#REF!</v>
      </c>
      <c r="K30" s="68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ht="12.6" thickBot="1" x14ac:dyDescent="0.3">
      <c r="A31" s="59">
        <v>13</v>
      </c>
      <c r="B31" s="60">
        <v>7.0000000000000007E-2</v>
      </c>
      <c r="C31" s="60">
        <f t="shared" si="3"/>
        <v>0.60000000000000009</v>
      </c>
      <c r="D31" s="61" t="e">
        <f t="shared" si="4"/>
        <v>#REF!</v>
      </c>
      <c r="E31" s="62" t="e">
        <f t="shared" si="5"/>
        <v>#REF!</v>
      </c>
      <c r="F31" s="63" t="e">
        <f t="shared" si="0"/>
        <v>#REF!</v>
      </c>
      <c r="G31" s="64" t="s">
        <v>47</v>
      </c>
      <c r="H31" s="57" t="e">
        <f t="shared" si="1"/>
        <v>#REF!</v>
      </c>
      <c r="I31" s="66" t="e">
        <f t="shared" si="6"/>
        <v>#REF!</v>
      </c>
      <c r="J31" s="66" t="e">
        <f t="shared" si="2"/>
        <v>#REF!</v>
      </c>
      <c r="K31" s="68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ht="12.6" thickBot="1" x14ac:dyDescent="0.3">
      <c r="A32" s="59">
        <v>14</v>
      </c>
      <c r="B32" s="60">
        <v>7.0000000000000007E-2</v>
      </c>
      <c r="C32" s="60">
        <f t="shared" si="3"/>
        <v>0.67000000000000015</v>
      </c>
      <c r="D32" s="61" t="e">
        <f>ROUND(B32*$D$11*(100-$D$14)/100,0)</f>
        <v>#REF!</v>
      </c>
      <c r="E32" s="62" t="e">
        <f t="shared" si="5"/>
        <v>#REF!</v>
      </c>
      <c r="F32" s="63" t="e">
        <f t="shared" si="0"/>
        <v>#REF!</v>
      </c>
      <c r="G32" s="64" t="s">
        <v>48</v>
      </c>
      <c r="H32" s="57" t="e">
        <f t="shared" si="1"/>
        <v>#REF!</v>
      </c>
      <c r="I32" s="66" t="e">
        <f t="shared" si="6"/>
        <v>#REF!</v>
      </c>
      <c r="J32" s="66" t="e">
        <f t="shared" si="2"/>
        <v>#REF!</v>
      </c>
      <c r="K32" s="70" t="e">
        <f>+SUM(J21:J32)</f>
        <v>#REF!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ht="12.6" thickBot="1" x14ac:dyDescent="0.3">
      <c r="A33" s="59">
        <v>15</v>
      </c>
      <c r="B33" s="60">
        <v>6.5000000000000002E-2</v>
      </c>
      <c r="C33" s="60">
        <f t="shared" si="3"/>
        <v>0.7350000000000001</v>
      </c>
      <c r="D33" s="61" t="e">
        <f>ROUND(B33*$D$11*(100-$D$14)/100,0)</f>
        <v>#REF!</v>
      </c>
      <c r="E33" s="62" t="e">
        <f t="shared" si="5"/>
        <v>#REF!</v>
      </c>
      <c r="F33" s="63" t="e">
        <f t="shared" si="0"/>
        <v>#REF!</v>
      </c>
      <c r="G33" s="64" t="s">
        <v>49</v>
      </c>
      <c r="H33" s="57" t="e">
        <f t="shared" si="1"/>
        <v>#REF!</v>
      </c>
      <c r="I33" s="66" t="e">
        <f t="shared" si="6"/>
        <v>#REF!</v>
      </c>
      <c r="J33" s="66" t="e">
        <f t="shared" si="2"/>
        <v>#REF!</v>
      </c>
      <c r="K33" s="68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ht="12.6" thickBot="1" x14ac:dyDescent="0.3">
      <c r="A34" s="59">
        <v>16</v>
      </c>
      <c r="B34" s="60">
        <v>6.5000000000000002E-2</v>
      </c>
      <c r="C34" s="60">
        <f>B34+C33</f>
        <v>0.8</v>
      </c>
      <c r="D34" s="61" t="e">
        <f>ROUND(B34*$D$11*(100-$D$14)/100,0)</f>
        <v>#REF!</v>
      </c>
      <c r="E34" s="62" t="e">
        <f>E33+D34</f>
        <v>#REF!</v>
      </c>
      <c r="F34" s="63" t="e">
        <f t="shared" si="0"/>
        <v>#REF!</v>
      </c>
      <c r="G34" s="64" t="s">
        <v>50</v>
      </c>
      <c r="H34" s="57" t="e">
        <f t="shared" si="1"/>
        <v>#REF!</v>
      </c>
      <c r="I34" s="66" t="e">
        <f t="shared" si="6"/>
        <v>#REF!</v>
      </c>
      <c r="J34" s="66" t="e">
        <f>ROUNDUP(D34*$D$12/100,-(LEN(D34)-$I$15))</f>
        <v>#REF!</v>
      </c>
      <c r="K34" s="68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ht="12.6" thickBot="1" x14ac:dyDescent="0.3">
      <c r="A35" s="59">
        <v>17</v>
      </c>
      <c r="B35" s="60">
        <v>0.05</v>
      </c>
      <c r="C35" s="60">
        <f>B35+C34</f>
        <v>0.85000000000000009</v>
      </c>
      <c r="D35" s="61" t="e">
        <f>ROUND(B35*$D$11*(100-$D$14)/100,0)</f>
        <v>#REF!</v>
      </c>
      <c r="E35" s="62" t="e">
        <f>E34+D35</f>
        <v>#REF!</v>
      </c>
      <c r="F35" s="63" t="e">
        <f t="shared" si="0"/>
        <v>#REF!</v>
      </c>
      <c r="G35" s="64" t="s">
        <v>51</v>
      </c>
      <c r="H35" s="57" t="e">
        <f t="shared" si="1"/>
        <v>#REF!</v>
      </c>
      <c r="I35" s="66" t="e">
        <f t="shared" si="6"/>
        <v>#REF!</v>
      </c>
      <c r="J35" s="66" t="e">
        <f>ROUNDUP(D35*$D$12/100,-(LEN(D35)-$I$15))</f>
        <v>#REF!</v>
      </c>
      <c r="K35" s="68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2.6" thickBot="1" x14ac:dyDescent="0.3">
      <c r="A36" s="71">
        <v>18</v>
      </c>
      <c r="B36" s="60">
        <v>0.05</v>
      </c>
      <c r="C36" s="72">
        <f>B36+C35</f>
        <v>0.90000000000000013</v>
      </c>
      <c r="D36" s="73" t="e">
        <f>ROUND(B36*$D$11*(100-$D$14)/100,0)</f>
        <v>#REF!</v>
      </c>
      <c r="E36" s="74" t="e">
        <f>E35+D36</f>
        <v>#REF!</v>
      </c>
      <c r="F36" s="75" t="e">
        <f t="shared" si="0"/>
        <v>#REF!</v>
      </c>
      <c r="G36" s="76" t="s">
        <v>52</v>
      </c>
      <c r="H36" s="57" t="e">
        <f t="shared" si="1"/>
        <v>#REF!</v>
      </c>
      <c r="I36" s="78" t="e">
        <f t="shared" si="6"/>
        <v>#REF!</v>
      </c>
      <c r="J36" s="78" t="e">
        <f>ROUNDUP(D36*$D$12/100,-(LEN(D36)-$I$15))</f>
        <v>#REF!</v>
      </c>
      <c r="K36" s="70" t="e">
        <f>+SUM(J33:J36)</f>
        <v>#REF!</v>
      </c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2.6" thickBot="1" x14ac:dyDescent="0.3">
      <c r="A37" s="59">
        <v>19</v>
      </c>
      <c r="B37" s="60">
        <v>0.04</v>
      </c>
      <c r="C37" s="72">
        <f t="shared" ref="C37:C44" si="7">B37+C36</f>
        <v>0.94000000000000017</v>
      </c>
      <c r="D37" s="73" t="e">
        <f t="shared" ref="D37:D44" si="8">ROUND(B37*$D$11*(100-$D$14)/100,0)</f>
        <v>#REF!</v>
      </c>
      <c r="E37" s="74" t="e">
        <f t="shared" ref="E37:E42" si="9">E36+D37</f>
        <v>#REF!</v>
      </c>
      <c r="F37" s="75" t="e">
        <f t="shared" si="0"/>
        <v>#REF!</v>
      </c>
      <c r="G37" s="76" t="s">
        <v>53</v>
      </c>
      <c r="H37" s="57" t="e">
        <f t="shared" si="1"/>
        <v>#REF!</v>
      </c>
      <c r="I37" s="78" t="e">
        <f t="shared" si="6"/>
        <v>#REF!</v>
      </c>
      <c r="J37" s="78" t="e">
        <f t="shared" ref="J37:J44" si="10">ROUNDUP(D37*$D$12/100,-(LEN(D37)-$I$15))</f>
        <v>#REF!</v>
      </c>
      <c r="K37" s="70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2.6" thickBot="1" x14ac:dyDescent="0.3">
      <c r="A38" s="71">
        <v>20</v>
      </c>
      <c r="B38" s="60">
        <v>0.02</v>
      </c>
      <c r="C38" s="72">
        <f t="shared" si="7"/>
        <v>0.96000000000000019</v>
      </c>
      <c r="D38" s="73" t="e">
        <f t="shared" si="8"/>
        <v>#REF!</v>
      </c>
      <c r="E38" s="74" t="e">
        <f t="shared" si="9"/>
        <v>#REF!</v>
      </c>
      <c r="F38" s="75" t="e">
        <f t="shared" si="0"/>
        <v>#REF!</v>
      </c>
      <c r="G38" s="76" t="s">
        <v>54</v>
      </c>
      <c r="H38" s="57" t="e">
        <f t="shared" si="1"/>
        <v>#REF!</v>
      </c>
      <c r="I38" s="78" t="e">
        <f t="shared" si="6"/>
        <v>#REF!</v>
      </c>
      <c r="J38" s="78" t="e">
        <f t="shared" si="10"/>
        <v>#REF!</v>
      </c>
      <c r="K38" s="70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.6" thickBot="1" x14ac:dyDescent="0.3">
      <c r="A39" s="59">
        <v>21</v>
      </c>
      <c r="B39" s="90">
        <v>0.01</v>
      </c>
      <c r="C39" s="72">
        <f t="shared" si="7"/>
        <v>0.9700000000000002</v>
      </c>
      <c r="D39" s="73" t="e">
        <f t="shared" si="8"/>
        <v>#REF!</v>
      </c>
      <c r="E39" s="74" t="e">
        <f t="shared" si="9"/>
        <v>#REF!</v>
      </c>
      <c r="F39" s="75" t="e">
        <f t="shared" si="0"/>
        <v>#REF!</v>
      </c>
      <c r="G39" s="76" t="s">
        <v>55</v>
      </c>
      <c r="H39" s="57" t="e">
        <f t="shared" si="1"/>
        <v>#REF!</v>
      </c>
      <c r="I39" s="78" t="e">
        <f t="shared" si="6"/>
        <v>#REF!</v>
      </c>
      <c r="J39" s="78" t="e">
        <f t="shared" si="10"/>
        <v>#REF!</v>
      </c>
      <c r="K39" s="70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2.6" thickBot="1" x14ac:dyDescent="0.3">
      <c r="A40" s="71">
        <v>22</v>
      </c>
      <c r="B40" s="60">
        <v>0.01</v>
      </c>
      <c r="C40" s="72">
        <f t="shared" si="7"/>
        <v>0.9800000000000002</v>
      </c>
      <c r="D40" s="73" t="e">
        <f t="shared" si="8"/>
        <v>#REF!</v>
      </c>
      <c r="E40" s="74" t="e">
        <f t="shared" si="9"/>
        <v>#REF!</v>
      </c>
      <c r="F40" s="75" t="e">
        <f t="shared" si="0"/>
        <v>#REF!</v>
      </c>
      <c r="G40" s="76" t="s">
        <v>56</v>
      </c>
      <c r="H40" s="57" t="e">
        <f t="shared" si="1"/>
        <v>#REF!</v>
      </c>
      <c r="I40" s="78" t="e">
        <f t="shared" si="6"/>
        <v>#REF!</v>
      </c>
      <c r="J40" s="78" t="e">
        <f t="shared" si="10"/>
        <v>#REF!</v>
      </c>
      <c r="K40" s="70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2.6" thickBot="1" x14ac:dyDescent="0.3">
      <c r="A41" s="59">
        <v>23</v>
      </c>
      <c r="B41" s="60">
        <v>5.0000000000000001E-3</v>
      </c>
      <c r="C41" s="72">
        <f t="shared" si="7"/>
        <v>0.98500000000000021</v>
      </c>
      <c r="D41" s="73" t="e">
        <f t="shared" si="8"/>
        <v>#REF!</v>
      </c>
      <c r="E41" s="74" t="e">
        <f t="shared" si="9"/>
        <v>#REF!</v>
      </c>
      <c r="F41" s="75" t="e">
        <f t="shared" si="0"/>
        <v>#REF!</v>
      </c>
      <c r="G41" s="76" t="s">
        <v>57</v>
      </c>
      <c r="H41" s="57" t="e">
        <f t="shared" si="1"/>
        <v>#REF!</v>
      </c>
      <c r="I41" s="78" t="e">
        <f t="shared" si="6"/>
        <v>#REF!</v>
      </c>
      <c r="J41" s="78" t="e">
        <f t="shared" si="10"/>
        <v>#REF!</v>
      </c>
      <c r="K41" s="70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2.6" thickBot="1" x14ac:dyDescent="0.3">
      <c r="A42" s="71">
        <v>24</v>
      </c>
      <c r="B42" s="72">
        <v>5.0000000000000001E-3</v>
      </c>
      <c r="C42" s="72">
        <f t="shared" si="7"/>
        <v>0.99000000000000021</v>
      </c>
      <c r="D42" s="73" t="e">
        <f t="shared" si="8"/>
        <v>#REF!</v>
      </c>
      <c r="E42" s="74" t="e">
        <f t="shared" si="9"/>
        <v>#REF!</v>
      </c>
      <c r="F42" s="75" t="e">
        <f t="shared" si="0"/>
        <v>#REF!</v>
      </c>
      <c r="G42" s="76" t="s">
        <v>58</v>
      </c>
      <c r="H42" s="57" t="e">
        <f t="shared" si="1"/>
        <v>#REF!</v>
      </c>
      <c r="I42" s="78" t="e">
        <f t="shared" si="6"/>
        <v>#REF!</v>
      </c>
      <c r="J42" s="78" t="e">
        <f t="shared" si="10"/>
        <v>#REF!</v>
      </c>
      <c r="K42" s="70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2.6" thickBot="1" x14ac:dyDescent="0.3">
      <c r="A43" s="59">
        <v>25</v>
      </c>
      <c r="B43" s="90">
        <v>5.0000000000000001E-3</v>
      </c>
      <c r="C43" s="72">
        <f t="shared" si="7"/>
        <v>0.99500000000000022</v>
      </c>
      <c r="D43" s="233" t="e">
        <f t="shared" si="8"/>
        <v>#REF!</v>
      </c>
      <c r="E43" s="74" t="e">
        <f t="shared" ref="E43:E44" si="11">E42+D43</f>
        <v>#REF!</v>
      </c>
      <c r="F43" s="75" t="e">
        <f t="shared" ref="F43:F44" si="12">E43/$E$36</f>
        <v>#REF!</v>
      </c>
      <c r="G43" s="76" t="s">
        <v>59</v>
      </c>
      <c r="H43" s="57" t="e">
        <f t="shared" si="1"/>
        <v>#REF!</v>
      </c>
      <c r="I43" s="82" t="e">
        <f t="shared" si="6"/>
        <v>#REF!</v>
      </c>
      <c r="J43" s="82" t="e">
        <f t="shared" si="10"/>
        <v>#REF!</v>
      </c>
      <c r="K43" s="70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ht="12.6" thickBot="1" x14ac:dyDescent="0.3">
      <c r="A44" s="71">
        <v>26</v>
      </c>
      <c r="B44" s="90">
        <v>5.0000000000000001E-3</v>
      </c>
      <c r="C44" s="72">
        <f t="shared" si="7"/>
        <v>1.0000000000000002</v>
      </c>
      <c r="D44" s="233" t="e">
        <f t="shared" si="8"/>
        <v>#REF!</v>
      </c>
      <c r="E44" s="74" t="e">
        <f t="shared" si="11"/>
        <v>#REF!</v>
      </c>
      <c r="F44" s="75" t="e">
        <f t="shared" si="12"/>
        <v>#REF!</v>
      </c>
      <c r="G44" s="76" t="s">
        <v>60</v>
      </c>
      <c r="H44" s="57" t="e">
        <f t="shared" si="1"/>
        <v>#REF!</v>
      </c>
      <c r="I44" s="82" t="e">
        <f t="shared" si="6"/>
        <v>#REF!</v>
      </c>
      <c r="J44" s="82" t="e">
        <f t="shared" si="10"/>
        <v>#REF!</v>
      </c>
      <c r="K44" s="70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ht="12.6" thickBot="1" x14ac:dyDescent="0.3">
      <c r="A45" s="79" t="str">
        <f>A42*30 &amp; " dias"</f>
        <v>720 dias</v>
      </c>
      <c r="B45" s="80">
        <f>SUM(B19:B44)</f>
        <v>1.0000000000000002</v>
      </c>
      <c r="C45" s="81"/>
      <c r="D45" s="82" t="e">
        <f>SUM(D18:D44)</f>
        <v>#REF!</v>
      </c>
      <c r="E45" s="21"/>
      <c r="F45" s="26"/>
      <c r="G45" s="26"/>
      <c r="H45" s="21"/>
      <c r="I45" s="83" t="e">
        <f>SUM(I18:I44)</f>
        <v>#REF!</v>
      </c>
      <c r="J45" s="83" t="e">
        <f>SUM(J18:J44)</f>
        <v>#REF!</v>
      </c>
      <c r="K45" s="68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6"/>
      <c r="B46" s="31"/>
      <c r="C46" s="29"/>
      <c r="D46" s="29"/>
      <c r="E46" s="29"/>
      <c r="F46" s="21"/>
      <c r="G46" s="21"/>
      <c r="H46" s="32" t="s">
        <v>229</v>
      </c>
      <c r="I46" s="426" t="e">
        <f>I45+J45</f>
        <v>#REF!</v>
      </c>
      <c r="J46" s="427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5" t="s">
        <v>237</v>
      </c>
      <c r="B47" s="25"/>
      <c r="C47" s="25"/>
      <c r="D47" s="29"/>
      <c r="E47" s="29"/>
      <c r="F47" s="21"/>
      <c r="G47" s="21"/>
      <c r="H47" s="32" t="s">
        <v>231</v>
      </c>
      <c r="I47" s="41" t="e">
        <f>I46/1.1-D11</f>
        <v>#REF!</v>
      </c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84"/>
      <c r="C48" s="29"/>
      <c r="D48" s="29"/>
      <c r="E48" s="29"/>
      <c r="F48" s="21"/>
      <c r="G48" s="21"/>
      <c r="H48" s="26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9" x14ac:dyDescent="0.25">
      <c r="A49" s="21"/>
      <c r="B49" s="84"/>
      <c r="C49" s="29"/>
      <c r="D49" s="29"/>
      <c r="E49" s="29"/>
      <c r="F49" s="21"/>
      <c r="G49" s="21"/>
      <c r="H49" s="26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9" x14ac:dyDescent="0.25">
      <c r="A50" s="21"/>
      <c r="B50" s="31"/>
      <c r="C50" s="29"/>
      <c r="D50" s="29"/>
      <c r="E50" s="29"/>
      <c r="F50" s="21"/>
      <c r="G50" s="21"/>
      <c r="H50" s="26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9" x14ac:dyDescent="0.25">
      <c r="A51" s="21"/>
      <c r="B51" s="31"/>
      <c r="C51" s="29"/>
      <c r="D51" s="29"/>
      <c r="E51" s="29"/>
      <c r="F51" s="21"/>
      <c r="G51" s="21"/>
      <c r="H51" s="26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9" x14ac:dyDescent="0.25">
      <c r="A52" s="21"/>
      <c r="B52" s="31"/>
      <c r="C52" s="29"/>
      <c r="D52" s="29"/>
      <c r="E52" s="29"/>
      <c r="F52" s="21"/>
      <c r="G52" s="21"/>
      <c r="H52" s="26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9" x14ac:dyDescent="0.25">
      <c r="A53" s="21"/>
      <c r="B53" s="31"/>
      <c r="C53" s="29"/>
      <c r="D53" s="29"/>
      <c r="E53" s="29"/>
      <c r="F53" s="21"/>
      <c r="G53" s="21"/>
      <c r="H53" s="26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</row>
    <row r="54" spans="1:29" x14ac:dyDescent="0.25">
      <c r="A54" s="21"/>
      <c r="B54" s="31"/>
      <c r="C54" s="29"/>
      <c r="D54" s="29"/>
      <c r="E54" s="29"/>
      <c r="F54" s="21"/>
      <c r="G54" s="21"/>
      <c r="H54" s="26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</row>
    <row r="55" spans="1:29" s="93" customFormat="1" ht="12.75" customHeight="1" x14ac:dyDescent="0.25">
      <c r="A55" s="92"/>
      <c r="B55" s="92" t="s">
        <v>232</v>
      </c>
      <c r="C55" s="92" t="s">
        <v>35</v>
      </c>
      <c r="D55" s="92" t="s">
        <v>36</v>
      </c>
      <c r="E55" s="92" t="s">
        <v>37</v>
      </c>
      <c r="F55" s="92" t="s">
        <v>38</v>
      </c>
      <c r="G55" s="92" t="s">
        <v>39</v>
      </c>
      <c r="H55" s="92" t="s">
        <v>40</v>
      </c>
      <c r="I55" s="92" t="s">
        <v>41</v>
      </c>
      <c r="J55" s="92" t="s">
        <v>42</v>
      </c>
      <c r="K55" s="92" t="s">
        <v>43</v>
      </c>
      <c r="L55" s="92" t="s">
        <v>44</v>
      </c>
      <c r="M55" s="92" t="s">
        <v>45</v>
      </c>
      <c r="N55" s="92" t="s">
        <v>46</v>
      </c>
      <c r="O55" s="92" t="s">
        <v>47</v>
      </c>
      <c r="P55" s="92" t="s">
        <v>48</v>
      </c>
      <c r="Q55" s="92" t="s">
        <v>49</v>
      </c>
      <c r="R55" s="92" t="s">
        <v>50</v>
      </c>
      <c r="S55" s="92" t="s">
        <v>51</v>
      </c>
      <c r="T55" s="92" t="s">
        <v>52</v>
      </c>
      <c r="U55" s="92" t="s">
        <v>53</v>
      </c>
      <c r="V55" s="92" t="s">
        <v>54</v>
      </c>
      <c r="W55" s="92" t="s">
        <v>55</v>
      </c>
      <c r="X55" s="92" t="s">
        <v>56</v>
      </c>
      <c r="Y55" s="92" t="s">
        <v>57</v>
      </c>
      <c r="Z55" s="92" t="s">
        <v>58</v>
      </c>
      <c r="AA55" s="92" t="s">
        <v>59</v>
      </c>
      <c r="AB55" s="92" t="s">
        <v>60</v>
      </c>
    </row>
    <row r="56" spans="1:29" s="96" customFormat="1" x14ac:dyDescent="0.25">
      <c r="A56" s="94" t="s">
        <v>233</v>
      </c>
      <c r="B56" s="95">
        <v>0</v>
      </c>
      <c r="C56" s="95">
        <v>0</v>
      </c>
      <c r="D56" s="95">
        <v>0</v>
      </c>
      <c r="E56" s="95">
        <v>0</v>
      </c>
      <c r="F56" s="95">
        <v>0</v>
      </c>
      <c r="G56" s="95">
        <v>0</v>
      </c>
      <c r="H56" s="95">
        <v>0</v>
      </c>
      <c r="I56" s="95">
        <v>0</v>
      </c>
      <c r="J56" s="95">
        <v>0</v>
      </c>
      <c r="K56" s="95">
        <v>0</v>
      </c>
      <c r="L56" s="95">
        <v>0</v>
      </c>
      <c r="M56" s="95">
        <v>0</v>
      </c>
      <c r="N56" s="95">
        <v>0</v>
      </c>
      <c r="O56" s="95">
        <v>0</v>
      </c>
      <c r="P56" s="95">
        <v>0</v>
      </c>
      <c r="Q56" s="95">
        <v>0</v>
      </c>
      <c r="R56" s="95">
        <v>0</v>
      </c>
      <c r="S56" s="95">
        <v>0</v>
      </c>
      <c r="T56" s="95">
        <v>0</v>
      </c>
      <c r="U56" s="95">
        <v>0</v>
      </c>
      <c r="V56" s="95">
        <v>0</v>
      </c>
      <c r="W56" s="95">
        <v>0</v>
      </c>
      <c r="X56" s="95">
        <v>0</v>
      </c>
      <c r="Y56" s="95">
        <v>0</v>
      </c>
      <c r="Z56" s="95">
        <v>0</v>
      </c>
      <c r="AA56" s="95">
        <v>0</v>
      </c>
      <c r="AB56" s="95">
        <v>0</v>
      </c>
      <c r="AC56" s="96">
        <f>SUM(B56:T56)</f>
        <v>0</v>
      </c>
    </row>
    <row r="57" spans="1:29" s="96" customFormat="1" x14ac:dyDescent="0.25">
      <c r="A57" s="94" t="s">
        <v>234</v>
      </c>
      <c r="B57" s="95" t="e">
        <f>$J18</f>
        <v>#REF!</v>
      </c>
      <c r="C57" s="95" t="e">
        <f>$J19</f>
        <v>#REF!</v>
      </c>
      <c r="D57" s="95" t="e">
        <f>$J20</f>
        <v>#REF!</v>
      </c>
      <c r="E57" s="95" t="e">
        <f>$J21</f>
        <v>#REF!</v>
      </c>
      <c r="F57" s="95" t="e">
        <f>$J22</f>
        <v>#REF!</v>
      </c>
      <c r="G57" s="95" t="e">
        <f>$J23</f>
        <v>#REF!</v>
      </c>
      <c r="H57" s="95" t="e">
        <f>$J24</f>
        <v>#REF!</v>
      </c>
      <c r="I57" s="95" t="e">
        <f>$J25</f>
        <v>#REF!</v>
      </c>
      <c r="J57" s="95" t="e">
        <f>$J26</f>
        <v>#REF!</v>
      </c>
      <c r="K57" s="95" t="e">
        <f>$J27</f>
        <v>#REF!</v>
      </c>
      <c r="L57" s="95" t="e">
        <f>$J28</f>
        <v>#REF!</v>
      </c>
      <c r="M57" s="95" t="e">
        <f>$J29</f>
        <v>#REF!</v>
      </c>
      <c r="N57" s="95" t="e">
        <f>$J30</f>
        <v>#REF!</v>
      </c>
      <c r="O57" s="95" t="e">
        <f>$J31</f>
        <v>#REF!</v>
      </c>
      <c r="P57" s="95" t="e">
        <f>$J32</f>
        <v>#REF!</v>
      </c>
      <c r="Q57" s="95" t="e">
        <f>$J33</f>
        <v>#REF!</v>
      </c>
      <c r="R57" s="95" t="e">
        <f>$J34</f>
        <v>#REF!</v>
      </c>
      <c r="S57" s="95" t="e">
        <f>$J35</f>
        <v>#REF!</v>
      </c>
      <c r="T57" s="95" t="e">
        <f>$J36</f>
        <v>#REF!</v>
      </c>
      <c r="U57" s="95" t="e">
        <f>$J37</f>
        <v>#REF!</v>
      </c>
      <c r="V57" s="95" t="e">
        <f>$J38</f>
        <v>#REF!</v>
      </c>
      <c r="W57" s="95" t="e">
        <f>$J39</f>
        <v>#REF!</v>
      </c>
      <c r="X57" s="95" t="e">
        <f>$J40</f>
        <v>#REF!</v>
      </c>
      <c r="Y57" s="95" t="e">
        <f>$J41</f>
        <v>#REF!</v>
      </c>
      <c r="Z57" s="95" t="e">
        <f>$J42</f>
        <v>#REF!</v>
      </c>
      <c r="AA57" s="95" t="e">
        <f t="shared" ref="AA57:AB57" si="13">$J42</f>
        <v>#REF!</v>
      </c>
      <c r="AB57" s="95" t="e">
        <f t="shared" si="13"/>
        <v>#REF!</v>
      </c>
      <c r="AC57" s="97" t="e">
        <f>SUM(B57:Z57)</f>
        <v>#REF!</v>
      </c>
    </row>
    <row r="58" spans="1:29" x14ac:dyDescent="0.25">
      <c r="A58" s="98" t="s">
        <v>238</v>
      </c>
      <c r="B58" s="99" t="e">
        <f>SUM(B56:B57)</f>
        <v>#REF!</v>
      </c>
      <c r="C58" s="99" t="e">
        <f>SUM(C56:C57)*0.45</f>
        <v>#REF!</v>
      </c>
      <c r="D58" s="99" t="e">
        <f t="shared" ref="D58:Z58" si="14">SUM(D56:D57)*0.45</f>
        <v>#REF!</v>
      </c>
      <c r="E58" s="99" t="e">
        <f t="shared" si="14"/>
        <v>#REF!</v>
      </c>
      <c r="F58" s="99" t="e">
        <f t="shared" si="14"/>
        <v>#REF!</v>
      </c>
      <c r="G58" s="99" t="e">
        <f t="shared" si="14"/>
        <v>#REF!</v>
      </c>
      <c r="H58" s="99" t="e">
        <f t="shared" si="14"/>
        <v>#REF!</v>
      </c>
      <c r="I58" s="99" t="e">
        <f t="shared" si="14"/>
        <v>#REF!</v>
      </c>
      <c r="J58" s="99" t="e">
        <f t="shared" si="14"/>
        <v>#REF!</v>
      </c>
      <c r="K58" s="99" t="e">
        <f t="shared" si="14"/>
        <v>#REF!</v>
      </c>
      <c r="L58" s="99" t="e">
        <f t="shared" si="14"/>
        <v>#REF!</v>
      </c>
      <c r="M58" s="99" t="e">
        <f t="shared" si="14"/>
        <v>#REF!</v>
      </c>
      <c r="N58" s="99" t="e">
        <f t="shared" si="14"/>
        <v>#REF!</v>
      </c>
      <c r="O58" s="99" t="e">
        <f t="shared" si="14"/>
        <v>#REF!</v>
      </c>
      <c r="P58" s="99" t="e">
        <f t="shared" si="14"/>
        <v>#REF!</v>
      </c>
      <c r="Q58" s="99" t="e">
        <f t="shared" si="14"/>
        <v>#REF!</v>
      </c>
      <c r="R58" s="99" t="e">
        <f t="shared" si="14"/>
        <v>#REF!</v>
      </c>
      <c r="S58" s="99" t="e">
        <f t="shared" si="14"/>
        <v>#REF!</v>
      </c>
      <c r="T58" s="99" t="e">
        <f t="shared" si="14"/>
        <v>#REF!</v>
      </c>
      <c r="U58" s="99" t="e">
        <f t="shared" si="14"/>
        <v>#REF!</v>
      </c>
      <c r="V58" s="99" t="e">
        <f t="shared" si="14"/>
        <v>#REF!</v>
      </c>
      <c r="W58" s="99" t="e">
        <f t="shared" si="14"/>
        <v>#REF!</v>
      </c>
      <c r="X58" s="99" t="e">
        <f t="shared" si="14"/>
        <v>#REF!</v>
      </c>
      <c r="Y58" s="99" t="e">
        <f t="shared" si="14"/>
        <v>#REF!</v>
      </c>
      <c r="Z58" s="99" t="e">
        <f t="shared" si="14"/>
        <v>#REF!</v>
      </c>
      <c r="AA58" s="99" t="e">
        <f t="shared" ref="AA58:AB58" si="15">SUM(AA56:AA57)*0.45</f>
        <v>#REF!</v>
      </c>
      <c r="AB58" s="99" t="e">
        <f t="shared" si="15"/>
        <v>#REF!</v>
      </c>
      <c r="AC58" s="99" t="e">
        <f>SUM(B58:AB58)</f>
        <v>#REF!</v>
      </c>
    </row>
    <row r="59" spans="1:29" s="97" customFormat="1" x14ac:dyDescent="0.25">
      <c r="A59" s="100" t="s">
        <v>239</v>
      </c>
      <c r="B59" s="100">
        <v>0</v>
      </c>
      <c r="C59" s="100" t="e">
        <f>C65</f>
        <v>#REF!</v>
      </c>
      <c r="D59" s="100" t="e">
        <f t="shared" ref="D59:Z59" si="16">C59</f>
        <v>#REF!</v>
      </c>
      <c r="E59" s="100" t="e">
        <f t="shared" si="16"/>
        <v>#REF!</v>
      </c>
      <c r="F59" s="100" t="e">
        <f t="shared" si="16"/>
        <v>#REF!</v>
      </c>
      <c r="G59" s="100" t="e">
        <f t="shared" si="16"/>
        <v>#REF!</v>
      </c>
      <c r="H59" s="100" t="e">
        <f t="shared" si="16"/>
        <v>#REF!</v>
      </c>
      <c r="I59" s="100" t="e">
        <f t="shared" si="16"/>
        <v>#REF!</v>
      </c>
      <c r="J59" s="100" t="e">
        <f t="shared" si="16"/>
        <v>#REF!</v>
      </c>
      <c r="K59" s="100" t="e">
        <f t="shared" si="16"/>
        <v>#REF!</v>
      </c>
      <c r="L59" s="100" t="e">
        <f t="shared" si="16"/>
        <v>#REF!</v>
      </c>
      <c r="M59" s="100" t="e">
        <f t="shared" si="16"/>
        <v>#REF!</v>
      </c>
      <c r="N59" s="100" t="e">
        <f t="shared" si="16"/>
        <v>#REF!</v>
      </c>
      <c r="O59" s="100" t="e">
        <f t="shared" si="16"/>
        <v>#REF!</v>
      </c>
      <c r="P59" s="100" t="e">
        <f t="shared" si="16"/>
        <v>#REF!</v>
      </c>
      <c r="Q59" s="100" t="e">
        <f t="shared" si="16"/>
        <v>#REF!</v>
      </c>
      <c r="R59" s="100" t="e">
        <f t="shared" si="16"/>
        <v>#REF!</v>
      </c>
      <c r="S59" s="100" t="e">
        <f t="shared" si="16"/>
        <v>#REF!</v>
      </c>
      <c r="T59" s="100" t="e">
        <f t="shared" si="16"/>
        <v>#REF!</v>
      </c>
      <c r="U59" s="100" t="e">
        <f t="shared" si="16"/>
        <v>#REF!</v>
      </c>
      <c r="V59" s="100" t="e">
        <f t="shared" si="16"/>
        <v>#REF!</v>
      </c>
      <c r="W59" s="100" t="e">
        <f t="shared" si="16"/>
        <v>#REF!</v>
      </c>
      <c r="X59" s="100" t="e">
        <f t="shared" si="16"/>
        <v>#REF!</v>
      </c>
      <c r="Y59" s="100" t="e">
        <f t="shared" si="16"/>
        <v>#REF!</v>
      </c>
      <c r="Z59" s="100" t="e">
        <f t="shared" si="16"/>
        <v>#REF!</v>
      </c>
      <c r="AA59" s="100" t="e">
        <f t="shared" ref="AA59" si="17">Z59</f>
        <v>#REF!</v>
      </c>
      <c r="AB59" s="100" t="e">
        <f t="shared" ref="AB59" si="18">AA59</f>
        <v>#REF!</v>
      </c>
      <c r="AC59" s="99" t="e">
        <f>SUM(B59:AB59)</f>
        <v>#REF!</v>
      </c>
    </row>
    <row r="60" spans="1:29" s="97" customFormat="1" x14ac:dyDescent="0.25">
      <c r="A60" s="100" t="s">
        <v>232</v>
      </c>
      <c r="B60" s="100" t="e">
        <f>A63*10%</f>
        <v>#REF!</v>
      </c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  <c r="N60" s="100"/>
      <c r="O60" s="100"/>
      <c r="P60" s="100"/>
      <c r="Q60" s="100"/>
      <c r="R60" s="100"/>
      <c r="S60" s="100"/>
      <c r="T60" s="100"/>
      <c r="U60" s="100"/>
      <c r="V60" s="100"/>
      <c r="W60" s="100"/>
      <c r="X60" s="100"/>
      <c r="Y60" s="100"/>
      <c r="Z60" s="100"/>
      <c r="AA60" s="100"/>
      <c r="AB60" s="100"/>
      <c r="AC60" s="99" t="e">
        <f>SUM(B60:AB60)</f>
        <v>#REF!</v>
      </c>
    </row>
    <row r="61" spans="1:29" s="97" customFormat="1" x14ac:dyDescent="0.25">
      <c r="A61" s="100"/>
      <c r="B61" s="100" t="e">
        <f>SUM(B58:B60)</f>
        <v>#REF!</v>
      </c>
      <c r="C61" s="100" t="e">
        <f t="shared" ref="C61:Z61" si="19">SUM(C58:C60)</f>
        <v>#REF!</v>
      </c>
      <c r="D61" s="100" t="e">
        <f t="shared" si="19"/>
        <v>#REF!</v>
      </c>
      <c r="E61" s="100" t="e">
        <f t="shared" si="19"/>
        <v>#REF!</v>
      </c>
      <c r="F61" s="100" t="e">
        <f t="shared" si="19"/>
        <v>#REF!</v>
      </c>
      <c r="G61" s="100" t="e">
        <f t="shared" si="19"/>
        <v>#REF!</v>
      </c>
      <c r="H61" s="100" t="e">
        <f t="shared" si="19"/>
        <v>#REF!</v>
      </c>
      <c r="I61" s="100" t="e">
        <f t="shared" si="19"/>
        <v>#REF!</v>
      </c>
      <c r="J61" s="100" t="e">
        <f t="shared" si="19"/>
        <v>#REF!</v>
      </c>
      <c r="K61" s="100" t="e">
        <f t="shared" si="19"/>
        <v>#REF!</v>
      </c>
      <c r="L61" s="100" t="e">
        <f t="shared" si="19"/>
        <v>#REF!</v>
      </c>
      <c r="M61" s="100" t="e">
        <f t="shared" si="19"/>
        <v>#REF!</v>
      </c>
      <c r="N61" s="100" t="e">
        <f t="shared" si="19"/>
        <v>#REF!</v>
      </c>
      <c r="O61" s="100" t="e">
        <f t="shared" si="19"/>
        <v>#REF!</v>
      </c>
      <c r="P61" s="100" t="e">
        <f t="shared" si="19"/>
        <v>#REF!</v>
      </c>
      <c r="Q61" s="100" t="e">
        <f t="shared" si="19"/>
        <v>#REF!</v>
      </c>
      <c r="R61" s="100" t="e">
        <f t="shared" si="19"/>
        <v>#REF!</v>
      </c>
      <c r="S61" s="100" t="e">
        <f t="shared" si="19"/>
        <v>#REF!</v>
      </c>
      <c r="T61" s="100" t="e">
        <f t="shared" si="19"/>
        <v>#REF!</v>
      </c>
      <c r="U61" s="100" t="e">
        <f t="shared" si="19"/>
        <v>#REF!</v>
      </c>
      <c r="V61" s="100" t="e">
        <f t="shared" si="19"/>
        <v>#REF!</v>
      </c>
      <c r="W61" s="100" t="e">
        <f t="shared" si="19"/>
        <v>#REF!</v>
      </c>
      <c r="X61" s="100" t="e">
        <f t="shared" si="19"/>
        <v>#REF!</v>
      </c>
      <c r="Y61" s="100" t="e">
        <f t="shared" si="19"/>
        <v>#REF!</v>
      </c>
      <c r="Z61" s="100" t="e">
        <f t="shared" si="19"/>
        <v>#REF!</v>
      </c>
      <c r="AA61" s="100" t="e">
        <f t="shared" ref="AA61:AB61" si="20">SUM(AA58:AA60)</f>
        <v>#REF!</v>
      </c>
      <c r="AB61" s="100" t="e">
        <f t="shared" si="20"/>
        <v>#REF!</v>
      </c>
      <c r="AC61" s="99" t="e">
        <f>SUM(B61:AB61)</f>
        <v>#REF!</v>
      </c>
    </row>
    <row r="62" spans="1:29" s="96" customFormat="1" x14ac:dyDescent="0.25">
      <c r="C62" s="96" t="e">
        <f>B62/A63</f>
        <v>#REF!</v>
      </c>
    </row>
    <row r="63" spans="1:29" s="96" customFormat="1" x14ac:dyDescent="0.25">
      <c r="A63" s="96" t="e">
        <f>+D8</f>
        <v>#REF!</v>
      </c>
    </row>
    <row r="64" spans="1:29" s="96" customFormat="1" x14ac:dyDescent="0.25">
      <c r="A64" s="96" t="e">
        <f>A63*0.1</f>
        <v>#REF!</v>
      </c>
    </row>
    <row r="65" spans="1:3" s="96" customFormat="1" x14ac:dyDescent="0.25">
      <c r="A65" s="96" t="e">
        <f>A63*0.45</f>
        <v>#REF!</v>
      </c>
      <c r="C65" s="96" t="e">
        <f>A65/26</f>
        <v>#REF!</v>
      </c>
    </row>
    <row r="66" spans="1:3" s="96" customFormat="1" x14ac:dyDescent="0.25"/>
  </sheetData>
  <mergeCells count="6">
    <mergeCell ref="I46:J46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A64"/>
  <sheetViews>
    <sheetView showGridLines="0" zoomScale="80" zoomScaleNormal="80" workbookViewId="0">
      <selection activeCell="A62" sqref="A62"/>
    </sheetView>
  </sheetViews>
  <sheetFormatPr defaultColWidth="11.44140625" defaultRowHeight="12" x14ac:dyDescent="0.25"/>
  <cols>
    <col min="1" max="1" width="17.44140625" style="91" customWidth="1"/>
    <col min="2" max="2" width="14.21875" style="91" customWidth="1"/>
    <col min="3" max="3" width="16.77734375" style="91" customWidth="1"/>
    <col min="4" max="4" width="13.77734375" style="91" customWidth="1"/>
    <col min="5" max="5" width="13.5546875" style="91" customWidth="1"/>
    <col min="6" max="6" width="18.21875" style="91" customWidth="1"/>
    <col min="7" max="7" width="17.5546875" style="91" customWidth="1"/>
    <col min="8" max="8" width="17.44140625" style="91" customWidth="1"/>
    <col min="9" max="9" width="13.77734375" style="91" customWidth="1"/>
    <col min="10" max="10" width="16.44140625" style="91" customWidth="1"/>
    <col min="11" max="11" width="13.77734375" style="91" customWidth="1"/>
    <col min="12" max="12" width="15.77734375" style="91" customWidth="1"/>
    <col min="13" max="13" width="15.21875" style="91" customWidth="1"/>
    <col min="14" max="20" width="13.77734375" style="91" customWidth="1"/>
    <col min="21" max="21" width="14.77734375" style="91" customWidth="1"/>
    <col min="22" max="16384" width="11.44140625" style="91"/>
  </cols>
  <sheetData>
    <row r="1" spans="1:21" ht="15.75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</row>
    <row r="2" spans="1:21" x14ac:dyDescent="0.25">
      <c r="A2" s="22"/>
      <c r="B2" s="23"/>
      <c r="C2" s="24"/>
      <c r="D2" s="24"/>
      <c r="E2" s="25"/>
      <c r="F2" s="25"/>
      <c r="G2" s="21"/>
      <c r="H2" s="26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x14ac:dyDescent="0.25">
      <c r="A3" s="22" t="s">
        <v>206</v>
      </c>
      <c r="B3" s="429" t="e">
        <f>+#REF!</f>
        <v>#REF!</v>
      </c>
      <c r="C3" s="429"/>
      <c r="D3" s="429"/>
      <c r="E3" s="429"/>
      <c r="F3" s="429"/>
      <c r="G3" s="429"/>
      <c r="H3" s="429"/>
      <c r="I3" s="429"/>
      <c r="J3" s="27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</row>
    <row r="5" spans="1:21" x14ac:dyDescent="0.25">
      <c r="A5" s="430" t="str">
        <f>CONCATENATE("PLAZO: ",A36," MESES (",A43,")")</f>
        <v>PLAZO: 18 MESES (720 dias)</v>
      </c>
      <c r="B5" s="430"/>
      <c r="C5" s="430"/>
      <c r="D5" s="29"/>
      <c r="E5" s="30" t="s">
        <v>207</v>
      </c>
      <c r="F5" s="21"/>
      <c r="G5" s="21"/>
      <c r="H5" s="26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  <c r="U5" s="21"/>
    </row>
    <row r="6" spans="1:21" x14ac:dyDescent="0.25">
      <c r="A6" s="21"/>
      <c r="B6" s="31"/>
      <c r="C6" s="29"/>
      <c r="D6" s="29"/>
      <c r="E6" s="29"/>
      <c r="F6" s="21"/>
      <c r="G6" s="21"/>
      <c r="H6" s="26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</row>
    <row r="7" spans="1:21" x14ac:dyDescent="0.25">
      <c r="A7" s="21"/>
      <c r="B7" s="31"/>
      <c r="C7" s="32" t="s">
        <v>208</v>
      </c>
      <c r="D7" s="431"/>
      <c r="E7" s="431"/>
      <c r="F7" s="431"/>
      <c r="G7" s="21"/>
      <c r="H7" s="32" t="s">
        <v>209</v>
      </c>
      <c r="I7" s="33">
        <f ca="1">NOW()</f>
        <v>43616.674115740738</v>
      </c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</row>
    <row r="8" spans="1:21" x14ac:dyDescent="0.25">
      <c r="A8" s="21"/>
      <c r="B8" s="31"/>
      <c r="C8" s="32" t="str">
        <f>IF(D7=0,"MONTO ESTIMADO CON IVA:","MONTO DE CONTRATO CON IVA:")</f>
        <v>MONTO ESTIMADO CON IVA:</v>
      </c>
      <c r="D8" s="34">
        <v>9500000</v>
      </c>
      <c r="E8" s="35" t="s">
        <v>210</v>
      </c>
      <c r="F8" s="21" t="s">
        <v>211</v>
      </c>
      <c r="G8" s="21"/>
      <c r="H8" s="26" t="s">
        <v>212</v>
      </c>
      <c r="I8" s="36">
        <v>1</v>
      </c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</row>
    <row r="9" spans="1:21" x14ac:dyDescent="0.25">
      <c r="A9" s="21"/>
      <c r="B9" s="31"/>
      <c r="C9" s="32" t="s">
        <v>12</v>
      </c>
      <c r="D9" s="34">
        <v>1000000</v>
      </c>
      <c r="E9" s="29" t="s">
        <v>213</v>
      </c>
      <c r="F9" s="21"/>
      <c r="G9" s="21"/>
      <c r="H9" s="26"/>
      <c r="I9" s="37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</row>
    <row r="10" spans="1:21" x14ac:dyDescent="0.25">
      <c r="A10" s="21"/>
      <c r="B10" s="31"/>
      <c r="C10" s="32" t="s">
        <v>3</v>
      </c>
      <c r="D10" s="34">
        <f>+D9+D8</f>
        <v>10500000</v>
      </c>
      <c r="E10" s="29" t="s">
        <v>210</v>
      </c>
      <c r="F10" s="21"/>
      <c r="G10" s="21"/>
      <c r="H10" s="26"/>
      <c r="I10" s="37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</row>
    <row r="11" spans="1:21" x14ac:dyDescent="0.25">
      <c r="A11" s="21"/>
      <c r="B11" s="21"/>
      <c r="C11" s="32" t="str">
        <f>IF(D7=0,"MONTO ESTIMADO SIN IVA:","MONTO DE CONTRATO SIN IVA:")</f>
        <v>MONTO ESTIMADO SIN IVA:</v>
      </c>
      <c r="D11" s="38">
        <f>D8</f>
        <v>9500000</v>
      </c>
      <c r="E11" s="39" t="s">
        <v>213</v>
      </c>
      <c r="F11" s="29"/>
      <c r="G11" s="21"/>
      <c r="H11" s="26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</row>
    <row r="12" spans="1:21" x14ac:dyDescent="0.25">
      <c r="A12" s="21"/>
      <c r="B12" s="21"/>
      <c r="C12" s="32" t="s">
        <v>214</v>
      </c>
      <c r="D12" s="36">
        <v>100</v>
      </c>
      <c r="E12" s="29"/>
      <c r="F12" s="29" t="s">
        <v>215</v>
      </c>
      <c r="G12" s="21"/>
      <c r="H12" s="26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</row>
    <row r="13" spans="1:21" x14ac:dyDescent="0.25">
      <c r="A13" s="21"/>
      <c r="B13" s="21"/>
      <c r="C13" s="32" t="s">
        <v>216</v>
      </c>
      <c r="D13" s="40">
        <f>100-D12</f>
        <v>0</v>
      </c>
      <c r="E13" s="29"/>
      <c r="F13" s="29"/>
      <c r="G13" s="21"/>
      <c r="H13" s="26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</row>
    <row r="14" spans="1:21" x14ac:dyDescent="0.25">
      <c r="A14" s="21"/>
      <c r="B14" s="21"/>
      <c r="C14" s="32" t="s">
        <v>217</v>
      </c>
      <c r="D14" s="37">
        <v>0</v>
      </c>
      <c r="E14" s="29"/>
      <c r="F14" s="29"/>
      <c r="G14" s="21"/>
      <c r="H14" s="26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</row>
    <row r="15" spans="1:21" x14ac:dyDescent="0.25">
      <c r="A15" s="21"/>
      <c r="B15" s="32" t="s">
        <v>218</v>
      </c>
      <c r="C15" s="432"/>
      <c r="D15" s="432"/>
      <c r="E15" s="295" t="s">
        <v>219</v>
      </c>
      <c r="F15" s="296"/>
      <c r="G15" s="21"/>
      <c r="H15" s="41" t="s">
        <v>220</v>
      </c>
      <c r="I15" s="36">
        <v>10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</row>
    <row r="16" spans="1:21" ht="12.6" thickBot="1" x14ac:dyDescent="0.3">
      <c r="A16" s="21"/>
      <c r="B16" s="31"/>
      <c r="C16" s="29"/>
      <c r="D16" s="29"/>
      <c r="E16" s="29"/>
      <c r="F16" s="42"/>
      <c r="G16" s="21"/>
      <c r="H16" s="26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</row>
    <row r="17" spans="1:21" ht="36.6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</row>
    <row r="18" spans="1:21" x14ac:dyDescent="0.25">
      <c r="A18" s="51">
        <v>0</v>
      </c>
      <c r="B18" s="52">
        <f>D14/100</f>
        <v>0</v>
      </c>
      <c r="C18" s="52">
        <v>0</v>
      </c>
      <c r="D18" s="53">
        <f>ROUND(B18*D11,0)</f>
        <v>0</v>
      </c>
      <c r="E18" s="54">
        <f>D18</f>
        <v>0</v>
      </c>
      <c r="F18" s="55">
        <f t="shared" ref="F18:F42" si="0">E18/$E$36</f>
        <v>0</v>
      </c>
      <c r="G18" s="56" t="s">
        <v>228</v>
      </c>
      <c r="H18" s="57">
        <f t="shared" ref="H18:H33" si="1">ROUND(D18*0.1,0)</f>
        <v>0</v>
      </c>
      <c r="I18" s="58">
        <v>0</v>
      </c>
      <c r="J18" s="58">
        <f t="shared" ref="J18:J33" si="2">ROUNDUP(D18*$D$12/100,-(LEN(D18)-$I$15))</f>
        <v>0</v>
      </c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</row>
    <row r="19" spans="1:21" x14ac:dyDescent="0.25">
      <c r="A19" s="59">
        <v>1</v>
      </c>
      <c r="B19" s="60">
        <v>2.5000000000000001E-2</v>
      </c>
      <c r="C19" s="60">
        <f t="shared" ref="C19:C33" si="3">B19+C18</f>
        <v>2.5000000000000001E-2</v>
      </c>
      <c r="D19" s="61">
        <f>ROUND(B19*$D$11*(100-$D$14)/100,0)</f>
        <v>237500</v>
      </c>
      <c r="E19" s="62">
        <f>E18+D19</f>
        <v>237500</v>
      </c>
      <c r="F19" s="63">
        <f t="shared" si="0"/>
        <v>2.7777777777777776E-2</v>
      </c>
      <c r="G19" s="64" t="s">
        <v>35</v>
      </c>
      <c r="H19" s="65">
        <f>ROUND(D19*0.1,0)</f>
        <v>23750</v>
      </c>
      <c r="I19" s="66">
        <f>ROUNDUP((D19+H19-J19),-(LEN(D19)-$I$15))</f>
        <v>23750</v>
      </c>
      <c r="J19" s="66">
        <f>ROUNDUP(D19*$D$12/100,-(LEN(D19)-$I$15))</f>
        <v>237500</v>
      </c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</row>
    <row r="20" spans="1:21" x14ac:dyDescent="0.25">
      <c r="A20" s="59">
        <v>2</v>
      </c>
      <c r="B20" s="60">
        <v>0.03</v>
      </c>
      <c r="C20" s="60">
        <f t="shared" si="3"/>
        <v>5.5E-2</v>
      </c>
      <c r="D20" s="61">
        <f t="shared" ref="D20:D31" si="4">ROUND(B20*$D$11*(100-$D$14)/100,0)</f>
        <v>285000</v>
      </c>
      <c r="E20" s="62">
        <f t="shared" ref="E20:E33" si="5">E19+D20</f>
        <v>522500</v>
      </c>
      <c r="F20" s="63">
        <f t="shared" si="0"/>
        <v>6.1111111111111109E-2</v>
      </c>
      <c r="G20" s="64" t="s">
        <v>36</v>
      </c>
      <c r="H20" s="65">
        <f t="shared" si="1"/>
        <v>28500</v>
      </c>
      <c r="I20" s="66">
        <f t="shared" ref="I20:I42" si="6">ROUNDUP((D20+H20-J20),-(LEN(D20)-$I$15))</f>
        <v>28500</v>
      </c>
      <c r="J20" s="66">
        <f t="shared" si="2"/>
        <v>285000</v>
      </c>
      <c r="K20" s="67">
        <f>+SUM(J18:J20)</f>
        <v>522500</v>
      </c>
      <c r="L20" s="21"/>
      <c r="M20" s="21"/>
      <c r="N20" s="21"/>
      <c r="O20" s="21"/>
      <c r="P20" s="21"/>
      <c r="Q20" s="21"/>
      <c r="R20" s="21"/>
      <c r="S20" s="21"/>
      <c r="T20" s="21"/>
      <c r="U20" s="21"/>
    </row>
    <row r="21" spans="1:21" x14ac:dyDescent="0.25">
      <c r="A21" s="59">
        <v>3</v>
      </c>
      <c r="B21" s="60">
        <v>3.5000000000000003E-2</v>
      </c>
      <c r="C21" s="60">
        <f t="shared" si="3"/>
        <v>0.09</v>
      </c>
      <c r="D21" s="61">
        <f t="shared" si="4"/>
        <v>332500</v>
      </c>
      <c r="E21" s="62">
        <f t="shared" si="5"/>
        <v>855000</v>
      </c>
      <c r="F21" s="63">
        <f t="shared" si="0"/>
        <v>0.1</v>
      </c>
      <c r="G21" s="64" t="s">
        <v>37</v>
      </c>
      <c r="H21" s="65">
        <f t="shared" si="1"/>
        <v>33250</v>
      </c>
      <c r="I21" s="66">
        <f t="shared" si="6"/>
        <v>33250</v>
      </c>
      <c r="J21" s="66">
        <f t="shared" si="2"/>
        <v>332500</v>
      </c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</row>
    <row r="22" spans="1:21" x14ac:dyDescent="0.25">
      <c r="A22" s="59">
        <v>4</v>
      </c>
      <c r="B22" s="60">
        <v>3.5000000000000003E-2</v>
      </c>
      <c r="C22" s="60">
        <f t="shared" si="3"/>
        <v>0.125</v>
      </c>
      <c r="D22" s="61">
        <f t="shared" si="4"/>
        <v>332500</v>
      </c>
      <c r="E22" s="62">
        <f t="shared" si="5"/>
        <v>1187500</v>
      </c>
      <c r="F22" s="63">
        <f t="shared" si="0"/>
        <v>0.1388888888888889</v>
      </c>
      <c r="G22" s="64" t="s">
        <v>38</v>
      </c>
      <c r="H22" s="65">
        <f t="shared" si="1"/>
        <v>33250</v>
      </c>
      <c r="I22" s="66">
        <f t="shared" si="6"/>
        <v>33250</v>
      </c>
      <c r="J22" s="66">
        <f t="shared" si="2"/>
        <v>332500</v>
      </c>
      <c r="K22" s="68"/>
      <c r="L22" s="21"/>
      <c r="M22" s="21"/>
      <c r="N22" s="21"/>
      <c r="O22" s="21"/>
      <c r="P22" s="21"/>
      <c r="Q22" s="21"/>
      <c r="R22" s="21"/>
      <c r="S22" s="21"/>
      <c r="T22" s="21"/>
      <c r="U22" s="21"/>
    </row>
    <row r="23" spans="1:21" x14ac:dyDescent="0.25">
      <c r="A23" s="59">
        <v>5</v>
      </c>
      <c r="B23" s="60">
        <v>0.04</v>
      </c>
      <c r="C23" s="60">
        <f t="shared" si="3"/>
        <v>0.16500000000000001</v>
      </c>
      <c r="D23" s="61">
        <f t="shared" si="4"/>
        <v>380000</v>
      </c>
      <c r="E23" s="62">
        <f t="shared" si="5"/>
        <v>1567500</v>
      </c>
      <c r="F23" s="63">
        <f t="shared" si="0"/>
        <v>0.18333333333333332</v>
      </c>
      <c r="G23" s="64" t="s">
        <v>39</v>
      </c>
      <c r="H23" s="65">
        <f t="shared" si="1"/>
        <v>38000</v>
      </c>
      <c r="I23" s="66">
        <f t="shared" si="6"/>
        <v>38000</v>
      </c>
      <c r="J23" s="66">
        <f t="shared" si="2"/>
        <v>380000</v>
      </c>
      <c r="K23" s="68"/>
      <c r="L23" s="21"/>
      <c r="M23" s="21"/>
      <c r="N23" s="21"/>
      <c r="O23" s="21"/>
      <c r="P23" s="21"/>
      <c r="Q23" s="21"/>
      <c r="R23" s="21"/>
      <c r="S23" s="21"/>
      <c r="T23" s="21"/>
      <c r="U23" s="21"/>
    </row>
    <row r="24" spans="1:21" x14ac:dyDescent="0.25">
      <c r="A24" s="59">
        <v>6</v>
      </c>
      <c r="B24" s="60">
        <v>4.4999999999999998E-2</v>
      </c>
      <c r="C24" s="60">
        <f t="shared" si="3"/>
        <v>0.21000000000000002</v>
      </c>
      <c r="D24" s="61">
        <f t="shared" si="4"/>
        <v>427500</v>
      </c>
      <c r="E24" s="62">
        <f>E23+D24</f>
        <v>1995000</v>
      </c>
      <c r="F24" s="63">
        <f t="shared" si="0"/>
        <v>0.23333333333333334</v>
      </c>
      <c r="G24" s="64" t="s">
        <v>40</v>
      </c>
      <c r="H24" s="65">
        <f>ROUND(D24*0.1,0)</f>
        <v>42750</v>
      </c>
      <c r="I24" s="66">
        <f>ROUNDUP((D24+H24-J24),-(LEN(D24)-$I$15))</f>
        <v>42750</v>
      </c>
      <c r="J24" s="66">
        <f>ROUNDUP(D24*$D$12/100,-(LEN(D24)-$I$15))</f>
        <v>427500</v>
      </c>
      <c r="K24" s="68"/>
      <c r="L24" s="21"/>
      <c r="M24" s="21"/>
      <c r="N24" s="21"/>
      <c r="O24" s="21"/>
      <c r="P24" s="21"/>
      <c r="Q24" s="21"/>
      <c r="R24" s="21"/>
      <c r="S24" s="21"/>
      <c r="T24" s="21"/>
      <c r="U24" s="21"/>
    </row>
    <row r="25" spans="1:21" x14ac:dyDescent="0.25">
      <c r="A25" s="59">
        <v>7</v>
      </c>
      <c r="B25" s="60">
        <v>4.4999999999999998E-2</v>
      </c>
      <c r="C25" s="60">
        <f t="shared" si="3"/>
        <v>0.255</v>
      </c>
      <c r="D25" s="61">
        <f t="shared" si="4"/>
        <v>427500</v>
      </c>
      <c r="E25" s="62">
        <f t="shared" si="5"/>
        <v>2422500</v>
      </c>
      <c r="F25" s="63">
        <f t="shared" si="0"/>
        <v>0.28333333333333333</v>
      </c>
      <c r="G25" s="64" t="s">
        <v>41</v>
      </c>
      <c r="H25" s="65">
        <f t="shared" si="1"/>
        <v>42750</v>
      </c>
      <c r="I25" s="66">
        <f t="shared" si="6"/>
        <v>42750</v>
      </c>
      <c r="J25" s="66">
        <f t="shared" si="2"/>
        <v>427500</v>
      </c>
      <c r="K25" s="69"/>
      <c r="L25" s="21"/>
      <c r="M25" s="21"/>
      <c r="N25" s="21"/>
      <c r="O25" s="21"/>
      <c r="P25" s="21"/>
      <c r="Q25" s="21"/>
      <c r="R25" s="21"/>
      <c r="S25" s="21"/>
      <c r="T25" s="21"/>
      <c r="U25" s="21"/>
    </row>
    <row r="26" spans="1:21" x14ac:dyDescent="0.25">
      <c r="A26" s="59">
        <v>8</v>
      </c>
      <c r="B26" s="60">
        <v>0.05</v>
      </c>
      <c r="C26" s="60">
        <f t="shared" si="3"/>
        <v>0.30499999999999999</v>
      </c>
      <c r="D26" s="61">
        <f t="shared" si="4"/>
        <v>475000</v>
      </c>
      <c r="E26" s="62">
        <f t="shared" si="5"/>
        <v>2897500</v>
      </c>
      <c r="F26" s="63">
        <f t="shared" si="0"/>
        <v>0.33888888888888891</v>
      </c>
      <c r="G26" s="64" t="s">
        <v>42</v>
      </c>
      <c r="H26" s="65">
        <f t="shared" si="1"/>
        <v>47500</v>
      </c>
      <c r="I26" s="66">
        <f t="shared" si="6"/>
        <v>47500</v>
      </c>
      <c r="J26" s="66">
        <f t="shared" si="2"/>
        <v>475000</v>
      </c>
      <c r="K26" s="68"/>
      <c r="L26" s="21"/>
      <c r="M26" s="21"/>
      <c r="N26" s="21"/>
      <c r="O26" s="21"/>
      <c r="P26" s="21"/>
      <c r="Q26" s="21"/>
      <c r="R26" s="21"/>
      <c r="S26" s="21"/>
      <c r="T26" s="21"/>
      <c r="U26" s="21"/>
    </row>
    <row r="27" spans="1:21" x14ac:dyDescent="0.25">
      <c r="A27" s="59">
        <v>9</v>
      </c>
      <c r="B27" s="60">
        <v>5.5E-2</v>
      </c>
      <c r="C27" s="60">
        <f t="shared" si="3"/>
        <v>0.36</v>
      </c>
      <c r="D27" s="61">
        <f t="shared" si="4"/>
        <v>522500</v>
      </c>
      <c r="E27" s="62">
        <f t="shared" si="5"/>
        <v>3420000</v>
      </c>
      <c r="F27" s="63">
        <f t="shared" si="0"/>
        <v>0.4</v>
      </c>
      <c r="G27" s="64" t="s">
        <v>43</v>
      </c>
      <c r="H27" s="65">
        <f t="shared" si="1"/>
        <v>52250</v>
      </c>
      <c r="I27" s="66">
        <f t="shared" si="6"/>
        <v>52250</v>
      </c>
      <c r="J27" s="66">
        <f t="shared" si="2"/>
        <v>522500</v>
      </c>
      <c r="K27" s="68"/>
      <c r="L27" s="21"/>
      <c r="M27" s="21"/>
      <c r="N27" s="21"/>
      <c r="O27" s="21"/>
      <c r="P27" s="21"/>
      <c r="Q27" s="21"/>
      <c r="R27" s="21"/>
      <c r="S27" s="21"/>
      <c r="T27" s="21"/>
      <c r="U27" s="21"/>
    </row>
    <row r="28" spans="1:21" x14ac:dyDescent="0.25">
      <c r="A28" s="59">
        <v>10</v>
      </c>
      <c r="B28" s="60">
        <v>5.5E-2</v>
      </c>
      <c r="C28" s="60">
        <f t="shared" si="3"/>
        <v>0.41499999999999998</v>
      </c>
      <c r="D28" s="61">
        <f t="shared" si="4"/>
        <v>522500</v>
      </c>
      <c r="E28" s="62">
        <f t="shared" si="5"/>
        <v>3942500</v>
      </c>
      <c r="F28" s="63">
        <f t="shared" si="0"/>
        <v>0.46111111111111114</v>
      </c>
      <c r="G28" s="64" t="s">
        <v>44</v>
      </c>
      <c r="H28" s="65">
        <f t="shared" si="1"/>
        <v>52250</v>
      </c>
      <c r="I28" s="66">
        <f t="shared" si="6"/>
        <v>52250</v>
      </c>
      <c r="J28" s="66">
        <f t="shared" si="2"/>
        <v>522500</v>
      </c>
      <c r="K28" s="68"/>
      <c r="L28" s="21"/>
      <c r="M28" s="21"/>
      <c r="N28" s="21"/>
      <c r="O28" s="21"/>
      <c r="P28" s="21"/>
      <c r="Q28" s="21"/>
      <c r="R28" s="21"/>
      <c r="S28" s="21"/>
      <c r="T28" s="21"/>
      <c r="U28" s="21"/>
    </row>
    <row r="29" spans="1:21" x14ac:dyDescent="0.25">
      <c r="A29" s="59">
        <v>11</v>
      </c>
      <c r="B29" s="60">
        <v>5.5E-2</v>
      </c>
      <c r="C29" s="60">
        <f t="shared" si="3"/>
        <v>0.47</v>
      </c>
      <c r="D29" s="61">
        <f t="shared" si="4"/>
        <v>522500</v>
      </c>
      <c r="E29" s="62">
        <f t="shared" si="5"/>
        <v>4465000</v>
      </c>
      <c r="F29" s="63">
        <f t="shared" si="0"/>
        <v>0.52222222222222225</v>
      </c>
      <c r="G29" s="64" t="s">
        <v>45</v>
      </c>
      <c r="H29" s="65">
        <f t="shared" si="1"/>
        <v>52250</v>
      </c>
      <c r="I29" s="66">
        <f t="shared" si="6"/>
        <v>52250</v>
      </c>
      <c r="J29" s="66">
        <f t="shared" si="2"/>
        <v>522500</v>
      </c>
      <c r="K29" s="68"/>
      <c r="L29" s="21"/>
      <c r="M29" s="21"/>
      <c r="N29" s="21"/>
      <c r="O29" s="21"/>
      <c r="P29" s="21"/>
      <c r="Q29" s="21"/>
      <c r="R29" s="21"/>
      <c r="S29" s="21"/>
      <c r="T29" s="21"/>
      <c r="U29" s="21"/>
    </row>
    <row r="30" spans="1:21" x14ac:dyDescent="0.25">
      <c r="A30" s="59">
        <v>12</v>
      </c>
      <c r="B30" s="60">
        <v>0.06</v>
      </c>
      <c r="C30" s="60">
        <f t="shared" si="3"/>
        <v>0.53</v>
      </c>
      <c r="D30" s="61">
        <f t="shared" si="4"/>
        <v>570000</v>
      </c>
      <c r="E30" s="62">
        <f t="shared" si="5"/>
        <v>5035000</v>
      </c>
      <c r="F30" s="63">
        <f t="shared" si="0"/>
        <v>0.58888888888888891</v>
      </c>
      <c r="G30" s="64" t="s">
        <v>46</v>
      </c>
      <c r="H30" s="65">
        <f t="shared" si="1"/>
        <v>57000</v>
      </c>
      <c r="I30" s="66">
        <f t="shared" si="6"/>
        <v>57000</v>
      </c>
      <c r="J30" s="66">
        <f t="shared" si="2"/>
        <v>570000</v>
      </c>
      <c r="K30" s="68"/>
      <c r="L30" s="21"/>
      <c r="M30" s="21"/>
      <c r="N30" s="21"/>
      <c r="O30" s="21"/>
      <c r="P30" s="21"/>
      <c r="Q30" s="21"/>
      <c r="R30" s="21"/>
      <c r="S30" s="21"/>
      <c r="T30" s="21"/>
      <c r="U30" s="21"/>
    </row>
    <row r="31" spans="1:21" x14ac:dyDescent="0.25">
      <c r="A31" s="59">
        <v>13</v>
      </c>
      <c r="B31" s="60">
        <v>7.0000000000000007E-2</v>
      </c>
      <c r="C31" s="60">
        <f t="shared" si="3"/>
        <v>0.60000000000000009</v>
      </c>
      <c r="D31" s="61">
        <f t="shared" si="4"/>
        <v>665000</v>
      </c>
      <c r="E31" s="62">
        <f t="shared" si="5"/>
        <v>5700000</v>
      </c>
      <c r="F31" s="63">
        <f t="shared" si="0"/>
        <v>0.66666666666666663</v>
      </c>
      <c r="G31" s="64" t="s">
        <v>47</v>
      </c>
      <c r="H31" s="65">
        <f t="shared" si="1"/>
        <v>66500</v>
      </c>
      <c r="I31" s="66">
        <f t="shared" si="6"/>
        <v>66500</v>
      </c>
      <c r="J31" s="66">
        <f t="shared" si="2"/>
        <v>665000</v>
      </c>
      <c r="K31" s="68"/>
      <c r="L31" s="21"/>
      <c r="M31" s="21"/>
      <c r="N31" s="21"/>
      <c r="O31" s="21"/>
      <c r="P31" s="21"/>
      <c r="Q31" s="21"/>
      <c r="R31" s="21"/>
      <c r="S31" s="21"/>
      <c r="T31" s="21"/>
      <c r="U31" s="21"/>
    </row>
    <row r="32" spans="1:21" x14ac:dyDescent="0.25">
      <c r="A32" s="59">
        <v>14</v>
      </c>
      <c r="B32" s="60">
        <v>7.0000000000000007E-2</v>
      </c>
      <c r="C32" s="60">
        <f t="shared" si="3"/>
        <v>0.67000000000000015</v>
      </c>
      <c r="D32" s="61">
        <f>ROUND(B32*$D$11*(100-$D$14)/100,0)</f>
        <v>665000</v>
      </c>
      <c r="E32" s="62">
        <f t="shared" si="5"/>
        <v>6365000</v>
      </c>
      <c r="F32" s="63">
        <f t="shared" si="0"/>
        <v>0.74444444444444446</v>
      </c>
      <c r="G32" s="64" t="s">
        <v>48</v>
      </c>
      <c r="H32" s="65">
        <f t="shared" si="1"/>
        <v>66500</v>
      </c>
      <c r="I32" s="66">
        <f t="shared" si="6"/>
        <v>66500</v>
      </c>
      <c r="J32" s="66">
        <f t="shared" si="2"/>
        <v>665000</v>
      </c>
      <c r="K32" s="70">
        <f>+SUM(J21:J32)</f>
        <v>5842500</v>
      </c>
      <c r="L32" s="21"/>
      <c r="M32" s="21"/>
      <c r="N32" s="21"/>
      <c r="O32" s="21"/>
      <c r="P32" s="21"/>
      <c r="Q32" s="21"/>
      <c r="R32" s="21"/>
      <c r="S32" s="21"/>
      <c r="T32" s="21"/>
      <c r="U32" s="21"/>
    </row>
    <row r="33" spans="1:21" x14ac:dyDescent="0.25">
      <c r="A33" s="59">
        <v>15</v>
      </c>
      <c r="B33" s="60">
        <v>6.5000000000000002E-2</v>
      </c>
      <c r="C33" s="60">
        <f t="shared" si="3"/>
        <v>0.7350000000000001</v>
      </c>
      <c r="D33" s="61">
        <f>ROUND(B33*$D$11*(100-$D$14)/100,0)</f>
        <v>617500</v>
      </c>
      <c r="E33" s="62">
        <f t="shared" si="5"/>
        <v>6982500</v>
      </c>
      <c r="F33" s="63">
        <f t="shared" si="0"/>
        <v>0.81666666666666665</v>
      </c>
      <c r="G33" s="64" t="s">
        <v>49</v>
      </c>
      <c r="H33" s="65">
        <f t="shared" si="1"/>
        <v>61750</v>
      </c>
      <c r="I33" s="66">
        <f t="shared" si="6"/>
        <v>61750</v>
      </c>
      <c r="J33" s="66">
        <f t="shared" si="2"/>
        <v>617500</v>
      </c>
      <c r="K33" s="68"/>
      <c r="L33" s="21"/>
      <c r="M33" s="21"/>
      <c r="N33" s="21"/>
      <c r="O33" s="21"/>
      <c r="P33" s="21"/>
      <c r="Q33" s="21"/>
      <c r="R33" s="21"/>
      <c r="S33" s="21"/>
      <c r="T33" s="21"/>
      <c r="U33" s="21"/>
    </row>
    <row r="34" spans="1:21" x14ac:dyDescent="0.25">
      <c r="A34" s="59">
        <v>16</v>
      </c>
      <c r="B34" s="60">
        <v>6.5000000000000002E-2</v>
      </c>
      <c r="C34" s="60">
        <f>B34+C33</f>
        <v>0.8</v>
      </c>
      <c r="D34" s="61">
        <f>ROUND(B34*$D$11*(100-$D$14)/100,0)</f>
        <v>617500</v>
      </c>
      <c r="E34" s="62">
        <f>E33+D34</f>
        <v>7600000</v>
      </c>
      <c r="F34" s="63">
        <f t="shared" si="0"/>
        <v>0.88888888888888884</v>
      </c>
      <c r="G34" s="64" t="s">
        <v>50</v>
      </c>
      <c r="H34" s="65">
        <f>ROUND(D34*0.1,0)</f>
        <v>61750</v>
      </c>
      <c r="I34" s="66">
        <f t="shared" si="6"/>
        <v>61750</v>
      </c>
      <c r="J34" s="66">
        <f>ROUNDUP(D34*$D$12/100,-(LEN(D34)-$I$15))</f>
        <v>617500</v>
      </c>
      <c r="K34" s="68"/>
      <c r="L34" s="21"/>
      <c r="M34" s="21"/>
      <c r="N34" s="21"/>
      <c r="O34" s="21"/>
      <c r="P34" s="21"/>
      <c r="Q34" s="21"/>
      <c r="R34" s="21"/>
      <c r="S34" s="21"/>
      <c r="T34" s="21"/>
      <c r="U34" s="21"/>
    </row>
    <row r="35" spans="1:21" x14ac:dyDescent="0.25">
      <c r="A35" s="59">
        <v>17</v>
      </c>
      <c r="B35" s="60">
        <v>0.05</v>
      </c>
      <c r="C35" s="60">
        <f>B35+C34</f>
        <v>0.85000000000000009</v>
      </c>
      <c r="D35" s="61">
        <f>ROUND(B35*$D$11*(100-$D$14)/100,0)</f>
        <v>475000</v>
      </c>
      <c r="E35" s="62">
        <f>E34+D35</f>
        <v>8075000</v>
      </c>
      <c r="F35" s="63">
        <f t="shared" si="0"/>
        <v>0.94444444444444442</v>
      </c>
      <c r="G35" s="64" t="s">
        <v>51</v>
      </c>
      <c r="H35" s="65">
        <f>ROUND(D35*0.1,0)</f>
        <v>47500</v>
      </c>
      <c r="I35" s="66">
        <f t="shared" si="6"/>
        <v>47500</v>
      </c>
      <c r="J35" s="66">
        <f>ROUNDUP(D35*$D$12/100,-(LEN(D35)-$I$15))</f>
        <v>475000</v>
      </c>
      <c r="K35" s="68"/>
      <c r="L35" s="21"/>
      <c r="M35" s="21"/>
      <c r="N35" s="21"/>
      <c r="O35" s="21"/>
      <c r="P35" s="21"/>
      <c r="Q35" s="21"/>
      <c r="R35" s="21"/>
      <c r="S35" s="21"/>
      <c r="T35" s="21"/>
      <c r="U35" s="21"/>
    </row>
    <row r="36" spans="1:21" ht="12.6" thickBot="1" x14ac:dyDescent="0.3">
      <c r="A36" s="71">
        <v>18</v>
      </c>
      <c r="B36" s="60">
        <v>0.05</v>
      </c>
      <c r="C36" s="72">
        <f>B36+C35</f>
        <v>0.90000000000000013</v>
      </c>
      <c r="D36" s="73">
        <f>ROUND(B36*$D$11*(100-$D$14)/100,0)</f>
        <v>475000</v>
      </c>
      <c r="E36" s="74">
        <f>E35+D36</f>
        <v>8550000</v>
      </c>
      <c r="F36" s="75">
        <f t="shared" si="0"/>
        <v>1</v>
      </c>
      <c r="G36" s="76" t="s">
        <v>52</v>
      </c>
      <c r="H36" s="77">
        <f>ROUND(D36*0.1,0)</f>
        <v>47500</v>
      </c>
      <c r="I36" s="78">
        <f t="shared" si="6"/>
        <v>47500</v>
      </c>
      <c r="J36" s="78">
        <f>ROUNDUP(D36*$D$12/100,-(LEN(D36)-$I$15))</f>
        <v>475000</v>
      </c>
      <c r="K36" s="70">
        <f>+SUM(J33:J36)</f>
        <v>2185000</v>
      </c>
      <c r="L36" s="21"/>
      <c r="M36" s="21"/>
      <c r="N36" s="21"/>
      <c r="O36" s="21"/>
      <c r="P36" s="21"/>
      <c r="Q36" s="21"/>
      <c r="R36" s="21"/>
      <c r="S36" s="21"/>
      <c r="T36" s="21"/>
      <c r="U36" s="21"/>
    </row>
    <row r="37" spans="1:21" ht="12.6" thickBot="1" x14ac:dyDescent="0.3">
      <c r="A37" s="59">
        <v>19</v>
      </c>
      <c r="B37" s="60">
        <v>0.04</v>
      </c>
      <c r="C37" s="72">
        <f t="shared" ref="C37:C42" si="7">B37+C36</f>
        <v>0.94000000000000017</v>
      </c>
      <c r="D37" s="73">
        <f t="shared" ref="D37:D42" si="8">ROUND(B37*$D$11*(100-$D$14)/100,0)</f>
        <v>380000</v>
      </c>
      <c r="E37" s="74">
        <f t="shared" ref="E37:E42" si="9">E36+D37</f>
        <v>8930000</v>
      </c>
      <c r="F37" s="75">
        <f t="shared" si="0"/>
        <v>1.0444444444444445</v>
      </c>
      <c r="G37" s="76" t="s">
        <v>53</v>
      </c>
      <c r="H37" s="77">
        <f t="shared" ref="H37:H42" si="10">ROUND(D37*0.1,0)</f>
        <v>38000</v>
      </c>
      <c r="I37" s="78">
        <f t="shared" si="6"/>
        <v>38000</v>
      </c>
      <c r="J37" s="78">
        <f t="shared" ref="J37:J42" si="11">ROUNDUP(D37*$D$12/100,-(LEN(D37)-$I$15))</f>
        <v>380000</v>
      </c>
      <c r="K37" s="70"/>
      <c r="L37" s="21"/>
      <c r="M37" s="21"/>
      <c r="N37" s="21"/>
      <c r="O37" s="21"/>
      <c r="P37" s="21"/>
      <c r="Q37" s="21"/>
      <c r="R37" s="21"/>
      <c r="S37" s="21"/>
      <c r="T37" s="21"/>
      <c r="U37" s="21"/>
    </row>
    <row r="38" spans="1:21" ht="12.6" thickBot="1" x14ac:dyDescent="0.3">
      <c r="A38" s="71">
        <v>20</v>
      </c>
      <c r="B38" s="60">
        <v>0.02</v>
      </c>
      <c r="C38" s="72">
        <f t="shared" si="7"/>
        <v>0.96000000000000019</v>
      </c>
      <c r="D38" s="73">
        <f t="shared" si="8"/>
        <v>190000</v>
      </c>
      <c r="E38" s="74">
        <f t="shared" si="9"/>
        <v>9120000</v>
      </c>
      <c r="F38" s="75">
        <f t="shared" si="0"/>
        <v>1.0666666666666667</v>
      </c>
      <c r="G38" s="76" t="s">
        <v>54</v>
      </c>
      <c r="H38" s="77">
        <f t="shared" si="10"/>
        <v>19000</v>
      </c>
      <c r="I38" s="78">
        <f t="shared" si="6"/>
        <v>19000</v>
      </c>
      <c r="J38" s="78">
        <f t="shared" si="11"/>
        <v>190000</v>
      </c>
      <c r="K38" s="70"/>
      <c r="L38" s="21"/>
      <c r="M38" s="21"/>
      <c r="N38" s="21"/>
      <c r="O38" s="21"/>
      <c r="P38" s="21"/>
      <c r="Q38" s="21"/>
      <c r="R38" s="21"/>
      <c r="S38" s="21"/>
      <c r="T38" s="21"/>
      <c r="U38" s="21"/>
    </row>
    <row r="39" spans="1:21" ht="12.6" thickBot="1" x14ac:dyDescent="0.3">
      <c r="A39" s="59">
        <v>21</v>
      </c>
      <c r="B39" s="90">
        <v>0.01</v>
      </c>
      <c r="C39" s="72">
        <f t="shared" si="7"/>
        <v>0.9700000000000002</v>
      </c>
      <c r="D39" s="73">
        <f t="shared" si="8"/>
        <v>95000</v>
      </c>
      <c r="E39" s="74">
        <f t="shared" si="9"/>
        <v>9215000</v>
      </c>
      <c r="F39" s="75">
        <f t="shared" si="0"/>
        <v>1.0777777777777777</v>
      </c>
      <c r="G39" s="76" t="s">
        <v>55</v>
      </c>
      <c r="H39" s="77">
        <f t="shared" si="10"/>
        <v>9500</v>
      </c>
      <c r="I39" s="78">
        <f t="shared" si="6"/>
        <v>9500</v>
      </c>
      <c r="J39" s="78">
        <f t="shared" si="11"/>
        <v>95000</v>
      </c>
      <c r="K39" s="70"/>
      <c r="L39" s="21"/>
      <c r="M39" s="21"/>
      <c r="N39" s="21"/>
      <c r="O39" s="21"/>
      <c r="P39" s="21"/>
      <c r="Q39" s="21"/>
      <c r="R39" s="21"/>
      <c r="S39" s="21"/>
      <c r="T39" s="21"/>
      <c r="U39" s="21"/>
    </row>
    <row r="40" spans="1:21" ht="12.6" thickBot="1" x14ac:dyDescent="0.3">
      <c r="A40" s="71">
        <v>22</v>
      </c>
      <c r="B40" s="60">
        <v>0.01</v>
      </c>
      <c r="C40" s="72">
        <f t="shared" si="7"/>
        <v>0.9800000000000002</v>
      </c>
      <c r="D40" s="73">
        <f t="shared" si="8"/>
        <v>95000</v>
      </c>
      <c r="E40" s="74">
        <f t="shared" si="9"/>
        <v>9310000</v>
      </c>
      <c r="F40" s="75">
        <f t="shared" si="0"/>
        <v>1.0888888888888888</v>
      </c>
      <c r="G40" s="76" t="s">
        <v>56</v>
      </c>
      <c r="H40" s="77">
        <f t="shared" si="10"/>
        <v>9500</v>
      </c>
      <c r="I40" s="78">
        <f t="shared" si="6"/>
        <v>9500</v>
      </c>
      <c r="J40" s="78">
        <f t="shared" si="11"/>
        <v>95000</v>
      </c>
      <c r="K40" s="70"/>
      <c r="L40" s="21"/>
      <c r="M40" s="21"/>
      <c r="N40" s="21"/>
      <c r="O40" s="21"/>
      <c r="P40" s="21"/>
      <c r="Q40" s="21"/>
      <c r="R40" s="21"/>
      <c r="S40" s="21"/>
      <c r="T40" s="21"/>
      <c r="U40" s="21"/>
    </row>
    <row r="41" spans="1:21" ht="12.6" thickBot="1" x14ac:dyDescent="0.3">
      <c r="A41" s="59">
        <v>23</v>
      </c>
      <c r="B41" s="60">
        <v>0.01</v>
      </c>
      <c r="C41" s="72">
        <f t="shared" si="7"/>
        <v>0.99000000000000021</v>
      </c>
      <c r="D41" s="73">
        <f t="shared" si="8"/>
        <v>95000</v>
      </c>
      <c r="E41" s="74">
        <f t="shared" si="9"/>
        <v>9405000</v>
      </c>
      <c r="F41" s="75">
        <f t="shared" si="0"/>
        <v>1.1000000000000001</v>
      </c>
      <c r="G41" s="76" t="s">
        <v>57</v>
      </c>
      <c r="H41" s="77">
        <f t="shared" si="10"/>
        <v>9500</v>
      </c>
      <c r="I41" s="78">
        <f t="shared" si="6"/>
        <v>9500</v>
      </c>
      <c r="J41" s="78">
        <f t="shared" si="11"/>
        <v>95000</v>
      </c>
      <c r="K41" s="70"/>
      <c r="L41" s="21"/>
      <c r="M41" s="21"/>
      <c r="N41" s="21"/>
      <c r="O41" s="21"/>
      <c r="P41" s="21"/>
      <c r="Q41" s="21"/>
      <c r="R41" s="21"/>
      <c r="S41" s="21"/>
      <c r="T41" s="21"/>
      <c r="U41" s="21"/>
    </row>
    <row r="42" spans="1:21" ht="12.6" thickBot="1" x14ac:dyDescent="0.3">
      <c r="A42" s="71">
        <v>24</v>
      </c>
      <c r="B42" s="72">
        <v>0.01</v>
      </c>
      <c r="C42" s="72">
        <f t="shared" si="7"/>
        <v>1.0000000000000002</v>
      </c>
      <c r="D42" s="73">
        <f t="shared" si="8"/>
        <v>95000</v>
      </c>
      <c r="E42" s="74">
        <f t="shared" si="9"/>
        <v>9500000</v>
      </c>
      <c r="F42" s="75">
        <f t="shared" si="0"/>
        <v>1.1111111111111112</v>
      </c>
      <c r="G42" s="76" t="s">
        <v>58</v>
      </c>
      <c r="H42" s="77">
        <f t="shared" si="10"/>
        <v>9500</v>
      </c>
      <c r="I42" s="78">
        <f t="shared" si="6"/>
        <v>9500</v>
      </c>
      <c r="J42" s="78">
        <f t="shared" si="11"/>
        <v>95000</v>
      </c>
      <c r="K42" s="70"/>
      <c r="L42" s="21"/>
      <c r="M42" s="21"/>
      <c r="N42" s="21"/>
      <c r="O42" s="21"/>
      <c r="P42" s="21"/>
      <c r="Q42" s="21"/>
      <c r="R42" s="21"/>
      <c r="S42" s="21"/>
      <c r="T42" s="21"/>
      <c r="U42" s="21"/>
    </row>
    <row r="43" spans="1:21" ht="12.6" thickBot="1" x14ac:dyDescent="0.3">
      <c r="A43" s="79" t="str">
        <f>A42*30 &amp; " dias"</f>
        <v>720 dias</v>
      </c>
      <c r="B43" s="80">
        <f>SUM(B19:B42)</f>
        <v>1.0000000000000002</v>
      </c>
      <c r="C43" s="81"/>
      <c r="D43" s="82">
        <f>SUM(D18:D42)</f>
        <v>9500000</v>
      </c>
      <c r="E43" s="21"/>
      <c r="F43" s="26"/>
      <c r="G43" s="26"/>
      <c r="H43" s="21"/>
      <c r="I43" s="83">
        <f>SUM(I18:I42)</f>
        <v>950000</v>
      </c>
      <c r="J43" s="83">
        <f>SUM(J18:J42)</f>
        <v>9500000</v>
      </c>
      <c r="K43" s="68"/>
      <c r="L43" s="21"/>
      <c r="M43" s="21"/>
      <c r="N43" s="21"/>
      <c r="O43" s="21"/>
      <c r="P43" s="21"/>
      <c r="Q43" s="21"/>
      <c r="R43" s="21"/>
      <c r="S43" s="21"/>
      <c r="T43" s="21"/>
      <c r="U43" s="21"/>
    </row>
    <row r="44" spans="1:21" x14ac:dyDescent="0.25">
      <c r="A44" s="26"/>
      <c r="B44" s="31"/>
      <c r="C44" s="29"/>
      <c r="D44" s="29"/>
      <c r="E44" s="29"/>
      <c r="F44" s="21"/>
      <c r="G44" s="21"/>
      <c r="H44" s="32" t="s">
        <v>229</v>
      </c>
      <c r="I44" s="426">
        <f>I43+J43</f>
        <v>10450000</v>
      </c>
      <c r="J44" s="427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</row>
    <row r="45" spans="1:21" x14ac:dyDescent="0.25">
      <c r="A45" s="25" t="s">
        <v>237</v>
      </c>
      <c r="B45" s="25"/>
      <c r="C45" s="25"/>
      <c r="D45" s="29"/>
      <c r="E45" s="29"/>
      <c r="F45" s="21"/>
      <c r="G45" s="21"/>
      <c r="H45" s="32" t="s">
        <v>231</v>
      </c>
      <c r="I45" s="41">
        <f>I44/1.1-D11</f>
        <v>0</v>
      </c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</row>
    <row r="46" spans="1:21" x14ac:dyDescent="0.25">
      <c r="A46" s="21"/>
      <c r="B46" s="84"/>
      <c r="C46" s="29"/>
      <c r="D46" s="29"/>
      <c r="E46" s="29"/>
      <c r="F46" s="21"/>
      <c r="G46" s="21"/>
      <c r="H46" s="26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</row>
    <row r="47" spans="1:21" x14ac:dyDescent="0.25">
      <c r="A47" s="21"/>
      <c r="B47" s="84"/>
      <c r="C47" s="29"/>
      <c r="D47" s="29"/>
      <c r="E47" s="29"/>
      <c r="F47" s="21"/>
      <c r="G47" s="21"/>
      <c r="H47" s="26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</row>
    <row r="48" spans="1:21" x14ac:dyDescent="0.25">
      <c r="A48" s="21"/>
      <c r="B48" s="31"/>
      <c r="C48" s="29"/>
      <c r="D48" s="29"/>
      <c r="E48" s="29"/>
      <c r="F48" s="21"/>
      <c r="G48" s="21"/>
      <c r="H48" s="26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</row>
    <row r="49" spans="1:27" x14ac:dyDescent="0.25">
      <c r="A49" s="21"/>
      <c r="B49" s="31"/>
      <c r="C49" s="29"/>
      <c r="D49" s="29"/>
      <c r="E49" s="29"/>
      <c r="F49" s="21"/>
      <c r="G49" s="21"/>
      <c r="H49" s="26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</row>
    <row r="50" spans="1:27" x14ac:dyDescent="0.25">
      <c r="A50" s="21"/>
      <c r="B50" s="31"/>
      <c r="C50" s="29"/>
      <c r="D50" s="29"/>
      <c r="E50" s="29"/>
      <c r="F50" s="21"/>
      <c r="G50" s="21"/>
      <c r="H50" s="26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</row>
    <row r="51" spans="1:27" x14ac:dyDescent="0.25">
      <c r="A51" s="21"/>
      <c r="B51" s="31"/>
      <c r="C51" s="29"/>
      <c r="D51" s="29"/>
      <c r="E51" s="29"/>
      <c r="F51" s="21"/>
      <c r="G51" s="21"/>
      <c r="H51" s="26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</row>
    <row r="52" spans="1:27" x14ac:dyDescent="0.25">
      <c r="A52" s="21"/>
      <c r="B52" s="31"/>
      <c r="C52" s="29"/>
      <c r="D52" s="29"/>
      <c r="E52" s="29"/>
      <c r="F52" s="21"/>
      <c r="G52" s="21"/>
      <c r="H52" s="26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</row>
    <row r="53" spans="1:27" s="93" customFormat="1" ht="12.75" customHeight="1" x14ac:dyDescent="0.25">
      <c r="A53" s="92"/>
      <c r="B53" s="92" t="s">
        <v>232</v>
      </c>
      <c r="C53" s="92" t="s">
        <v>35</v>
      </c>
      <c r="D53" s="92" t="s">
        <v>36</v>
      </c>
      <c r="E53" s="92" t="s">
        <v>37</v>
      </c>
      <c r="F53" s="92" t="s">
        <v>38</v>
      </c>
      <c r="G53" s="92" t="s">
        <v>39</v>
      </c>
      <c r="H53" s="92" t="s">
        <v>40</v>
      </c>
      <c r="I53" s="92" t="s">
        <v>41</v>
      </c>
      <c r="J53" s="92" t="s">
        <v>42</v>
      </c>
      <c r="K53" s="92" t="s">
        <v>43</v>
      </c>
      <c r="L53" s="92" t="s">
        <v>44</v>
      </c>
      <c r="M53" s="92" t="s">
        <v>45</v>
      </c>
      <c r="N53" s="92" t="s">
        <v>46</v>
      </c>
      <c r="O53" s="92" t="s">
        <v>47</v>
      </c>
      <c r="P53" s="92" t="s">
        <v>48</v>
      </c>
      <c r="Q53" s="92" t="s">
        <v>49</v>
      </c>
      <c r="R53" s="92" t="s">
        <v>50</v>
      </c>
      <c r="S53" s="92" t="s">
        <v>51</v>
      </c>
      <c r="T53" s="92" t="s">
        <v>52</v>
      </c>
      <c r="U53" s="92" t="s">
        <v>53</v>
      </c>
      <c r="V53" s="92" t="s">
        <v>54</v>
      </c>
      <c r="W53" s="92" t="s">
        <v>55</v>
      </c>
      <c r="X53" s="92" t="s">
        <v>56</v>
      </c>
      <c r="Y53" s="92" t="s">
        <v>57</v>
      </c>
      <c r="Z53" s="92" t="s">
        <v>58</v>
      </c>
    </row>
    <row r="54" spans="1:27" s="96" customFormat="1" x14ac:dyDescent="0.25">
      <c r="A54" s="94" t="s">
        <v>233</v>
      </c>
      <c r="B54" s="95">
        <v>0</v>
      </c>
      <c r="C54" s="95">
        <v>0</v>
      </c>
      <c r="D54" s="95">
        <v>0</v>
      </c>
      <c r="E54" s="95">
        <v>0</v>
      </c>
      <c r="F54" s="95">
        <v>0</v>
      </c>
      <c r="G54" s="95">
        <v>0</v>
      </c>
      <c r="H54" s="95">
        <v>0</v>
      </c>
      <c r="I54" s="95">
        <v>0</v>
      </c>
      <c r="J54" s="95">
        <v>0</v>
      </c>
      <c r="K54" s="95">
        <v>0</v>
      </c>
      <c r="L54" s="95">
        <v>0</v>
      </c>
      <c r="M54" s="95">
        <v>0</v>
      </c>
      <c r="N54" s="95">
        <v>0</v>
      </c>
      <c r="O54" s="95">
        <v>0</v>
      </c>
      <c r="P54" s="95">
        <v>0</v>
      </c>
      <c r="Q54" s="95">
        <v>0</v>
      </c>
      <c r="R54" s="95">
        <v>0</v>
      </c>
      <c r="S54" s="95">
        <v>0</v>
      </c>
      <c r="T54" s="95">
        <v>0</v>
      </c>
      <c r="U54" s="95">
        <v>0</v>
      </c>
      <c r="V54" s="95">
        <v>0</v>
      </c>
      <c r="W54" s="95">
        <v>0</v>
      </c>
      <c r="X54" s="95">
        <v>0</v>
      </c>
      <c r="Y54" s="95">
        <v>0</v>
      </c>
      <c r="Z54" s="95">
        <v>0</v>
      </c>
      <c r="AA54" s="96">
        <f>SUM(B54:T54)</f>
        <v>0</v>
      </c>
    </row>
    <row r="55" spans="1:27" s="96" customFormat="1" x14ac:dyDescent="0.25">
      <c r="A55" s="94" t="s">
        <v>234</v>
      </c>
      <c r="B55" s="95">
        <f>$J18</f>
        <v>0</v>
      </c>
      <c r="C55" s="95">
        <f>$J19</f>
        <v>237500</v>
      </c>
      <c r="D55" s="95">
        <f>$J20</f>
        <v>285000</v>
      </c>
      <c r="E55" s="95">
        <f>$J21</f>
        <v>332500</v>
      </c>
      <c r="F55" s="95">
        <f>$J22</f>
        <v>332500</v>
      </c>
      <c r="G55" s="95">
        <f>$J23</f>
        <v>380000</v>
      </c>
      <c r="H55" s="95">
        <f>$J24</f>
        <v>427500</v>
      </c>
      <c r="I55" s="95">
        <f>$J25</f>
        <v>427500</v>
      </c>
      <c r="J55" s="95">
        <f>$J26</f>
        <v>475000</v>
      </c>
      <c r="K55" s="95">
        <f>$J27</f>
        <v>522500</v>
      </c>
      <c r="L55" s="95">
        <f>$J28</f>
        <v>522500</v>
      </c>
      <c r="M55" s="95">
        <f>$J29</f>
        <v>522500</v>
      </c>
      <c r="N55" s="95">
        <f>$J30</f>
        <v>570000</v>
      </c>
      <c r="O55" s="95">
        <f>$J31</f>
        <v>665000</v>
      </c>
      <c r="P55" s="95">
        <f>$J32</f>
        <v>665000</v>
      </c>
      <c r="Q55" s="95">
        <f>$J33</f>
        <v>617500</v>
      </c>
      <c r="R55" s="95">
        <f>$J34</f>
        <v>617500</v>
      </c>
      <c r="S55" s="95">
        <f>$J35</f>
        <v>475000</v>
      </c>
      <c r="T55" s="95">
        <f>$J36</f>
        <v>475000</v>
      </c>
      <c r="U55" s="95">
        <f>$J37</f>
        <v>380000</v>
      </c>
      <c r="V55" s="95">
        <f>$J38</f>
        <v>190000</v>
      </c>
      <c r="W55" s="95">
        <f>$J39</f>
        <v>95000</v>
      </c>
      <c r="X55" s="95">
        <f>$J40</f>
        <v>95000</v>
      </c>
      <c r="Y55" s="95">
        <f>$J41</f>
        <v>95000</v>
      </c>
      <c r="Z55" s="95">
        <f>$J42</f>
        <v>95000</v>
      </c>
      <c r="AA55" s="97">
        <f>SUM(B55:Z55)</f>
        <v>9500000</v>
      </c>
    </row>
    <row r="56" spans="1:27" x14ac:dyDescent="0.25">
      <c r="A56" s="98" t="s">
        <v>238</v>
      </c>
      <c r="B56" s="99">
        <f>SUM(B54:B55)</f>
        <v>0</v>
      </c>
      <c r="C56" s="99">
        <f>SUM(C54:C55)*0.45</f>
        <v>106875</v>
      </c>
      <c r="D56" s="99">
        <f t="shared" ref="D56:Z56" si="12">SUM(D54:D55)*0.45</f>
        <v>128250</v>
      </c>
      <c r="E56" s="99">
        <f t="shared" si="12"/>
        <v>149625</v>
      </c>
      <c r="F56" s="99">
        <f t="shared" si="12"/>
        <v>149625</v>
      </c>
      <c r="G56" s="99">
        <f t="shared" si="12"/>
        <v>171000</v>
      </c>
      <c r="H56" s="99">
        <f t="shared" si="12"/>
        <v>192375</v>
      </c>
      <c r="I56" s="99">
        <f t="shared" si="12"/>
        <v>192375</v>
      </c>
      <c r="J56" s="99">
        <f t="shared" si="12"/>
        <v>213750</v>
      </c>
      <c r="K56" s="99">
        <f t="shared" si="12"/>
        <v>235125</v>
      </c>
      <c r="L56" s="99">
        <f t="shared" si="12"/>
        <v>235125</v>
      </c>
      <c r="M56" s="99">
        <f t="shared" si="12"/>
        <v>235125</v>
      </c>
      <c r="N56" s="99">
        <f t="shared" si="12"/>
        <v>256500</v>
      </c>
      <c r="O56" s="99">
        <f t="shared" si="12"/>
        <v>299250</v>
      </c>
      <c r="P56" s="99">
        <f t="shared" si="12"/>
        <v>299250</v>
      </c>
      <c r="Q56" s="99">
        <f t="shared" si="12"/>
        <v>277875</v>
      </c>
      <c r="R56" s="99">
        <f t="shared" si="12"/>
        <v>277875</v>
      </c>
      <c r="S56" s="99">
        <f t="shared" si="12"/>
        <v>213750</v>
      </c>
      <c r="T56" s="99">
        <f t="shared" si="12"/>
        <v>213750</v>
      </c>
      <c r="U56" s="99">
        <f t="shared" si="12"/>
        <v>171000</v>
      </c>
      <c r="V56" s="99">
        <f t="shared" si="12"/>
        <v>85500</v>
      </c>
      <c r="W56" s="99">
        <f t="shared" si="12"/>
        <v>42750</v>
      </c>
      <c r="X56" s="99">
        <f t="shared" si="12"/>
        <v>42750</v>
      </c>
      <c r="Y56" s="99">
        <f t="shared" si="12"/>
        <v>42750</v>
      </c>
      <c r="Z56" s="99">
        <f t="shared" si="12"/>
        <v>42750</v>
      </c>
      <c r="AA56" s="99">
        <f>SUM(B56:Z56)</f>
        <v>4275000</v>
      </c>
    </row>
    <row r="57" spans="1:27" s="97" customFormat="1" x14ac:dyDescent="0.25">
      <c r="A57" s="100" t="s">
        <v>239</v>
      </c>
      <c r="B57" s="100">
        <v>0</v>
      </c>
      <c r="C57" s="100">
        <f>C63</f>
        <v>178125</v>
      </c>
      <c r="D57" s="100">
        <f t="shared" ref="D57:Z57" si="13">C57</f>
        <v>178125</v>
      </c>
      <c r="E57" s="100">
        <f t="shared" si="13"/>
        <v>178125</v>
      </c>
      <c r="F57" s="100">
        <f t="shared" si="13"/>
        <v>178125</v>
      </c>
      <c r="G57" s="100">
        <f t="shared" si="13"/>
        <v>178125</v>
      </c>
      <c r="H57" s="100">
        <f t="shared" si="13"/>
        <v>178125</v>
      </c>
      <c r="I57" s="100">
        <f t="shared" si="13"/>
        <v>178125</v>
      </c>
      <c r="J57" s="100">
        <f t="shared" si="13"/>
        <v>178125</v>
      </c>
      <c r="K57" s="100">
        <f t="shared" si="13"/>
        <v>178125</v>
      </c>
      <c r="L57" s="100">
        <f t="shared" si="13"/>
        <v>178125</v>
      </c>
      <c r="M57" s="100">
        <f t="shared" si="13"/>
        <v>178125</v>
      </c>
      <c r="N57" s="100">
        <f t="shared" si="13"/>
        <v>178125</v>
      </c>
      <c r="O57" s="100">
        <f t="shared" si="13"/>
        <v>178125</v>
      </c>
      <c r="P57" s="100">
        <f t="shared" si="13"/>
        <v>178125</v>
      </c>
      <c r="Q57" s="100">
        <f t="shared" si="13"/>
        <v>178125</v>
      </c>
      <c r="R57" s="100">
        <f t="shared" si="13"/>
        <v>178125</v>
      </c>
      <c r="S57" s="100">
        <f t="shared" si="13"/>
        <v>178125</v>
      </c>
      <c r="T57" s="100">
        <f t="shared" si="13"/>
        <v>178125</v>
      </c>
      <c r="U57" s="100">
        <f t="shared" si="13"/>
        <v>178125</v>
      </c>
      <c r="V57" s="100">
        <f t="shared" si="13"/>
        <v>178125</v>
      </c>
      <c r="W57" s="100">
        <f t="shared" si="13"/>
        <v>178125</v>
      </c>
      <c r="X57" s="100">
        <f t="shared" si="13"/>
        <v>178125</v>
      </c>
      <c r="Y57" s="100">
        <f t="shared" si="13"/>
        <v>178125</v>
      </c>
      <c r="Z57" s="100">
        <f t="shared" si="13"/>
        <v>178125</v>
      </c>
      <c r="AA57" s="99">
        <f>SUM(B57:Z57)</f>
        <v>4275000</v>
      </c>
    </row>
    <row r="58" spans="1:27" s="97" customFormat="1" x14ac:dyDescent="0.25">
      <c r="A58" s="100" t="s">
        <v>232</v>
      </c>
      <c r="B58" s="100">
        <f>A61*10%</f>
        <v>950000</v>
      </c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99">
        <f>SUM(B58:Z58)</f>
        <v>950000</v>
      </c>
    </row>
    <row r="59" spans="1:27" s="97" customFormat="1" x14ac:dyDescent="0.25">
      <c r="A59" s="100"/>
      <c r="B59" s="100">
        <f>SUM(B56:B58)</f>
        <v>950000</v>
      </c>
      <c r="C59" s="100">
        <f t="shared" ref="C59:Z59" si="14">SUM(C56:C58)</f>
        <v>285000</v>
      </c>
      <c r="D59" s="100">
        <f t="shared" si="14"/>
        <v>306375</v>
      </c>
      <c r="E59" s="100">
        <f t="shared" si="14"/>
        <v>327750</v>
      </c>
      <c r="F59" s="100">
        <f t="shared" si="14"/>
        <v>327750</v>
      </c>
      <c r="G59" s="100">
        <f t="shared" si="14"/>
        <v>349125</v>
      </c>
      <c r="H59" s="100">
        <f t="shared" si="14"/>
        <v>370500</v>
      </c>
      <c r="I59" s="100">
        <f t="shared" si="14"/>
        <v>370500</v>
      </c>
      <c r="J59" s="100">
        <f t="shared" si="14"/>
        <v>391875</v>
      </c>
      <c r="K59" s="100">
        <f t="shared" si="14"/>
        <v>413250</v>
      </c>
      <c r="L59" s="100">
        <f t="shared" si="14"/>
        <v>413250</v>
      </c>
      <c r="M59" s="100">
        <f t="shared" si="14"/>
        <v>413250</v>
      </c>
      <c r="N59" s="100">
        <f t="shared" si="14"/>
        <v>434625</v>
      </c>
      <c r="O59" s="100">
        <f t="shared" si="14"/>
        <v>477375</v>
      </c>
      <c r="P59" s="100">
        <f t="shared" si="14"/>
        <v>477375</v>
      </c>
      <c r="Q59" s="100">
        <f t="shared" si="14"/>
        <v>456000</v>
      </c>
      <c r="R59" s="100">
        <f t="shared" si="14"/>
        <v>456000</v>
      </c>
      <c r="S59" s="100">
        <f t="shared" si="14"/>
        <v>391875</v>
      </c>
      <c r="T59" s="100">
        <f t="shared" si="14"/>
        <v>391875</v>
      </c>
      <c r="U59" s="100">
        <f t="shared" si="14"/>
        <v>349125</v>
      </c>
      <c r="V59" s="100">
        <f t="shared" si="14"/>
        <v>263625</v>
      </c>
      <c r="W59" s="100">
        <f t="shared" si="14"/>
        <v>220875</v>
      </c>
      <c r="X59" s="100">
        <f t="shared" si="14"/>
        <v>220875</v>
      </c>
      <c r="Y59" s="100">
        <f t="shared" si="14"/>
        <v>220875</v>
      </c>
      <c r="Z59" s="100">
        <f t="shared" si="14"/>
        <v>220875</v>
      </c>
      <c r="AA59" s="99">
        <f>SUM(B59:Z59)</f>
        <v>9500000</v>
      </c>
    </row>
    <row r="60" spans="1:27" s="96" customFormat="1" x14ac:dyDescent="0.25">
      <c r="C60" s="96">
        <f>B60/A61</f>
        <v>0</v>
      </c>
    </row>
    <row r="61" spans="1:27" s="96" customFormat="1" x14ac:dyDescent="0.25">
      <c r="A61" s="96">
        <f>+D8</f>
        <v>9500000</v>
      </c>
    </row>
    <row r="62" spans="1:27" s="96" customFormat="1" x14ac:dyDescent="0.25">
      <c r="A62" s="96">
        <f>A61*0.1</f>
        <v>950000</v>
      </c>
    </row>
    <row r="63" spans="1:27" s="96" customFormat="1" x14ac:dyDescent="0.25">
      <c r="A63" s="96">
        <f>A61*0.45</f>
        <v>4275000</v>
      </c>
      <c r="C63" s="96">
        <f>A63/24</f>
        <v>178125</v>
      </c>
    </row>
    <row r="64" spans="1:27" s="96" customFormat="1" x14ac:dyDescent="0.25"/>
  </sheetData>
  <mergeCells count="6">
    <mergeCell ref="I44:J44"/>
    <mergeCell ref="A1:J1"/>
    <mergeCell ref="B3:I4"/>
    <mergeCell ref="A5:C5"/>
    <mergeCell ref="D7:F7"/>
    <mergeCell ref="C15:D15"/>
  </mergeCell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92"/>
  <sheetViews>
    <sheetView topLeftCell="A24" zoomScaleNormal="100" workbookViewId="0">
      <selection activeCell="B52" sqref="B52"/>
    </sheetView>
  </sheetViews>
  <sheetFormatPr defaultColWidth="11.44140625" defaultRowHeight="15" x14ac:dyDescent="0.25"/>
  <cols>
    <col min="1" max="1" width="10.44140625" style="1" bestFit="1" customWidth="1"/>
    <col min="2" max="2" width="78.21875" style="1" bestFit="1" customWidth="1"/>
    <col min="3" max="3" width="17" style="2" customWidth="1"/>
    <col min="4" max="4" width="8.21875" style="2" bestFit="1" customWidth="1"/>
    <col min="5" max="5" width="18.77734375" style="2" hidden="1" customWidth="1"/>
    <col min="6" max="6" width="9" style="2" hidden="1" customWidth="1"/>
    <col min="7" max="7" width="17.44140625" style="2" bestFit="1" customWidth="1"/>
    <col min="8" max="8" width="13.21875" style="1" bestFit="1" customWidth="1"/>
    <col min="9" max="16384" width="11.44140625" style="1"/>
  </cols>
  <sheetData>
    <row r="1" spans="1:9" ht="16.5" customHeight="1" x14ac:dyDescent="0.25">
      <c r="A1" s="347" t="s">
        <v>242</v>
      </c>
      <c r="B1" s="347"/>
      <c r="C1" s="347"/>
      <c r="D1" s="347"/>
      <c r="E1" s="347"/>
      <c r="F1" s="347"/>
      <c r="G1" s="347"/>
    </row>
    <row r="2" spans="1:9" ht="33.75" customHeight="1" x14ac:dyDescent="0.25">
      <c r="A2" s="348" t="s">
        <v>241</v>
      </c>
      <c r="B2" s="348"/>
      <c r="C2" s="348"/>
      <c r="D2" s="348"/>
      <c r="E2" s="348"/>
      <c r="F2" s="348"/>
      <c r="G2" s="348"/>
    </row>
    <row r="3" spans="1:9" ht="33.75" hidden="1" customHeight="1" x14ac:dyDescent="0.25">
      <c r="A3" s="276"/>
      <c r="B3" s="276"/>
      <c r="C3" s="276"/>
      <c r="D3" s="276"/>
      <c r="E3" s="276"/>
      <c r="F3" s="276"/>
      <c r="G3" s="276"/>
    </row>
    <row r="4" spans="1:9" ht="33.75" hidden="1" customHeight="1" x14ac:dyDescent="0.25">
      <c r="A4" s="276" t="s">
        <v>5</v>
      </c>
      <c r="B4" s="276" t="s">
        <v>6</v>
      </c>
      <c r="C4" s="276"/>
      <c r="D4" s="276"/>
      <c r="E4" s="276"/>
      <c r="F4" s="276"/>
      <c r="G4" s="276"/>
    </row>
    <row r="5" spans="1:9" ht="15" hidden="1" customHeight="1" x14ac:dyDescent="0.25">
      <c r="A5" s="276"/>
      <c r="B5" s="276"/>
      <c r="C5" s="276"/>
      <c r="D5" s="276"/>
      <c r="E5" s="276"/>
      <c r="F5" s="276"/>
      <c r="G5" s="276"/>
    </row>
    <row r="6" spans="1:9" customFormat="1" ht="13.2" hidden="1" x14ac:dyDescent="0.25">
      <c r="A6" s="349"/>
      <c r="B6" s="351" t="s">
        <v>7</v>
      </c>
      <c r="C6" s="17" t="s">
        <v>8</v>
      </c>
      <c r="D6" s="215"/>
      <c r="E6" s="215"/>
      <c r="F6" s="215"/>
      <c r="G6" s="215"/>
    </row>
    <row r="7" spans="1:9" customFormat="1" ht="13.2" hidden="1" x14ac:dyDescent="0.25">
      <c r="A7" s="350"/>
      <c r="B7" s="352"/>
      <c r="C7" s="18" t="s">
        <v>9</v>
      </c>
      <c r="D7" s="18"/>
      <c r="E7" s="18"/>
      <c r="F7" s="18"/>
      <c r="G7" s="18"/>
    </row>
    <row r="8" spans="1:9" customFormat="1" ht="23.25" hidden="1" customHeight="1" x14ac:dyDescent="0.25">
      <c r="A8" s="7">
        <v>1</v>
      </c>
      <c r="B8" s="8" t="s">
        <v>10</v>
      </c>
      <c r="C8" s="9">
        <f>+C9</f>
        <v>502000000</v>
      </c>
      <c r="D8" s="9"/>
      <c r="E8" s="9" t="s">
        <v>11</v>
      </c>
      <c r="F8" s="216"/>
      <c r="G8" s="216" t="s">
        <v>12</v>
      </c>
    </row>
    <row r="9" spans="1:9" s="13" customFormat="1" ht="13.2" hidden="1" x14ac:dyDescent="0.25">
      <c r="A9" s="10">
        <v>1.1000000000000001</v>
      </c>
      <c r="B9" s="11" t="s">
        <v>13</v>
      </c>
      <c r="C9" s="12">
        <f>+C10+C13+C11+C12</f>
        <v>502000000</v>
      </c>
      <c r="D9" s="12"/>
      <c r="E9" s="12">
        <f>+E10+E11+E12+E13</f>
        <v>474000000</v>
      </c>
      <c r="F9" s="12"/>
      <c r="G9" s="12">
        <f>+G10+G11+G12+G13</f>
        <v>28000000</v>
      </c>
      <c r="H9" s="222"/>
      <c r="I9" s="231"/>
    </row>
    <row r="10" spans="1:9" s="13" customFormat="1" ht="13.2" hidden="1" x14ac:dyDescent="0.25">
      <c r="A10" s="101" t="s">
        <v>14</v>
      </c>
      <c r="B10" s="102" t="s">
        <v>15</v>
      </c>
      <c r="C10" s="103">
        <f>+G10+E10</f>
        <v>107000000</v>
      </c>
      <c r="D10" s="103"/>
      <c r="E10" s="103">
        <v>100000000</v>
      </c>
      <c r="F10" s="103"/>
      <c r="G10" s="103">
        <v>7000000</v>
      </c>
      <c r="H10" s="222"/>
      <c r="I10" s="223"/>
    </row>
    <row r="11" spans="1:9" s="13" customFormat="1" ht="13.2" hidden="1" x14ac:dyDescent="0.25">
      <c r="A11" s="101" t="s">
        <v>16</v>
      </c>
      <c r="B11" s="102" t="s">
        <v>17</v>
      </c>
      <c r="C11" s="103">
        <f t="shared" ref="C11:C13" si="0">+G11+E11</f>
        <v>144000000</v>
      </c>
      <c r="D11" s="103"/>
      <c r="E11" s="103">
        <v>135000000</v>
      </c>
      <c r="F11" s="103"/>
      <c r="G11" s="103">
        <v>9000000</v>
      </c>
      <c r="H11" s="222"/>
      <c r="I11" s="223"/>
    </row>
    <row r="12" spans="1:9" s="13" customFormat="1" ht="13.2" hidden="1" x14ac:dyDescent="0.25">
      <c r="A12" s="101" t="s">
        <v>18</v>
      </c>
      <c r="B12" s="102" t="s">
        <v>19</v>
      </c>
      <c r="C12" s="103">
        <f t="shared" si="0"/>
        <v>134000000</v>
      </c>
      <c r="D12" s="103"/>
      <c r="E12" s="103">
        <v>128000000</v>
      </c>
      <c r="F12" s="103"/>
      <c r="G12" s="103">
        <v>6000000</v>
      </c>
      <c r="H12" s="222"/>
      <c r="I12" s="223"/>
    </row>
    <row r="13" spans="1:9" s="13" customFormat="1" ht="13.2" hidden="1" x14ac:dyDescent="0.25">
      <c r="A13" s="101" t="s">
        <v>20</v>
      </c>
      <c r="B13" s="102" t="s">
        <v>21</v>
      </c>
      <c r="C13" s="103">
        <f t="shared" si="0"/>
        <v>117000000</v>
      </c>
      <c r="D13" s="103"/>
      <c r="E13" s="103">
        <v>111000000</v>
      </c>
      <c r="F13" s="103"/>
      <c r="G13" s="103">
        <v>6000000</v>
      </c>
      <c r="H13" s="222"/>
      <c r="I13" s="223"/>
    </row>
    <row r="14" spans="1:9" customFormat="1" ht="18.75" hidden="1" customHeight="1" x14ac:dyDescent="0.25">
      <c r="A14" s="7">
        <v>2</v>
      </c>
      <c r="B14" s="8" t="s">
        <v>22</v>
      </c>
      <c r="C14" s="9" t="e">
        <f>+C15+C16+C17+C18</f>
        <v>#REF!</v>
      </c>
      <c r="D14" s="9"/>
      <c r="E14" s="9" t="e">
        <f>+E15+E16+E17</f>
        <v>#REF!</v>
      </c>
      <c r="F14" s="216"/>
      <c r="G14" s="216"/>
    </row>
    <row r="15" spans="1:9" customFormat="1" ht="18.75" hidden="1" customHeight="1" x14ac:dyDescent="0.25">
      <c r="A15" s="10">
        <v>2.1</v>
      </c>
      <c r="B15" s="11" t="s">
        <v>23</v>
      </c>
      <c r="C15" s="12" t="e">
        <f>+#REF!</f>
        <v>#REF!</v>
      </c>
      <c r="D15" s="12"/>
      <c r="E15" s="12" t="e">
        <f>+#REF!</f>
        <v>#REF!</v>
      </c>
      <c r="F15" s="12"/>
      <c r="G15" s="12"/>
    </row>
    <row r="16" spans="1:9" customFormat="1" ht="13.2" hidden="1" x14ac:dyDescent="0.25">
      <c r="A16" s="10">
        <v>2.2000000000000002</v>
      </c>
      <c r="B16" s="11" t="s">
        <v>24</v>
      </c>
      <c r="C16" s="12" t="e">
        <f>+#REF!</f>
        <v>#REF!</v>
      </c>
      <c r="D16" s="12"/>
      <c r="E16" s="12" t="e">
        <f>+#REF!</f>
        <v>#REF!</v>
      </c>
      <c r="F16" s="12"/>
      <c r="G16" s="12"/>
    </row>
    <row r="17" spans="1:8" s="13" customFormat="1" ht="13.2" hidden="1" x14ac:dyDescent="0.25">
      <c r="A17" s="10">
        <v>2.2999999999999998</v>
      </c>
      <c r="B17" s="11" t="s">
        <v>25</v>
      </c>
      <c r="C17" s="12" t="e">
        <f>+#REF!</f>
        <v>#REF!</v>
      </c>
      <c r="D17" s="12"/>
      <c r="E17" s="12" t="e">
        <f>+#REF!</f>
        <v>#REF!</v>
      </c>
      <c r="F17" s="12"/>
      <c r="G17" s="12"/>
    </row>
    <row r="18" spans="1:8" s="13" customFormat="1" ht="13.2" hidden="1" x14ac:dyDescent="0.25">
      <c r="A18" s="10">
        <v>2.4</v>
      </c>
      <c r="B18" s="11" t="s">
        <v>26</v>
      </c>
      <c r="C18" s="12" t="e">
        <f>+#REF!</f>
        <v>#REF!</v>
      </c>
      <c r="D18" s="12"/>
      <c r="E18" s="12"/>
      <c r="F18" s="12"/>
      <c r="G18" s="12"/>
    </row>
    <row r="19" spans="1:8" customFormat="1" ht="13.2" hidden="1" x14ac:dyDescent="0.25">
      <c r="A19" s="14"/>
      <c r="B19" s="15" t="s">
        <v>27</v>
      </c>
      <c r="C19" s="16" t="e">
        <f>+C14+C8</f>
        <v>#REF!</v>
      </c>
      <c r="D19" s="16"/>
      <c r="E19" s="16"/>
      <c r="F19" s="16"/>
      <c r="G19" s="16"/>
    </row>
    <row r="20" spans="1:8" customFormat="1" ht="13.2" hidden="1" x14ac:dyDescent="0.25"/>
    <row r="21" spans="1:8" customFormat="1" hidden="1" x14ac:dyDescent="0.25">
      <c r="A21" s="1"/>
      <c r="B21" s="1"/>
      <c r="C21" s="2"/>
      <c r="D21" s="2"/>
      <c r="E21" s="2"/>
      <c r="F21" s="2"/>
      <c r="G21" s="2"/>
    </row>
    <row r="22" spans="1:8" s="13" customFormat="1" ht="22.5" hidden="1" customHeight="1" x14ac:dyDescent="0.25">
      <c r="A22" s="1"/>
      <c r="B22" s="1"/>
      <c r="C22" s="2"/>
      <c r="D22" s="2"/>
      <c r="E22" s="2"/>
      <c r="F22" s="2"/>
      <c r="G22" s="2"/>
    </row>
    <row r="23" spans="1:8" customFormat="1" x14ac:dyDescent="0.25">
      <c r="A23" s="1"/>
      <c r="B23" s="1"/>
      <c r="C23" s="2"/>
      <c r="D23" s="2"/>
      <c r="E23" s="2"/>
      <c r="F23" s="2"/>
      <c r="G23" s="2"/>
    </row>
    <row r="24" spans="1:8" s="13" customFormat="1" ht="22.5" customHeight="1" x14ac:dyDescent="0.25">
      <c r="A24" s="276"/>
      <c r="B24" s="276" t="s">
        <v>6</v>
      </c>
      <c r="C24" s="2"/>
      <c r="D24" s="2"/>
      <c r="E24" s="2"/>
      <c r="F24" s="2"/>
      <c r="G24" s="2"/>
    </row>
    <row r="25" spans="1:8" customFormat="1" x14ac:dyDescent="0.25">
      <c r="A25" s="1"/>
      <c r="B25" s="1"/>
      <c r="C25" s="2"/>
      <c r="D25" s="2"/>
      <c r="E25" s="2"/>
      <c r="F25" s="2"/>
      <c r="G25" s="2"/>
    </row>
    <row r="26" spans="1:8" customFormat="1" ht="14.4" x14ac:dyDescent="0.25">
      <c r="A26" s="353"/>
      <c r="B26" s="354" t="s">
        <v>7</v>
      </c>
      <c r="C26" s="322" t="s">
        <v>8</v>
      </c>
      <c r="D26" s="323"/>
      <c r="E26" s="323" t="s">
        <v>28</v>
      </c>
      <c r="F26" s="323"/>
      <c r="G26" s="323" t="s">
        <v>27</v>
      </c>
    </row>
    <row r="27" spans="1:8" customFormat="1" thickBot="1" x14ac:dyDescent="0.3">
      <c r="A27" s="353"/>
      <c r="B27" s="354"/>
      <c r="C27" s="322" t="s">
        <v>9</v>
      </c>
      <c r="D27" s="324"/>
      <c r="E27" s="324" t="s">
        <v>9</v>
      </c>
      <c r="F27" s="324"/>
      <c r="G27" s="324" t="s">
        <v>9</v>
      </c>
    </row>
    <row r="28" spans="1:8" customFormat="1" ht="16.5" customHeight="1" thickBot="1" x14ac:dyDescent="0.3">
      <c r="A28" s="316">
        <v>1</v>
      </c>
      <c r="B28" s="317" t="s">
        <v>240</v>
      </c>
      <c r="C28" s="328">
        <f>+SUM(C29:C36)</f>
        <v>292500000</v>
      </c>
      <c r="D28" s="328"/>
      <c r="E28" s="328">
        <f t="shared" ref="E28:G28" si="1">+SUM(E29:E36)</f>
        <v>0</v>
      </c>
      <c r="F28" s="328">
        <f t="shared" si="1"/>
        <v>0</v>
      </c>
      <c r="G28" s="328">
        <f t="shared" si="1"/>
        <v>292500000</v>
      </c>
      <c r="H28" s="232"/>
    </row>
    <row r="29" spans="1:8" s="13" customFormat="1" ht="22.5" customHeight="1" x14ac:dyDescent="0.25">
      <c r="A29" s="325">
        <v>1.1000000000000001</v>
      </c>
      <c r="B29" s="326" t="s">
        <v>245</v>
      </c>
      <c r="C29" s="329">
        <v>31750000</v>
      </c>
      <c r="D29" s="327">
        <f>+C29/G29</f>
        <v>1</v>
      </c>
      <c r="E29" s="329"/>
      <c r="F29" s="329"/>
      <c r="G29" s="329">
        <f>+C29</f>
        <v>31750000</v>
      </c>
      <c r="H29" s="232"/>
    </row>
    <row r="30" spans="1:8" s="13" customFormat="1" ht="22.5" customHeight="1" x14ac:dyDescent="0.25">
      <c r="A30" s="325">
        <v>1.2</v>
      </c>
      <c r="B30" s="326" t="s">
        <v>246</v>
      </c>
      <c r="C30" s="329">
        <v>22500000</v>
      </c>
      <c r="D30" s="327">
        <f t="shared" ref="D30:D36" si="2">+C30/G30</f>
        <v>1</v>
      </c>
      <c r="E30" s="329"/>
      <c r="F30" s="329"/>
      <c r="G30" s="329">
        <f t="shared" ref="G30:G43" si="3">+C30</f>
        <v>22500000</v>
      </c>
      <c r="H30" s="232"/>
    </row>
    <row r="31" spans="1:8" s="13" customFormat="1" ht="22.5" customHeight="1" x14ac:dyDescent="0.25">
      <c r="A31" s="325">
        <v>1.3</v>
      </c>
      <c r="B31" s="326" t="s">
        <v>263</v>
      </c>
      <c r="C31" s="329">
        <v>22260000</v>
      </c>
      <c r="D31" s="327">
        <f t="shared" si="2"/>
        <v>1</v>
      </c>
      <c r="E31" s="329"/>
      <c r="F31" s="329"/>
      <c r="G31" s="329">
        <f t="shared" si="3"/>
        <v>22260000</v>
      </c>
      <c r="H31" s="232"/>
    </row>
    <row r="32" spans="1:8" s="13" customFormat="1" ht="22.5" customHeight="1" x14ac:dyDescent="0.25">
      <c r="A32" s="325">
        <v>1.4</v>
      </c>
      <c r="B32" s="326" t="s">
        <v>247</v>
      </c>
      <c r="C32" s="329">
        <v>14740000</v>
      </c>
      <c r="D32" s="327">
        <f t="shared" si="2"/>
        <v>1</v>
      </c>
      <c r="E32" s="329"/>
      <c r="F32" s="329"/>
      <c r="G32" s="329">
        <f t="shared" si="3"/>
        <v>14740000</v>
      </c>
      <c r="H32" s="232"/>
    </row>
    <row r="33" spans="1:8" customFormat="1" ht="14.4" x14ac:dyDescent="0.25">
      <c r="A33" s="325">
        <v>1.5</v>
      </c>
      <c r="B33" s="326" t="s">
        <v>270</v>
      </c>
      <c r="C33" s="329">
        <v>145350000</v>
      </c>
      <c r="D33" s="327">
        <f t="shared" si="2"/>
        <v>1</v>
      </c>
      <c r="E33" s="329"/>
      <c r="F33" s="329"/>
      <c r="G33" s="329">
        <f t="shared" si="3"/>
        <v>145350000</v>
      </c>
      <c r="H33" s="232"/>
    </row>
    <row r="34" spans="1:8" customFormat="1" ht="14.4" x14ac:dyDescent="0.25">
      <c r="A34" s="325">
        <v>1.6</v>
      </c>
      <c r="B34" s="326" t="s">
        <v>271</v>
      </c>
      <c r="C34" s="334">
        <v>46900000</v>
      </c>
      <c r="D34" s="335">
        <f>+D33</f>
        <v>1</v>
      </c>
      <c r="E34" s="334"/>
      <c r="F34" s="334"/>
      <c r="G34" s="329">
        <f t="shared" si="3"/>
        <v>46900000</v>
      </c>
      <c r="H34" s="232"/>
    </row>
    <row r="35" spans="1:8" customFormat="1" ht="14.4" x14ac:dyDescent="0.25">
      <c r="A35" s="325">
        <v>1.7</v>
      </c>
      <c r="B35" s="326" t="s">
        <v>244</v>
      </c>
      <c r="C35" s="329">
        <v>6000000</v>
      </c>
      <c r="D35" s="327">
        <f t="shared" si="2"/>
        <v>1</v>
      </c>
      <c r="E35" s="329"/>
      <c r="F35" s="329"/>
      <c r="G35" s="329">
        <f t="shared" si="3"/>
        <v>6000000</v>
      </c>
      <c r="H35" s="232"/>
    </row>
    <row r="36" spans="1:8" customFormat="1" thickBot="1" x14ac:dyDescent="0.3">
      <c r="A36" s="325">
        <v>1.8</v>
      </c>
      <c r="B36" s="326" t="s">
        <v>30</v>
      </c>
      <c r="C36" s="329">
        <v>3000000</v>
      </c>
      <c r="D36" s="327">
        <f t="shared" si="2"/>
        <v>1</v>
      </c>
      <c r="E36" s="329"/>
      <c r="F36" s="329"/>
      <c r="G36" s="329">
        <f t="shared" si="3"/>
        <v>3000000</v>
      </c>
      <c r="H36" s="232"/>
    </row>
    <row r="37" spans="1:8" customFormat="1" thickBot="1" x14ac:dyDescent="0.3">
      <c r="A37" s="316">
        <v>2</v>
      </c>
      <c r="B37" s="317" t="s">
        <v>29</v>
      </c>
      <c r="C37" s="328">
        <f>+SUM(C38+C39)</f>
        <v>3000000</v>
      </c>
      <c r="D37" s="328"/>
      <c r="E37" s="328">
        <f t="shared" ref="E37:F37" si="4">+SUM(E38+E39)</f>
        <v>0</v>
      </c>
      <c r="F37" s="328">
        <f t="shared" si="4"/>
        <v>0</v>
      </c>
      <c r="G37" s="328">
        <f t="shared" si="3"/>
        <v>3000000</v>
      </c>
      <c r="H37" s="328"/>
    </row>
    <row r="38" spans="1:8" customFormat="1" ht="14.4" x14ac:dyDescent="0.25">
      <c r="A38" s="325">
        <v>2.1</v>
      </c>
      <c r="B38" s="326" t="s">
        <v>276</v>
      </c>
      <c r="C38" s="329">
        <v>2900000</v>
      </c>
      <c r="D38" s="327">
        <f t="shared" ref="D38:D43" si="5">+C38/G38</f>
        <v>1</v>
      </c>
      <c r="E38" s="329">
        <v>0</v>
      </c>
      <c r="F38" s="329">
        <f t="shared" ref="F38:F43" si="6">+E38/G38</f>
        <v>0</v>
      </c>
      <c r="G38" s="329">
        <f t="shared" si="3"/>
        <v>2900000</v>
      </c>
      <c r="H38" s="232"/>
    </row>
    <row r="39" spans="1:8" customFormat="1" thickBot="1" x14ac:dyDescent="0.3">
      <c r="A39" s="325">
        <v>2.2000000000000002</v>
      </c>
      <c r="B39" s="326" t="s">
        <v>248</v>
      </c>
      <c r="C39" s="329">
        <v>100000</v>
      </c>
      <c r="D39" s="327">
        <f t="shared" si="5"/>
        <v>1</v>
      </c>
      <c r="E39" s="329">
        <v>0</v>
      </c>
      <c r="F39" s="329">
        <f t="shared" si="6"/>
        <v>0</v>
      </c>
      <c r="G39" s="329">
        <f t="shared" si="3"/>
        <v>100000</v>
      </c>
      <c r="H39" s="232"/>
    </row>
    <row r="40" spans="1:8" customFormat="1" thickBot="1" x14ac:dyDescent="0.3">
      <c r="A40" s="316"/>
      <c r="B40" s="317" t="s">
        <v>261</v>
      </c>
      <c r="C40" s="328">
        <f>+SUM(C41:C43)</f>
        <v>4500000</v>
      </c>
      <c r="D40" s="328"/>
      <c r="E40" s="328">
        <f>+E41+E43</f>
        <v>0</v>
      </c>
      <c r="F40" s="328">
        <f>+E40/G40</f>
        <v>0</v>
      </c>
      <c r="G40" s="328">
        <f t="shared" si="3"/>
        <v>4500000</v>
      </c>
      <c r="H40" s="328"/>
    </row>
    <row r="41" spans="1:8" customFormat="1" ht="14.4" x14ac:dyDescent="0.25">
      <c r="A41" s="325">
        <v>3.1</v>
      </c>
      <c r="B41" s="326" t="s">
        <v>31</v>
      </c>
      <c r="C41" s="329">
        <v>4000000</v>
      </c>
      <c r="D41" s="327">
        <f t="shared" si="5"/>
        <v>1</v>
      </c>
      <c r="E41" s="329">
        <v>0</v>
      </c>
      <c r="F41" s="329">
        <f t="shared" si="6"/>
        <v>0</v>
      </c>
      <c r="G41" s="329">
        <f t="shared" si="3"/>
        <v>4000000</v>
      </c>
      <c r="H41" s="232"/>
    </row>
    <row r="42" spans="1:8" customFormat="1" ht="14.4" x14ac:dyDescent="0.25">
      <c r="A42" s="325">
        <v>3.2</v>
      </c>
      <c r="B42" s="326" t="s">
        <v>243</v>
      </c>
      <c r="C42" s="329">
        <v>50000</v>
      </c>
      <c r="D42" s="327">
        <f>+C42/G42</f>
        <v>1</v>
      </c>
      <c r="E42" s="329"/>
      <c r="F42" s="329"/>
      <c r="G42" s="329">
        <f t="shared" si="3"/>
        <v>50000</v>
      </c>
      <c r="H42" s="232"/>
    </row>
    <row r="43" spans="1:8" customFormat="1" thickBot="1" x14ac:dyDescent="0.3">
      <c r="A43" s="325">
        <v>3.3</v>
      </c>
      <c r="B43" s="326" t="s">
        <v>262</v>
      </c>
      <c r="C43" s="329">
        <v>450000</v>
      </c>
      <c r="D43" s="327">
        <f t="shared" si="5"/>
        <v>1</v>
      </c>
      <c r="E43" s="329">
        <v>0</v>
      </c>
      <c r="F43" s="329">
        <f t="shared" si="6"/>
        <v>0</v>
      </c>
      <c r="G43" s="329">
        <f t="shared" si="3"/>
        <v>450000</v>
      </c>
      <c r="H43" s="232"/>
    </row>
    <row r="44" spans="1:8" ht="15.6" thickBot="1" x14ac:dyDescent="0.3">
      <c r="A44" s="316"/>
      <c r="B44" s="317" t="s">
        <v>27</v>
      </c>
      <c r="C44" s="328">
        <f>+SUM(C40+C37+C28)</f>
        <v>300000000</v>
      </c>
      <c r="D44" s="328"/>
      <c r="E44" s="328">
        <f>+E37+E28+E40</f>
        <v>0</v>
      </c>
      <c r="F44" s="328"/>
      <c r="G44" s="328">
        <f>+G40+G37+G28</f>
        <v>300000000</v>
      </c>
    </row>
    <row r="52" spans="2:7" x14ac:dyDescent="0.25">
      <c r="B52" s="6"/>
      <c r="C52" s="4"/>
      <c r="D52" s="4"/>
      <c r="E52" s="4"/>
      <c r="F52" s="4"/>
      <c r="G52" s="4"/>
    </row>
    <row r="53" spans="2:7" x14ac:dyDescent="0.25">
      <c r="B53" s="5"/>
      <c r="C53" s="4"/>
      <c r="D53" s="4"/>
      <c r="E53" s="4"/>
      <c r="F53" s="4"/>
      <c r="G53" s="4"/>
    </row>
    <row r="54" spans="2:7" x14ac:dyDescent="0.25">
      <c r="B54" s="5"/>
      <c r="C54" s="4"/>
      <c r="D54" s="4"/>
      <c r="E54" s="4"/>
      <c r="F54" s="4"/>
      <c r="G54" s="4"/>
    </row>
    <row r="55" spans="2:7" x14ac:dyDescent="0.25">
      <c r="B55" s="5"/>
      <c r="C55" s="4"/>
      <c r="D55" s="4"/>
      <c r="E55" s="4"/>
      <c r="F55" s="4"/>
      <c r="G55" s="4"/>
    </row>
    <row r="56" spans="2:7" ht="16.5" customHeight="1" x14ac:dyDescent="0.25">
      <c r="B56" s="3"/>
      <c r="C56" s="4"/>
      <c r="D56" s="4"/>
      <c r="E56" s="4"/>
      <c r="F56" s="4"/>
      <c r="G56" s="4"/>
    </row>
    <row r="69" ht="16.5" customHeight="1" x14ac:dyDescent="0.25"/>
    <row r="70" ht="16.5" customHeight="1" x14ac:dyDescent="0.25"/>
    <row r="71" ht="16.5" customHeight="1" x14ac:dyDescent="0.25"/>
    <row r="72" ht="16.5" customHeight="1" x14ac:dyDescent="0.25"/>
    <row r="73" ht="16.5" customHeight="1" x14ac:dyDescent="0.25"/>
    <row r="76" ht="16.5" customHeight="1" x14ac:dyDescent="0.25"/>
    <row r="92" ht="16.5" customHeight="1" x14ac:dyDescent="0.25"/>
  </sheetData>
  <mergeCells count="6">
    <mergeCell ref="A1:G1"/>
    <mergeCell ref="A2:G2"/>
    <mergeCell ref="A6:A7"/>
    <mergeCell ref="B6:B7"/>
    <mergeCell ref="A26:A27"/>
    <mergeCell ref="B26:B27"/>
  </mergeCells>
  <pageMargins left="0.70866141732283472" right="0.70866141732283472" top="0.74803149606299213" bottom="0.74803149606299213" header="0.31496062992125984" footer="0.31496062992125984"/>
  <pageSetup paperSize="8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4EC15-60FA-4B02-A3CD-64884127941E}">
  <sheetPr>
    <pageSetUpPr fitToPage="1"/>
  </sheetPr>
  <dimension ref="A1:V26"/>
  <sheetViews>
    <sheetView showGridLines="0" tabSelected="1" zoomScaleNormal="100" workbookViewId="0">
      <selection activeCell="B12" sqref="B12"/>
    </sheetView>
  </sheetViews>
  <sheetFormatPr defaultColWidth="11.44140625" defaultRowHeight="14.4" x14ac:dyDescent="0.3"/>
  <cols>
    <col min="1" max="1" width="11.44140625" style="297"/>
    <col min="2" max="2" width="39.5546875" style="297" customWidth="1"/>
    <col min="3" max="3" width="15.21875" style="297" customWidth="1"/>
    <col min="4" max="7" width="10.77734375" style="297" customWidth="1"/>
    <col min="8" max="8" width="12" style="297" bestFit="1" customWidth="1"/>
    <col min="9" max="9" width="12.77734375" style="297" bestFit="1" customWidth="1"/>
    <col min="10" max="10" width="13.77734375" style="297" bestFit="1" customWidth="1"/>
    <col min="11" max="11" width="12.77734375" style="297" bestFit="1" customWidth="1"/>
    <col min="12" max="15" width="11.44140625" style="297"/>
    <col min="16" max="16" width="22.21875" style="297" customWidth="1"/>
    <col min="17" max="16384" width="11.44140625" style="297"/>
  </cols>
  <sheetData>
    <row r="1" spans="1:22" ht="15" thickBot="1" x14ac:dyDescent="0.35">
      <c r="A1" s="355" t="s">
        <v>260</v>
      </c>
      <c r="B1" s="355"/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</row>
    <row r="2" spans="1:22" ht="15" thickBot="1" x14ac:dyDescent="0.35">
      <c r="A2" s="356"/>
      <c r="B2" s="356"/>
      <c r="C2" s="356"/>
      <c r="D2" s="356"/>
      <c r="E2" s="356"/>
      <c r="F2" s="356"/>
      <c r="G2" s="356"/>
      <c r="H2" s="356"/>
      <c r="I2" s="356"/>
      <c r="J2" s="356"/>
      <c r="K2" s="356"/>
      <c r="L2" s="356"/>
      <c r="M2" s="356"/>
      <c r="N2" s="356"/>
    </row>
    <row r="3" spans="1:22" ht="24" customHeight="1" thickBot="1" x14ac:dyDescent="0.35">
      <c r="A3" s="357" t="s">
        <v>249</v>
      </c>
      <c r="B3" s="358" t="s">
        <v>250</v>
      </c>
      <c r="C3" s="358" t="s">
        <v>251</v>
      </c>
      <c r="D3" s="358" t="s">
        <v>252</v>
      </c>
      <c r="E3" s="358" t="s">
        <v>253</v>
      </c>
      <c r="F3" s="359" t="s">
        <v>254</v>
      </c>
      <c r="G3" s="359"/>
      <c r="H3" s="358" t="s">
        <v>255</v>
      </c>
      <c r="I3" s="358">
        <v>2020</v>
      </c>
      <c r="J3" s="358">
        <v>2021</v>
      </c>
      <c r="K3" s="358">
        <v>2022</v>
      </c>
      <c r="L3" s="358">
        <v>2023</v>
      </c>
      <c r="M3" s="358">
        <v>2024</v>
      </c>
      <c r="N3" s="361" t="s">
        <v>256</v>
      </c>
    </row>
    <row r="4" spans="1:22" ht="22.5" customHeight="1" thickBot="1" x14ac:dyDescent="0.35">
      <c r="A4" s="357"/>
      <c r="B4" s="358"/>
      <c r="C4" s="358"/>
      <c r="D4" s="358"/>
      <c r="E4" s="358" t="s">
        <v>257</v>
      </c>
      <c r="F4" s="298" t="s">
        <v>1</v>
      </c>
      <c r="G4" s="298" t="s">
        <v>2</v>
      </c>
      <c r="H4" s="360"/>
      <c r="I4" s="360"/>
      <c r="J4" s="360"/>
      <c r="K4" s="360"/>
      <c r="L4" s="360"/>
      <c r="M4" s="360"/>
      <c r="N4" s="361" t="s">
        <v>258</v>
      </c>
      <c r="P4" s="340"/>
      <c r="Q4" s="341">
        <f>+I3</f>
        <v>2020</v>
      </c>
      <c r="R4" s="341">
        <f t="shared" ref="R4:U4" si="0">+J3</f>
        <v>2021</v>
      </c>
      <c r="S4" s="341">
        <f t="shared" si="0"/>
        <v>2022</v>
      </c>
      <c r="T4" s="341">
        <f t="shared" si="0"/>
        <v>2023</v>
      </c>
      <c r="U4" s="341">
        <f t="shared" si="0"/>
        <v>2024</v>
      </c>
      <c r="V4" s="342" t="s">
        <v>3</v>
      </c>
    </row>
    <row r="5" spans="1:22" ht="28.8" x14ac:dyDescent="0.3">
      <c r="A5" s="299">
        <v>1</v>
      </c>
      <c r="B5" s="300" t="str">
        <f>+CC!B28</f>
        <v xml:space="preserve">Componente 1. Obras Civiles </v>
      </c>
      <c r="C5" s="300"/>
      <c r="D5" s="300"/>
      <c r="E5" s="300"/>
      <c r="F5" s="300"/>
      <c r="G5" s="300"/>
      <c r="H5" s="301">
        <f>+SUM(H6:H13)</f>
        <v>292500000</v>
      </c>
      <c r="I5" s="301">
        <f>SUM(I6:I13)</f>
        <v>38300000</v>
      </c>
      <c r="J5" s="301">
        <f t="shared" ref="J5:M5" si="1">SUM(J6:J13)</f>
        <v>95000000</v>
      </c>
      <c r="K5" s="301">
        <f t="shared" si="1"/>
        <v>59475000</v>
      </c>
      <c r="L5" s="301">
        <f t="shared" si="1"/>
        <v>59475000</v>
      </c>
      <c r="M5" s="301">
        <f t="shared" si="1"/>
        <v>40250000</v>
      </c>
      <c r="N5" s="301">
        <f>+SUM(I5:M5)</f>
        <v>292500000</v>
      </c>
      <c r="P5" s="343" t="str">
        <f>+B5</f>
        <v xml:space="preserve">Componente 1. Obras Civiles </v>
      </c>
      <c r="Q5" s="344">
        <f>+I5</f>
        <v>38300000</v>
      </c>
      <c r="R5" s="344">
        <f t="shared" ref="R5:U5" si="2">+J5</f>
        <v>95000000</v>
      </c>
      <c r="S5" s="344">
        <f t="shared" si="2"/>
        <v>59475000</v>
      </c>
      <c r="T5" s="344">
        <f t="shared" si="2"/>
        <v>59475000</v>
      </c>
      <c r="U5" s="344">
        <f t="shared" si="2"/>
        <v>40250000</v>
      </c>
      <c r="V5" s="344">
        <f>+SUM(Q5:U5)</f>
        <v>292500000</v>
      </c>
    </row>
    <row r="6" spans="1:22" ht="43.2" x14ac:dyDescent="0.3">
      <c r="A6" s="302">
        <f>+CC!A29</f>
        <v>1.1000000000000001</v>
      </c>
      <c r="B6" s="303" t="str">
        <f>+CC!B29</f>
        <v>Obra básica y pavimentación RP1 Catamarca: empalme RP18 (Singuil) - empalme RP48 (Aconquija)</v>
      </c>
      <c r="C6" s="304" t="s">
        <v>264</v>
      </c>
      <c r="D6" s="305">
        <v>28</v>
      </c>
      <c r="E6" s="305">
        <f>+D6*30</f>
        <v>840</v>
      </c>
      <c r="F6" s="306" t="s">
        <v>273</v>
      </c>
      <c r="G6" s="306" t="str">
        <f>+C6</f>
        <v>Abril  2021</v>
      </c>
      <c r="H6" s="307">
        <f>+CC!C29</f>
        <v>31750000</v>
      </c>
      <c r="I6" s="308">
        <f>+H6*0.4</f>
        <v>12700000</v>
      </c>
      <c r="J6" s="308">
        <f>+H6*0.6</f>
        <v>19050000</v>
      </c>
      <c r="K6" s="309">
        <v>0</v>
      </c>
      <c r="L6" s="309">
        <v>0</v>
      </c>
      <c r="M6" s="309">
        <v>0</v>
      </c>
      <c r="N6" s="310">
        <f>SUM(I6:M6)</f>
        <v>31750000</v>
      </c>
      <c r="P6" s="343" t="str">
        <f>+B14</f>
        <v>Componente 2. Fortalecimiento Institucional</v>
      </c>
      <c r="Q6" s="344">
        <f>+I14</f>
        <v>610000</v>
      </c>
      <c r="R6" s="344">
        <f t="shared" ref="R6:U6" si="3">+J14</f>
        <v>650000</v>
      </c>
      <c r="S6" s="344">
        <f t="shared" si="3"/>
        <v>580000</v>
      </c>
      <c r="T6" s="344">
        <f t="shared" si="3"/>
        <v>580000</v>
      </c>
      <c r="U6" s="344">
        <f t="shared" si="3"/>
        <v>580000</v>
      </c>
      <c r="V6" s="344">
        <f t="shared" ref="V6:V8" si="4">+SUM(Q6:U6)</f>
        <v>3000000</v>
      </c>
    </row>
    <row r="7" spans="1:22" ht="28.8" x14ac:dyDescent="0.3">
      <c r="A7" s="302">
        <f>+CC!A30</f>
        <v>1.2</v>
      </c>
      <c r="B7" s="303" t="str">
        <f>+CC!B30</f>
        <v>Obra básica y pavimentación RP23 Entre Ríos: Pronunciamiento - Villa Elisa</v>
      </c>
      <c r="C7" s="311" t="s">
        <v>265</v>
      </c>
      <c r="D7" s="311">
        <v>27</v>
      </c>
      <c r="E7" s="305">
        <f t="shared" ref="E7:E9" si="5">+D7*30</f>
        <v>810</v>
      </c>
      <c r="F7" s="306" t="s">
        <v>273</v>
      </c>
      <c r="G7" s="306" t="str">
        <f t="shared" ref="G7:G12" si="6">+C7</f>
        <v>Marzo 2021</v>
      </c>
      <c r="H7" s="307">
        <f>+CC!C30</f>
        <v>22500000</v>
      </c>
      <c r="I7" s="330">
        <f>+$H$7*0.4</f>
        <v>9000000</v>
      </c>
      <c r="J7" s="330">
        <f>+$H$7*0.6</f>
        <v>13500000</v>
      </c>
      <c r="K7" s="309">
        <v>0</v>
      </c>
      <c r="L7" s="309">
        <v>0</v>
      </c>
      <c r="M7" s="309">
        <v>0</v>
      </c>
      <c r="N7" s="310">
        <f t="shared" ref="N7:N13" si="7">SUM(I7:M7)</f>
        <v>22500000</v>
      </c>
      <c r="P7" s="343" t="str">
        <f>+B17</f>
        <v>Administración y gestión del Programa</v>
      </c>
      <c r="Q7" s="344">
        <f>+I17</f>
        <v>890000</v>
      </c>
      <c r="R7" s="344">
        <f t="shared" ref="R7:U7" si="8">+J17</f>
        <v>890000</v>
      </c>
      <c r="S7" s="344">
        <f t="shared" si="8"/>
        <v>890000</v>
      </c>
      <c r="T7" s="344">
        <f t="shared" si="8"/>
        <v>890000</v>
      </c>
      <c r="U7" s="344">
        <f t="shared" si="8"/>
        <v>940000</v>
      </c>
      <c r="V7" s="344">
        <f t="shared" si="4"/>
        <v>4500000</v>
      </c>
    </row>
    <row r="8" spans="1:22" ht="28.8" x14ac:dyDescent="0.3">
      <c r="A8" s="302">
        <f>+CC!A31</f>
        <v>1.3</v>
      </c>
      <c r="B8" s="303" t="str">
        <f>+CC!B31</f>
        <v>Circunvalación Vial de la Ciudad de Gualeguaychú, Entre Ríos</v>
      </c>
      <c r="C8" s="304" t="s">
        <v>268</v>
      </c>
      <c r="D8" s="305">
        <v>25</v>
      </c>
      <c r="E8" s="305">
        <f t="shared" si="5"/>
        <v>750</v>
      </c>
      <c r="F8" s="306" t="s">
        <v>273</v>
      </c>
      <c r="G8" s="306" t="str">
        <f t="shared" si="6"/>
        <v>Marzo 2022</v>
      </c>
      <c r="H8" s="307">
        <f>+CC!C31</f>
        <v>22260000</v>
      </c>
      <c r="I8" s="308">
        <f>+$H$8*0.4</f>
        <v>8904000</v>
      </c>
      <c r="J8" s="308">
        <f>+$H$8*0.6</f>
        <v>13356000</v>
      </c>
      <c r="K8" s="308">
        <v>0</v>
      </c>
      <c r="L8" s="308">
        <v>0</v>
      </c>
      <c r="M8" s="309">
        <v>0</v>
      </c>
      <c r="N8" s="310">
        <f t="shared" si="7"/>
        <v>22260000</v>
      </c>
      <c r="P8" s="345" t="s">
        <v>275</v>
      </c>
      <c r="Q8" s="344">
        <f>+SUM(Q5:Q7)</f>
        <v>39800000</v>
      </c>
      <c r="R8" s="344">
        <f t="shared" ref="R8:U8" si="9">+SUM(R5:R7)</f>
        <v>96540000</v>
      </c>
      <c r="S8" s="344">
        <f t="shared" si="9"/>
        <v>60945000</v>
      </c>
      <c r="T8" s="344">
        <f t="shared" si="9"/>
        <v>60945000</v>
      </c>
      <c r="U8" s="344">
        <f t="shared" si="9"/>
        <v>41770000</v>
      </c>
      <c r="V8" s="344">
        <f t="shared" si="4"/>
        <v>300000000</v>
      </c>
    </row>
    <row r="9" spans="1:22" x14ac:dyDescent="0.3">
      <c r="A9" s="302">
        <f>+CC!A32</f>
        <v>1.4</v>
      </c>
      <c r="B9" s="303" t="str">
        <f>+CC!B32</f>
        <v>Rehabilitacion de las RP6 y RP8 Río Negro</v>
      </c>
      <c r="C9" s="304" t="s">
        <v>267</v>
      </c>
      <c r="D9" s="305">
        <v>15</v>
      </c>
      <c r="E9" s="305">
        <f t="shared" si="5"/>
        <v>450</v>
      </c>
      <c r="F9" s="306" t="s">
        <v>273</v>
      </c>
      <c r="G9" s="306" t="str">
        <f t="shared" si="6"/>
        <v>Abril 2020</v>
      </c>
      <c r="H9" s="307">
        <f>+CC!C32</f>
        <v>14740000</v>
      </c>
      <c r="I9" s="308">
        <f>+H9*0.4</f>
        <v>5896000</v>
      </c>
      <c r="J9" s="308">
        <f>+H9*0.6</f>
        <v>8844000</v>
      </c>
      <c r="K9" s="309">
        <v>0</v>
      </c>
      <c r="L9" s="309">
        <v>0</v>
      </c>
      <c r="M9" s="309">
        <v>0</v>
      </c>
      <c r="N9" s="310">
        <f t="shared" si="7"/>
        <v>14740000</v>
      </c>
      <c r="P9" s="339"/>
    </row>
    <row r="10" spans="1:22" x14ac:dyDescent="0.3">
      <c r="A10" s="302">
        <f>+CC!A33</f>
        <v>1.5</v>
      </c>
      <c r="B10" s="303" t="str">
        <f>+CC!B33</f>
        <v xml:space="preserve">Otras obras de mejora en la red vial provincial </v>
      </c>
      <c r="C10" s="304" t="s">
        <v>272</v>
      </c>
      <c r="D10" s="305">
        <f>12*5</f>
        <v>60</v>
      </c>
      <c r="E10" s="305">
        <f>+D10*30</f>
        <v>1800</v>
      </c>
      <c r="F10" s="306" t="s">
        <v>273</v>
      </c>
      <c r="G10" s="306" t="str">
        <f t="shared" si="6"/>
        <v>Julio 2024</v>
      </c>
      <c r="H10" s="307">
        <f>+CC!C33</f>
        <v>145350000</v>
      </c>
      <c r="I10" s="308">
        <v>0</v>
      </c>
      <c r="J10" s="308">
        <f t="shared" ref="J10" si="10">+$H$10*0.2</f>
        <v>29070000</v>
      </c>
      <c r="K10" s="308">
        <f>+$H$10*0.3</f>
        <v>43605000</v>
      </c>
      <c r="L10" s="308">
        <f>+$H$10*0.3</f>
        <v>43605000</v>
      </c>
      <c r="M10" s="308">
        <f>+$H$10*0.2</f>
        <v>29070000</v>
      </c>
      <c r="N10" s="310">
        <f>SUM(I10:M10)</f>
        <v>145350000</v>
      </c>
      <c r="P10" s="339"/>
    </row>
    <row r="11" spans="1:22" x14ac:dyDescent="0.3">
      <c r="A11" s="302">
        <f>+CC!A34</f>
        <v>1.6</v>
      </c>
      <c r="B11" s="303" t="str">
        <f>+CC!B34</f>
        <v>Otras obras de mejora en la red vial municipal</v>
      </c>
      <c r="C11" s="304" t="s">
        <v>272</v>
      </c>
      <c r="D11" s="305">
        <f>12*5</f>
        <v>60</v>
      </c>
      <c r="E11" s="305">
        <f>+D11*30</f>
        <v>1800</v>
      </c>
      <c r="F11" s="306" t="s">
        <v>273</v>
      </c>
      <c r="G11" s="306" t="str">
        <f t="shared" si="6"/>
        <v>Julio 2024</v>
      </c>
      <c r="H11" s="307">
        <f>+CC!C34</f>
        <v>46900000</v>
      </c>
      <c r="I11" s="308">
        <v>0</v>
      </c>
      <c r="J11" s="308">
        <f>+$H$11*0.2</f>
        <v>9380000</v>
      </c>
      <c r="K11" s="308">
        <f>+$H$11*0.3</f>
        <v>14070000</v>
      </c>
      <c r="L11" s="308">
        <f>+$H$11*0.3</f>
        <v>14070000</v>
      </c>
      <c r="M11" s="308">
        <f t="shared" ref="M11" si="11">+$H$11*0.2</f>
        <v>9380000</v>
      </c>
      <c r="N11" s="310">
        <f>SUM(I11:M11)</f>
        <v>46900000</v>
      </c>
    </row>
    <row r="12" spans="1:22" ht="28.8" x14ac:dyDescent="0.3">
      <c r="A12" s="302">
        <f>+CC!A35</f>
        <v>1.7</v>
      </c>
      <c r="B12" s="303" t="str">
        <f>+CC!B35</f>
        <v>Inspecciones técnicas y socioambientales de las obras</v>
      </c>
      <c r="C12" s="304" t="s">
        <v>272</v>
      </c>
      <c r="D12" s="305">
        <f t="shared" ref="D12:D13" si="12">12*5</f>
        <v>60</v>
      </c>
      <c r="E12" s="305">
        <f t="shared" ref="E12:E13" si="13">+D12*30</f>
        <v>1800</v>
      </c>
      <c r="F12" s="306" t="s">
        <v>273</v>
      </c>
      <c r="G12" s="306" t="str">
        <f t="shared" si="6"/>
        <v>Julio 2024</v>
      </c>
      <c r="H12" s="307">
        <f>+CC!C35</f>
        <v>6000000</v>
      </c>
      <c r="I12" s="308">
        <f>+$H$12*0.2</f>
        <v>1200000</v>
      </c>
      <c r="J12" s="308">
        <f t="shared" ref="J12:L12" si="14">+$H$12*0.2</f>
        <v>1200000</v>
      </c>
      <c r="K12" s="308">
        <f t="shared" si="14"/>
        <v>1200000</v>
      </c>
      <c r="L12" s="308">
        <f t="shared" si="14"/>
        <v>1200000</v>
      </c>
      <c r="M12" s="308">
        <f>+$H$12*0.2</f>
        <v>1200000</v>
      </c>
      <c r="N12" s="310">
        <f t="shared" si="7"/>
        <v>6000000</v>
      </c>
    </row>
    <row r="13" spans="1:22" ht="29.55" customHeight="1" thickBot="1" x14ac:dyDescent="0.35">
      <c r="A13" s="302">
        <f>+CC!A36</f>
        <v>1.8</v>
      </c>
      <c r="B13" s="303" t="str">
        <f>+CC!B36</f>
        <v>Estudios de Pre inversión</v>
      </c>
      <c r="C13" s="304" t="s">
        <v>272</v>
      </c>
      <c r="D13" s="305">
        <f t="shared" si="12"/>
        <v>60</v>
      </c>
      <c r="E13" s="305">
        <f t="shared" si="13"/>
        <v>1800</v>
      </c>
      <c r="F13" s="306" t="s">
        <v>273</v>
      </c>
      <c r="G13" s="332" t="str">
        <f>+C13</f>
        <v>Julio 2024</v>
      </c>
      <c r="H13" s="307">
        <f>+CC!C36</f>
        <v>3000000</v>
      </c>
      <c r="I13" s="308">
        <f>+$H$13*0.2</f>
        <v>600000</v>
      </c>
      <c r="J13" s="308">
        <f t="shared" ref="J13:M13" si="15">+$H$13*0.2</f>
        <v>600000</v>
      </c>
      <c r="K13" s="308">
        <f t="shared" si="15"/>
        <v>600000</v>
      </c>
      <c r="L13" s="308">
        <f t="shared" si="15"/>
        <v>600000</v>
      </c>
      <c r="M13" s="308">
        <f t="shared" si="15"/>
        <v>600000</v>
      </c>
      <c r="N13" s="310">
        <f t="shared" si="7"/>
        <v>3000000</v>
      </c>
    </row>
    <row r="14" spans="1:22" ht="33.75" customHeight="1" x14ac:dyDescent="0.3">
      <c r="A14" s="299">
        <v>2</v>
      </c>
      <c r="B14" s="312" t="str">
        <f>+CC!B37</f>
        <v>Componente 2. Fortalecimiento Institucional</v>
      </c>
      <c r="C14" s="313"/>
      <c r="D14" s="313"/>
      <c r="E14" s="313"/>
      <c r="F14" s="313"/>
      <c r="G14" s="331"/>
      <c r="H14" s="314">
        <f>+SUM(H15:H16)</f>
        <v>3000000</v>
      </c>
      <c r="I14" s="314">
        <f t="shared" ref="I14:N14" si="16">+SUM(I15:I16)</f>
        <v>610000</v>
      </c>
      <c r="J14" s="314">
        <f t="shared" si="16"/>
        <v>650000</v>
      </c>
      <c r="K14" s="314">
        <f t="shared" si="16"/>
        <v>580000</v>
      </c>
      <c r="L14" s="314">
        <f t="shared" si="16"/>
        <v>580000</v>
      </c>
      <c r="M14" s="314">
        <f t="shared" si="16"/>
        <v>580000</v>
      </c>
      <c r="N14" s="314">
        <f t="shared" si="16"/>
        <v>3000000</v>
      </c>
    </row>
    <row r="15" spans="1:22" ht="45.6" customHeight="1" x14ac:dyDescent="0.3">
      <c r="A15" s="302">
        <f>+CC!A38</f>
        <v>2.1</v>
      </c>
      <c r="B15" s="303" t="str">
        <f>+CC!B38</f>
        <v>Diseño y ejecución de estrategia de capacitacion a provincias</v>
      </c>
      <c r="C15" s="304" t="s">
        <v>272</v>
      </c>
      <c r="D15" s="305">
        <f>12*5</f>
        <v>60</v>
      </c>
      <c r="E15" s="305">
        <f>+D15*30</f>
        <v>1800</v>
      </c>
      <c r="F15" s="306" t="s">
        <v>273</v>
      </c>
      <c r="G15" s="306" t="s">
        <v>266</v>
      </c>
      <c r="H15" s="307">
        <f>+CC!C38</f>
        <v>2900000</v>
      </c>
      <c r="I15" s="308">
        <f>+$H$15*0.2</f>
        <v>580000</v>
      </c>
      <c r="J15" s="308">
        <f t="shared" ref="J15:M15" si="17">+$H$15*0.2</f>
        <v>580000</v>
      </c>
      <c r="K15" s="308">
        <f t="shared" si="17"/>
        <v>580000</v>
      </c>
      <c r="L15" s="308">
        <f t="shared" si="17"/>
        <v>580000</v>
      </c>
      <c r="M15" s="308">
        <f t="shared" si="17"/>
        <v>580000</v>
      </c>
      <c r="N15" s="310">
        <f>+SUM(I15:M15)</f>
        <v>2900000</v>
      </c>
    </row>
    <row r="16" spans="1:22" ht="33.75" customHeight="1" thickBot="1" x14ac:dyDescent="0.35">
      <c r="A16" s="302">
        <f>+CC!A39</f>
        <v>2.2000000000000002</v>
      </c>
      <c r="B16" s="303" t="str">
        <f>+CC!B39</f>
        <v>Mejoras en sistemas de información FFFIR para gestión y supervisión de obras</v>
      </c>
      <c r="C16" s="304" t="s">
        <v>269</v>
      </c>
      <c r="D16" s="305">
        <f>12*5</f>
        <v>60</v>
      </c>
      <c r="E16" s="305">
        <f>+D16*30</f>
        <v>1800</v>
      </c>
      <c r="F16" s="306" t="s">
        <v>273</v>
      </c>
      <c r="G16" s="306" t="s">
        <v>266</v>
      </c>
      <c r="H16" s="307">
        <f>+CC!C39</f>
        <v>100000</v>
      </c>
      <c r="I16" s="308">
        <v>30000</v>
      </c>
      <c r="J16" s="308">
        <v>70000</v>
      </c>
      <c r="K16" s="309">
        <v>0</v>
      </c>
      <c r="L16" s="309">
        <v>0</v>
      </c>
      <c r="M16" s="309">
        <v>0</v>
      </c>
      <c r="N16" s="310">
        <f>+SUM(I16:M16)</f>
        <v>100000</v>
      </c>
    </row>
    <row r="17" spans="1:14" x14ac:dyDescent="0.3">
      <c r="A17" s="299"/>
      <c r="B17" s="312" t="str">
        <f>+CC!B40</f>
        <v>Administración y gestión del Programa</v>
      </c>
      <c r="C17" s="315"/>
      <c r="D17" s="315"/>
      <c r="E17" s="315"/>
      <c r="F17" s="315"/>
      <c r="G17" s="315"/>
      <c r="H17" s="314">
        <f>+SUM(H18:H20)</f>
        <v>4500000</v>
      </c>
      <c r="I17" s="314">
        <f>+SUM(I18:I20)</f>
        <v>890000</v>
      </c>
      <c r="J17" s="314">
        <f t="shared" ref="J17:N17" si="18">+SUM(J18:J20)</f>
        <v>890000</v>
      </c>
      <c r="K17" s="314">
        <f t="shared" si="18"/>
        <v>890000</v>
      </c>
      <c r="L17" s="314">
        <f t="shared" si="18"/>
        <v>890000</v>
      </c>
      <c r="M17" s="314">
        <f t="shared" si="18"/>
        <v>940000</v>
      </c>
      <c r="N17" s="314">
        <f t="shared" si="18"/>
        <v>4500000</v>
      </c>
    </row>
    <row r="18" spans="1:14" x14ac:dyDescent="0.3">
      <c r="A18" s="302"/>
      <c r="B18" s="303" t="str">
        <f>+CC!B41</f>
        <v>Administración del Programa</v>
      </c>
      <c r="C18" s="304" t="s">
        <v>272</v>
      </c>
      <c r="D18" s="305">
        <v>60</v>
      </c>
      <c r="E18" s="305">
        <f>+D18*30</f>
        <v>1800</v>
      </c>
      <c r="F18" s="306" t="str">
        <f>+F16</f>
        <v>Enero 2020</v>
      </c>
      <c r="G18" s="306" t="s">
        <v>266</v>
      </c>
      <c r="H18" s="307">
        <f>+CC!C41</f>
        <v>4000000</v>
      </c>
      <c r="I18" s="308">
        <f>+$H$18*0.2</f>
        <v>800000</v>
      </c>
      <c r="J18" s="308">
        <f t="shared" ref="J18:M18" si="19">+$H$18*0.2</f>
        <v>800000</v>
      </c>
      <c r="K18" s="308">
        <f t="shared" si="19"/>
        <v>800000</v>
      </c>
      <c r="L18" s="308">
        <f t="shared" si="19"/>
        <v>800000</v>
      </c>
      <c r="M18" s="308">
        <f t="shared" si="19"/>
        <v>800000</v>
      </c>
      <c r="N18" s="310">
        <f>+SUM(I18:M18)</f>
        <v>4000000</v>
      </c>
    </row>
    <row r="19" spans="1:14" x14ac:dyDescent="0.3">
      <c r="A19" s="302"/>
      <c r="B19" s="303" t="str">
        <f>+CC!B42</f>
        <v xml:space="preserve">Monitoreo y evaluación </v>
      </c>
      <c r="C19" s="304" t="s">
        <v>272</v>
      </c>
      <c r="D19" s="305">
        <v>60</v>
      </c>
      <c r="E19" s="305">
        <f t="shared" ref="E19:E20" si="20">+D19*30</f>
        <v>1800</v>
      </c>
      <c r="F19" s="306" t="s">
        <v>273</v>
      </c>
      <c r="G19" s="306" t="s">
        <v>266</v>
      </c>
      <c r="H19" s="307">
        <f>+CC!C42</f>
        <v>50000</v>
      </c>
      <c r="I19" s="308">
        <v>0</v>
      </c>
      <c r="J19" s="308">
        <v>0</v>
      </c>
      <c r="K19" s="309">
        <v>0</v>
      </c>
      <c r="L19" s="309">
        <v>0</v>
      </c>
      <c r="M19" s="309">
        <f>+H19</f>
        <v>50000</v>
      </c>
      <c r="N19" s="310">
        <f t="shared" ref="N19:N20" si="21">+SUM(I19:M19)</f>
        <v>50000</v>
      </c>
    </row>
    <row r="20" spans="1:14" ht="15" thickBot="1" x14ac:dyDescent="0.35">
      <c r="A20" s="302"/>
      <c r="B20" s="303" t="str">
        <f>+CC!B43</f>
        <v>Auditorías Financieras</v>
      </c>
      <c r="C20" s="304" t="s">
        <v>272</v>
      </c>
      <c r="D20" s="305">
        <v>60</v>
      </c>
      <c r="E20" s="305">
        <f t="shared" si="20"/>
        <v>1800</v>
      </c>
      <c r="F20" s="306" t="str">
        <f t="shared" ref="F20" si="22">+F18</f>
        <v>Enero 2020</v>
      </c>
      <c r="G20" s="306" t="s">
        <v>266</v>
      </c>
      <c r="H20" s="307">
        <f>+CC!C43</f>
        <v>450000</v>
      </c>
      <c r="I20" s="308">
        <f>+$H$20*0.2</f>
        <v>90000</v>
      </c>
      <c r="J20" s="308">
        <f t="shared" ref="J20:M20" si="23">+$H$20*0.2</f>
        <v>90000</v>
      </c>
      <c r="K20" s="308">
        <f t="shared" si="23"/>
        <v>90000</v>
      </c>
      <c r="L20" s="308">
        <f t="shared" si="23"/>
        <v>90000</v>
      </c>
      <c r="M20" s="308">
        <f t="shared" si="23"/>
        <v>90000</v>
      </c>
      <c r="N20" s="310">
        <f t="shared" si="21"/>
        <v>450000</v>
      </c>
    </row>
    <row r="21" spans="1:14" ht="15" thickBot="1" x14ac:dyDescent="0.35">
      <c r="A21" s="316"/>
      <c r="B21" s="317" t="s">
        <v>259</v>
      </c>
      <c r="C21" s="318"/>
      <c r="D21" s="318"/>
      <c r="E21" s="318"/>
      <c r="F21" s="318"/>
      <c r="G21" s="318"/>
      <c r="H21" s="319">
        <f>+SUM(H17+H14+H5)</f>
        <v>300000000</v>
      </c>
      <c r="I21" s="319">
        <f t="shared" ref="I21:M21" si="24">+SUM(I17+I14+I5)</f>
        <v>39800000</v>
      </c>
      <c r="J21" s="319">
        <f t="shared" si="24"/>
        <v>96540000</v>
      </c>
      <c r="K21" s="319">
        <f t="shared" si="24"/>
        <v>60945000</v>
      </c>
      <c r="L21" s="319">
        <f t="shared" si="24"/>
        <v>60945000</v>
      </c>
      <c r="M21" s="319">
        <f t="shared" si="24"/>
        <v>41770000</v>
      </c>
      <c r="N21" s="319">
        <f>+SUM(N17+N14+N5)</f>
        <v>300000000</v>
      </c>
    </row>
    <row r="23" spans="1:14" x14ac:dyDescent="0.3">
      <c r="B23" s="338"/>
    </row>
    <row r="25" spans="1:14" x14ac:dyDescent="0.3">
      <c r="D25" s="320"/>
      <c r="F25" s="321"/>
    </row>
    <row r="26" spans="1:14" x14ac:dyDescent="0.3">
      <c r="F26" s="321"/>
    </row>
  </sheetData>
  <mergeCells count="15">
    <mergeCell ref="A1:N1"/>
    <mergeCell ref="A2:N2"/>
    <mergeCell ref="A3:A4"/>
    <mergeCell ref="B3:B4"/>
    <mergeCell ref="C3:C4"/>
    <mergeCell ref="D3:D4"/>
    <mergeCell ref="E3:E4"/>
    <mergeCell ref="F3:G3"/>
    <mergeCell ref="H3:H4"/>
    <mergeCell ref="N3:N4"/>
    <mergeCell ref="I3:I4"/>
    <mergeCell ref="J3:J4"/>
    <mergeCell ref="K3:K4"/>
    <mergeCell ref="L3:L4"/>
    <mergeCell ref="M3:M4"/>
  </mergeCells>
  <pageMargins left="0.70866141732283472" right="0.70866141732283472" top="0.74803149606299213" bottom="0.74803149606299213" header="0.31496062992125984" footer="0.31496062992125984"/>
  <pageSetup paperSize="5" scale="7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T67"/>
  <sheetViews>
    <sheetView topLeftCell="B2" zoomScale="70" zoomScaleNormal="70" workbookViewId="0">
      <selection activeCell="I33" sqref="I33"/>
    </sheetView>
  </sheetViews>
  <sheetFormatPr defaultColWidth="9.21875" defaultRowHeight="14.4" x14ac:dyDescent="0.3"/>
  <cols>
    <col min="1" max="1" width="15.21875" style="237" customWidth="1"/>
    <col min="2" max="2" width="15.77734375" style="237" customWidth="1"/>
    <col min="3" max="3" width="17.77734375" style="237" customWidth="1"/>
    <col min="4" max="4" width="36.77734375" style="237" customWidth="1"/>
    <col min="5" max="6" width="12.77734375" style="237" customWidth="1"/>
    <col min="7" max="7" width="15.77734375" style="253" customWidth="1"/>
    <col min="8" max="8" width="15.77734375" style="254" customWidth="1"/>
    <col min="9" max="9" width="23.77734375" style="254" customWidth="1"/>
    <col min="10" max="10" width="27.5546875" style="237" customWidth="1"/>
    <col min="11" max="11" width="19.5546875" style="237" customWidth="1"/>
    <col min="12" max="12" width="15.5546875" style="237" customWidth="1"/>
    <col min="13" max="13" width="15" style="237" customWidth="1"/>
    <col min="14" max="14" width="14.77734375" style="237" customWidth="1"/>
    <col min="15" max="16" width="9.21875" style="237"/>
    <col min="17" max="17" width="68.5546875" style="237" hidden="1" customWidth="1"/>
    <col min="18" max="18" width="57.44140625" style="237" hidden="1" customWidth="1"/>
    <col min="19" max="16384" width="9.21875" style="237"/>
  </cols>
  <sheetData>
    <row r="1" spans="1:20" ht="16.2" thickBot="1" x14ac:dyDescent="0.35">
      <c r="A1" s="362" t="s">
        <v>61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4"/>
      <c r="O1" s="234"/>
      <c r="P1" s="234"/>
      <c r="Q1" s="235"/>
      <c r="R1" s="236"/>
      <c r="S1" s="234"/>
      <c r="T1" s="234"/>
    </row>
    <row r="2" spans="1:20" ht="15.6" x14ac:dyDescent="0.3">
      <c r="A2" s="365" t="s">
        <v>62</v>
      </c>
      <c r="B2" s="366"/>
      <c r="C2" s="366"/>
      <c r="D2" s="366"/>
      <c r="E2" s="366"/>
      <c r="F2" s="366"/>
      <c r="G2" s="366"/>
      <c r="H2" s="366"/>
      <c r="I2" s="366"/>
      <c r="J2" s="366"/>
      <c r="K2" s="366"/>
      <c r="L2" s="366"/>
      <c r="M2" s="366"/>
      <c r="N2" s="367"/>
      <c r="O2" s="234"/>
      <c r="P2" s="234"/>
      <c r="Q2" s="238" t="s">
        <v>63</v>
      </c>
      <c r="R2" s="236"/>
      <c r="S2" s="234"/>
      <c r="T2" s="234"/>
    </row>
    <row r="3" spans="1:20" x14ac:dyDescent="0.3">
      <c r="A3" s="368" t="s">
        <v>64</v>
      </c>
      <c r="B3" s="369" t="s">
        <v>65</v>
      </c>
      <c r="C3" s="369" t="s">
        <v>66</v>
      </c>
      <c r="D3" s="369" t="s">
        <v>67</v>
      </c>
      <c r="E3" s="369" t="s">
        <v>68</v>
      </c>
      <c r="F3" s="369" t="s">
        <v>69</v>
      </c>
      <c r="G3" s="370" t="s">
        <v>70</v>
      </c>
      <c r="H3" s="370"/>
      <c r="I3" s="370"/>
      <c r="J3" s="369" t="s">
        <v>71</v>
      </c>
      <c r="K3" s="369" t="s">
        <v>72</v>
      </c>
      <c r="L3" s="369" t="s">
        <v>73</v>
      </c>
      <c r="M3" s="369"/>
      <c r="N3" s="371" t="s">
        <v>74</v>
      </c>
      <c r="O3" s="234"/>
      <c r="P3" s="234"/>
      <c r="Q3" s="238" t="s">
        <v>75</v>
      </c>
      <c r="R3" s="236"/>
      <c r="S3" s="234"/>
      <c r="T3" s="234"/>
    </row>
    <row r="4" spans="1:20" ht="33" customHeight="1" x14ac:dyDescent="0.3">
      <c r="A4" s="368"/>
      <c r="B4" s="369"/>
      <c r="C4" s="369"/>
      <c r="D4" s="369"/>
      <c r="E4" s="369"/>
      <c r="F4" s="369"/>
      <c r="G4" s="239" t="s">
        <v>76</v>
      </c>
      <c r="H4" s="278" t="s">
        <v>77</v>
      </c>
      <c r="I4" s="278" t="s">
        <v>78</v>
      </c>
      <c r="J4" s="369"/>
      <c r="K4" s="369"/>
      <c r="L4" s="277" t="s">
        <v>79</v>
      </c>
      <c r="M4" s="277" t="s">
        <v>80</v>
      </c>
      <c r="N4" s="371"/>
      <c r="O4" s="234"/>
      <c r="P4" s="234"/>
      <c r="Q4" s="240" t="s">
        <v>81</v>
      </c>
      <c r="R4" s="236"/>
      <c r="S4" s="234"/>
      <c r="T4" s="234"/>
    </row>
    <row r="5" spans="1:20" ht="55.2" x14ac:dyDescent="0.3">
      <c r="A5" s="241" t="s">
        <v>82</v>
      </c>
      <c r="B5" s="242" t="str">
        <f>+'[2]Plan de Adquisiciones'!A11</f>
        <v>Obras de mejoramiento en red vial principal de la PBA</v>
      </c>
      <c r="C5" s="242" t="s">
        <v>83</v>
      </c>
      <c r="D5" s="242" t="s">
        <v>84</v>
      </c>
      <c r="E5" s="242" t="s">
        <v>4</v>
      </c>
      <c r="F5" s="242" t="s">
        <v>4</v>
      </c>
      <c r="G5" s="243" t="e">
        <f>+#REF!</f>
        <v>#REF!</v>
      </c>
      <c r="H5" s="244" t="e">
        <f>+G5/122000000</f>
        <v>#REF!</v>
      </c>
      <c r="I5" s="244">
        <v>0.25</v>
      </c>
      <c r="J5" s="242"/>
      <c r="K5" s="242" t="s">
        <v>81</v>
      </c>
      <c r="L5" s="242">
        <v>2017</v>
      </c>
      <c r="M5" s="242">
        <v>2018</v>
      </c>
      <c r="N5" s="245" t="s">
        <v>85</v>
      </c>
      <c r="O5" s="234"/>
      <c r="P5" s="234"/>
      <c r="Q5" s="238" t="s">
        <v>86</v>
      </c>
      <c r="R5" s="236"/>
      <c r="S5" s="234"/>
      <c r="T5" s="234"/>
    </row>
    <row r="6" spans="1:20" ht="69" x14ac:dyDescent="0.3">
      <c r="A6" s="241" t="s">
        <v>82</v>
      </c>
      <c r="B6" s="242" t="str">
        <f>+B5</f>
        <v>Obras de mejoramiento en red vial principal de la PBA</v>
      </c>
      <c r="C6" s="242" t="s">
        <v>87</v>
      </c>
      <c r="D6" s="242" t="s">
        <v>84</v>
      </c>
      <c r="E6" s="242" t="s">
        <v>4</v>
      </c>
      <c r="F6" s="242" t="s">
        <v>4</v>
      </c>
      <c r="G6" s="243" t="e">
        <f>+#REF!</f>
        <v>#REF!</v>
      </c>
      <c r="H6" s="244" t="e">
        <f>+G6/122000000</f>
        <v>#REF!</v>
      </c>
      <c r="I6" s="244">
        <v>0.26</v>
      </c>
      <c r="J6" s="242"/>
      <c r="K6" s="242" t="s">
        <v>81</v>
      </c>
      <c r="L6" s="242">
        <v>2017</v>
      </c>
      <c r="M6" s="242">
        <v>2018</v>
      </c>
      <c r="N6" s="245" t="str">
        <f>+N5</f>
        <v xml:space="preserve">A licitarse ad referéndum de la aprobación del préstamo </v>
      </c>
      <c r="O6" s="234"/>
      <c r="P6" s="234"/>
      <c r="Q6" s="238" t="s">
        <v>88</v>
      </c>
      <c r="R6" s="236"/>
      <c r="S6" s="234"/>
      <c r="T6" s="234"/>
    </row>
    <row r="7" spans="1:20" x14ac:dyDescent="0.3">
      <c r="A7" s="246"/>
      <c r="B7" s="242"/>
      <c r="C7" s="242"/>
      <c r="D7" s="242"/>
      <c r="E7" s="242"/>
      <c r="F7" s="242"/>
      <c r="G7" s="243"/>
      <c r="H7" s="247"/>
      <c r="I7" s="247"/>
      <c r="J7" s="242"/>
      <c r="K7" s="242"/>
      <c r="L7" s="242"/>
      <c r="M7" s="242"/>
      <c r="N7" s="245"/>
      <c r="O7" s="234"/>
      <c r="P7" s="234"/>
      <c r="Q7" s="238" t="s">
        <v>89</v>
      </c>
      <c r="R7" s="236"/>
      <c r="S7" s="234"/>
      <c r="T7" s="234"/>
    </row>
    <row r="8" spans="1:20" x14ac:dyDescent="0.3">
      <c r="A8" s="246"/>
      <c r="B8" s="242"/>
      <c r="C8" s="242"/>
      <c r="D8" s="242"/>
      <c r="E8" s="242"/>
      <c r="F8" s="242"/>
      <c r="G8" s="243"/>
      <c r="H8" s="247"/>
      <c r="I8" s="247"/>
      <c r="J8" s="242"/>
      <c r="K8" s="242"/>
      <c r="L8" s="242"/>
      <c r="M8" s="242"/>
      <c r="N8" s="245"/>
      <c r="O8" s="234"/>
      <c r="P8" s="234"/>
      <c r="Q8" s="238" t="s">
        <v>90</v>
      </c>
      <c r="R8" s="236"/>
      <c r="S8" s="234"/>
      <c r="T8" s="234"/>
    </row>
    <row r="9" spans="1:20" ht="15" thickBot="1" x14ac:dyDescent="0.35">
      <c r="A9" s="248"/>
      <c r="B9" s="249"/>
      <c r="C9" s="249"/>
      <c r="D9" s="249"/>
      <c r="E9" s="249"/>
      <c r="F9" s="249"/>
      <c r="G9" s="250"/>
      <c r="H9" s="251"/>
      <c r="I9" s="251"/>
      <c r="J9" s="249"/>
      <c r="K9" s="249"/>
      <c r="L9" s="249"/>
      <c r="M9" s="249"/>
      <c r="N9" s="252"/>
      <c r="O9" s="234"/>
      <c r="P9" s="234"/>
      <c r="Q9" s="238" t="s">
        <v>91</v>
      </c>
      <c r="R9" s="236"/>
      <c r="S9" s="234"/>
      <c r="T9" s="234"/>
    </row>
    <row r="10" spans="1:20" ht="15" thickBot="1" x14ac:dyDescent="0.35">
      <c r="Q10" s="238" t="s">
        <v>92</v>
      </c>
      <c r="R10" s="240"/>
    </row>
    <row r="11" spans="1:20" ht="15.6" x14ac:dyDescent="0.3">
      <c r="A11" s="365" t="s">
        <v>93</v>
      </c>
      <c r="B11" s="366"/>
      <c r="C11" s="366"/>
      <c r="D11" s="366"/>
      <c r="E11" s="366"/>
      <c r="F11" s="366"/>
      <c r="G11" s="366"/>
      <c r="H11" s="366"/>
      <c r="I11" s="366"/>
      <c r="J11" s="366"/>
      <c r="K11" s="366"/>
      <c r="L11" s="366"/>
      <c r="M11" s="366"/>
      <c r="N11" s="367"/>
      <c r="O11" s="234"/>
      <c r="P11" s="234"/>
      <c r="Q11" s="238" t="s">
        <v>94</v>
      </c>
      <c r="R11" s="236"/>
      <c r="S11" s="234"/>
      <c r="T11" s="234"/>
    </row>
    <row r="12" spans="1:20" ht="15" customHeight="1" x14ac:dyDescent="0.3">
      <c r="A12" s="368" t="s">
        <v>64</v>
      </c>
      <c r="B12" s="369" t="s">
        <v>65</v>
      </c>
      <c r="C12" s="369" t="s">
        <v>66</v>
      </c>
      <c r="D12" s="369" t="s">
        <v>95</v>
      </c>
      <c r="E12" s="369" t="s">
        <v>68</v>
      </c>
      <c r="F12" s="369" t="s">
        <v>69</v>
      </c>
      <c r="G12" s="370" t="s">
        <v>70</v>
      </c>
      <c r="H12" s="370"/>
      <c r="I12" s="370"/>
      <c r="J12" s="369" t="s">
        <v>71</v>
      </c>
      <c r="K12" s="369" t="s">
        <v>72</v>
      </c>
      <c r="L12" s="369" t="s">
        <v>73</v>
      </c>
      <c r="M12" s="369"/>
      <c r="N12" s="371" t="s">
        <v>74</v>
      </c>
      <c r="O12" s="234"/>
      <c r="P12" s="234"/>
      <c r="Q12" s="238" t="s">
        <v>96</v>
      </c>
      <c r="R12" s="236"/>
      <c r="S12" s="234"/>
      <c r="T12" s="234"/>
    </row>
    <row r="13" spans="1:20" ht="36" customHeight="1" x14ac:dyDescent="0.3">
      <c r="A13" s="368"/>
      <c r="B13" s="369"/>
      <c r="C13" s="369"/>
      <c r="D13" s="369"/>
      <c r="E13" s="369"/>
      <c r="F13" s="369"/>
      <c r="G13" s="239" t="s">
        <v>76</v>
      </c>
      <c r="H13" s="278" t="s">
        <v>77</v>
      </c>
      <c r="I13" s="278" t="s">
        <v>78</v>
      </c>
      <c r="J13" s="369"/>
      <c r="K13" s="369"/>
      <c r="L13" s="277" t="s">
        <v>79</v>
      </c>
      <c r="M13" s="277" t="s">
        <v>80</v>
      </c>
      <c r="N13" s="371"/>
      <c r="O13" s="234"/>
      <c r="P13" s="234"/>
      <c r="Q13" s="235"/>
      <c r="R13" s="236"/>
      <c r="S13" s="234"/>
      <c r="T13" s="234"/>
    </row>
    <row r="14" spans="1:20" ht="55.2" x14ac:dyDescent="0.3">
      <c r="A14" s="241" t="s">
        <v>82</v>
      </c>
      <c r="B14" s="242" t="s">
        <v>97</v>
      </c>
      <c r="C14" s="242"/>
      <c r="D14" s="242" t="s">
        <v>98</v>
      </c>
      <c r="E14" s="242" t="s">
        <v>4</v>
      </c>
      <c r="F14" s="242" t="s">
        <v>4</v>
      </c>
      <c r="G14" s="243" t="e">
        <f>+#REF!</f>
        <v>#REF!</v>
      </c>
      <c r="H14" s="244">
        <v>1</v>
      </c>
      <c r="I14" s="247">
        <v>0</v>
      </c>
      <c r="J14" s="242"/>
      <c r="K14" s="242" t="s">
        <v>81</v>
      </c>
      <c r="L14" s="242">
        <v>2018</v>
      </c>
      <c r="M14" s="242">
        <v>2018</v>
      </c>
      <c r="N14" s="245"/>
      <c r="O14" s="234"/>
      <c r="P14" s="234"/>
      <c r="Q14" s="238" t="s">
        <v>84</v>
      </c>
      <c r="R14" s="236"/>
      <c r="S14" s="234"/>
      <c r="T14" s="234"/>
    </row>
    <row r="15" spans="1:20" x14ac:dyDescent="0.3">
      <c r="O15" s="234"/>
      <c r="P15" s="234"/>
      <c r="Q15" s="238" t="s">
        <v>99</v>
      </c>
      <c r="R15" s="236"/>
      <c r="S15" s="234"/>
      <c r="T15" s="234"/>
    </row>
    <row r="16" spans="1:20" x14ac:dyDescent="0.3">
      <c r="A16" s="246"/>
      <c r="B16" s="242"/>
      <c r="C16" s="242"/>
      <c r="D16" s="242"/>
      <c r="E16" s="242"/>
      <c r="F16" s="242"/>
      <c r="G16" s="243"/>
      <c r="H16" s="247"/>
      <c r="I16" s="247"/>
      <c r="J16" s="242"/>
      <c r="K16" s="242"/>
      <c r="L16" s="242"/>
      <c r="M16" s="242"/>
      <c r="N16" s="245"/>
      <c r="O16" s="234"/>
      <c r="P16" s="234"/>
      <c r="Q16" s="238" t="s">
        <v>98</v>
      </c>
      <c r="R16" s="236"/>
      <c r="S16" s="234"/>
      <c r="T16" s="234"/>
    </row>
    <row r="17" spans="1:20" x14ac:dyDescent="0.3">
      <c r="A17" s="246"/>
      <c r="B17" s="242"/>
      <c r="C17" s="242"/>
      <c r="D17" s="242"/>
      <c r="E17" s="242"/>
      <c r="F17" s="242"/>
      <c r="G17" s="243"/>
      <c r="H17" s="247"/>
      <c r="I17" s="247"/>
      <c r="J17" s="242"/>
      <c r="K17" s="242"/>
      <c r="L17" s="242"/>
      <c r="M17" s="242"/>
      <c r="N17" s="245"/>
      <c r="O17" s="234"/>
      <c r="P17" s="234"/>
      <c r="Q17" s="238" t="s">
        <v>100</v>
      </c>
      <c r="R17" s="236"/>
      <c r="S17" s="234"/>
      <c r="T17" s="234"/>
    </row>
    <row r="18" spans="1:20" ht="15" thickBot="1" x14ac:dyDescent="0.35">
      <c r="A18" s="248"/>
      <c r="B18" s="249"/>
      <c r="C18" s="249"/>
      <c r="D18" s="249"/>
      <c r="E18" s="249"/>
      <c r="F18" s="249"/>
      <c r="G18" s="250"/>
      <c r="H18" s="251"/>
      <c r="I18" s="251"/>
      <c r="J18" s="249"/>
      <c r="K18" s="249"/>
      <c r="L18" s="249"/>
      <c r="M18" s="249"/>
      <c r="N18" s="252"/>
      <c r="O18" s="234"/>
      <c r="P18" s="234"/>
      <c r="Q18" s="238" t="s">
        <v>63</v>
      </c>
      <c r="R18" s="236"/>
      <c r="S18" s="234"/>
      <c r="T18" s="234"/>
    </row>
    <row r="19" spans="1:20" ht="15" thickBot="1" x14ac:dyDescent="0.35">
      <c r="Q19" s="238" t="s">
        <v>101</v>
      </c>
      <c r="R19" s="240"/>
    </row>
    <row r="20" spans="1:20" ht="15.6" x14ac:dyDescent="0.3">
      <c r="A20" s="365" t="s">
        <v>102</v>
      </c>
      <c r="B20" s="366"/>
      <c r="C20" s="366"/>
      <c r="D20" s="366"/>
      <c r="E20" s="366"/>
      <c r="F20" s="366"/>
      <c r="G20" s="366"/>
      <c r="H20" s="366"/>
      <c r="I20" s="366"/>
      <c r="J20" s="366"/>
      <c r="K20" s="366"/>
      <c r="L20" s="366"/>
      <c r="M20" s="366"/>
      <c r="N20" s="367"/>
      <c r="Q20" s="238" t="s">
        <v>103</v>
      </c>
      <c r="R20" s="240"/>
    </row>
    <row r="21" spans="1:20" ht="15" customHeight="1" x14ac:dyDescent="0.3">
      <c r="A21" s="368" t="s">
        <v>64</v>
      </c>
      <c r="B21" s="369" t="s">
        <v>65</v>
      </c>
      <c r="C21" s="369" t="s">
        <v>66</v>
      </c>
      <c r="D21" s="369" t="s">
        <v>95</v>
      </c>
      <c r="E21" s="369" t="s">
        <v>68</v>
      </c>
      <c r="F21" s="369" t="s">
        <v>69</v>
      </c>
      <c r="G21" s="370" t="s">
        <v>70</v>
      </c>
      <c r="H21" s="370"/>
      <c r="I21" s="370"/>
      <c r="J21" s="369" t="s">
        <v>71</v>
      </c>
      <c r="K21" s="369" t="s">
        <v>72</v>
      </c>
      <c r="L21" s="369" t="s">
        <v>73</v>
      </c>
      <c r="M21" s="369"/>
      <c r="N21" s="371" t="s">
        <v>74</v>
      </c>
      <c r="Q21" s="238" t="s">
        <v>104</v>
      </c>
      <c r="R21" s="240"/>
    </row>
    <row r="22" spans="1:20" ht="36.75" customHeight="1" x14ac:dyDescent="0.3">
      <c r="A22" s="368"/>
      <c r="B22" s="369"/>
      <c r="C22" s="369"/>
      <c r="D22" s="369"/>
      <c r="E22" s="369"/>
      <c r="F22" s="369"/>
      <c r="G22" s="239" t="s">
        <v>76</v>
      </c>
      <c r="H22" s="278" t="s">
        <v>77</v>
      </c>
      <c r="I22" s="278" t="s">
        <v>78</v>
      </c>
      <c r="J22" s="369"/>
      <c r="K22" s="369"/>
      <c r="L22" s="277" t="s">
        <v>105</v>
      </c>
      <c r="M22" s="277" t="s">
        <v>80</v>
      </c>
      <c r="N22" s="371"/>
      <c r="Q22" s="238" t="s">
        <v>106</v>
      </c>
      <c r="R22" s="240"/>
    </row>
    <row r="23" spans="1:20" x14ac:dyDescent="0.3">
      <c r="A23" s="246"/>
      <c r="B23" s="242"/>
      <c r="C23" s="242"/>
      <c r="D23" s="242"/>
      <c r="E23" s="242"/>
      <c r="F23" s="242"/>
      <c r="G23" s="243"/>
      <c r="H23" s="247"/>
      <c r="I23" s="247"/>
      <c r="J23" s="242"/>
      <c r="K23" s="242"/>
      <c r="L23" s="242"/>
      <c r="M23" s="242"/>
      <c r="N23" s="245"/>
      <c r="Q23" s="235"/>
      <c r="R23" s="240"/>
    </row>
    <row r="24" spans="1:20" x14ac:dyDescent="0.3">
      <c r="A24" s="246"/>
      <c r="B24" s="242"/>
      <c r="C24" s="242"/>
      <c r="D24" s="242"/>
      <c r="E24" s="242"/>
      <c r="F24" s="242"/>
      <c r="G24" s="243"/>
      <c r="H24" s="247"/>
      <c r="I24" s="247"/>
      <c r="J24" s="242"/>
      <c r="K24" s="242"/>
      <c r="L24" s="242"/>
      <c r="M24" s="242"/>
      <c r="N24" s="245"/>
      <c r="Q24" s="235"/>
      <c r="R24" s="240"/>
    </row>
    <row r="25" spans="1:20" x14ac:dyDescent="0.3">
      <c r="A25" s="246"/>
      <c r="B25" s="242"/>
      <c r="C25" s="242"/>
      <c r="D25" s="242"/>
      <c r="E25" s="242"/>
      <c r="F25" s="242"/>
      <c r="G25" s="243"/>
      <c r="H25" s="247"/>
      <c r="I25" s="247"/>
      <c r="J25" s="242"/>
      <c r="K25" s="242"/>
      <c r="L25" s="242"/>
      <c r="M25" s="242"/>
      <c r="N25" s="245"/>
      <c r="Q25" s="235"/>
      <c r="R25" s="240"/>
    </row>
    <row r="26" spans="1:20" x14ac:dyDescent="0.3">
      <c r="A26" s="246"/>
      <c r="B26" s="242"/>
      <c r="C26" s="242"/>
      <c r="D26" s="242"/>
      <c r="E26" s="242"/>
      <c r="F26" s="242"/>
      <c r="G26" s="243"/>
      <c r="H26" s="247"/>
      <c r="I26" s="247"/>
      <c r="J26" s="242"/>
      <c r="K26" s="242"/>
      <c r="L26" s="242"/>
      <c r="M26" s="242"/>
      <c r="N26" s="245"/>
      <c r="Q26" s="238" t="s">
        <v>107</v>
      </c>
      <c r="R26" s="240"/>
    </row>
    <row r="27" spans="1:20" ht="15" thickBot="1" x14ac:dyDescent="0.35">
      <c r="A27" s="248"/>
      <c r="B27" s="249"/>
      <c r="C27" s="249"/>
      <c r="D27" s="249"/>
      <c r="E27" s="249"/>
      <c r="F27" s="249"/>
      <c r="G27" s="250"/>
      <c r="H27" s="251"/>
      <c r="I27" s="251"/>
      <c r="J27" s="249"/>
      <c r="K27" s="249"/>
      <c r="L27" s="249"/>
      <c r="M27" s="249"/>
      <c r="N27" s="252"/>
      <c r="Q27" s="238" t="s">
        <v>108</v>
      </c>
      <c r="R27" s="240"/>
    </row>
    <row r="28" spans="1:20" ht="15" thickBot="1" x14ac:dyDescent="0.35">
      <c r="Q28" s="238" t="s">
        <v>109</v>
      </c>
      <c r="R28" s="240"/>
    </row>
    <row r="29" spans="1:20" ht="15.75" customHeight="1" x14ac:dyDescent="0.3">
      <c r="A29" s="365" t="s">
        <v>110</v>
      </c>
      <c r="B29" s="366"/>
      <c r="C29" s="366"/>
      <c r="D29" s="366"/>
      <c r="E29" s="366"/>
      <c r="F29" s="366"/>
      <c r="G29" s="366"/>
      <c r="H29" s="366"/>
      <c r="I29" s="366"/>
      <c r="J29" s="366"/>
      <c r="K29" s="366"/>
      <c r="L29" s="366"/>
      <c r="M29" s="366"/>
      <c r="N29" s="367"/>
      <c r="Q29" s="238" t="s">
        <v>100</v>
      </c>
      <c r="R29" s="240"/>
    </row>
    <row r="30" spans="1:20" ht="15" customHeight="1" x14ac:dyDescent="0.3">
      <c r="A30" s="368" t="s">
        <v>64</v>
      </c>
      <c r="B30" s="369" t="s">
        <v>65</v>
      </c>
      <c r="C30" s="369" t="s">
        <v>66</v>
      </c>
      <c r="D30" s="369" t="s">
        <v>95</v>
      </c>
      <c r="E30" s="372"/>
      <c r="F30" s="372"/>
      <c r="G30" s="370" t="s">
        <v>70</v>
      </c>
      <c r="H30" s="370"/>
      <c r="I30" s="370"/>
      <c r="J30" s="369" t="s">
        <v>71</v>
      </c>
      <c r="K30" s="369" t="s">
        <v>72</v>
      </c>
      <c r="L30" s="369" t="s">
        <v>73</v>
      </c>
      <c r="M30" s="369"/>
      <c r="N30" s="371" t="s">
        <v>74</v>
      </c>
      <c r="Q30" s="238" t="s">
        <v>63</v>
      </c>
      <c r="R30" s="240"/>
    </row>
    <row r="31" spans="1:20" ht="41.4" x14ac:dyDescent="0.3">
      <c r="A31" s="368"/>
      <c r="B31" s="369"/>
      <c r="C31" s="369"/>
      <c r="D31" s="369"/>
      <c r="E31" s="369" t="s">
        <v>69</v>
      </c>
      <c r="F31" s="369"/>
      <c r="G31" s="277" t="s">
        <v>76</v>
      </c>
      <c r="H31" s="239" t="s">
        <v>77</v>
      </c>
      <c r="I31" s="278" t="s">
        <v>78</v>
      </c>
      <c r="J31" s="369"/>
      <c r="K31" s="369"/>
      <c r="L31" s="277" t="s">
        <v>111</v>
      </c>
      <c r="M31" s="277" t="s">
        <v>80</v>
      </c>
      <c r="N31" s="371"/>
      <c r="Q31" s="238" t="s">
        <v>112</v>
      </c>
      <c r="R31" s="240"/>
    </row>
    <row r="32" spans="1:20" ht="55.2" x14ac:dyDescent="0.3">
      <c r="A32" s="241" t="s">
        <v>82</v>
      </c>
      <c r="B32" s="242" t="s">
        <v>113</v>
      </c>
      <c r="C32" s="242" t="s">
        <v>114</v>
      </c>
      <c r="D32" s="242" t="s">
        <v>107</v>
      </c>
      <c r="E32" s="242" t="s">
        <v>4</v>
      </c>
      <c r="F32" s="242" t="s">
        <v>4</v>
      </c>
      <c r="G32" s="255" t="e">
        <f>+#REF!</f>
        <v>#REF!</v>
      </c>
      <c r="H32" s="244">
        <v>1</v>
      </c>
      <c r="I32" s="247">
        <v>0</v>
      </c>
      <c r="J32" s="247"/>
      <c r="K32" s="242" t="s">
        <v>81</v>
      </c>
      <c r="L32" s="242">
        <v>2018</v>
      </c>
      <c r="M32" s="242">
        <v>2018</v>
      </c>
      <c r="N32" s="245"/>
      <c r="R32" s="235"/>
    </row>
    <row r="33" spans="1:18" ht="41.4" x14ac:dyDescent="0.3">
      <c r="A33" s="241" t="s">
        <v>82</v>
      </c>
      <c r="B33" s="242" t="s">
        <v>115</v>
      </c>
      <c r="C33" s="242" t="s">
        <v>116</v>
      </c>
      <c r="D33" s="242" t="s">
        <v>108</v>
      </c>
      <c r="E33" s="242" t="s">
        <v>4</v>
      </c>
      <c r="F33" s="242" t="s">
        <v>4</v>
      </c>
      <c r="G33" s="255" t="e">
        <f>+#REF!</f>
        <v>#REF!</v>
      </c>
      <c r="H33" s="244">
        <v>1</v>
      </c>
      <c r="I33" s="247">
        <v>0</v>
      </c>
      <c r="J33" s="247"/>
      <c r="K33" s="242" t="s">
        <v>81</v>
      </c>
      <c r="L33" s="242">
        <v>2018</v>
      </c>
      <c r="M33" s="242">
        <v>2018</v>
      </c>
      <c r="N33" s="245"/>
      <c r="R33" s="235"/>
    </row>
    <row r="34" spans="1:18" ht="55.2" x14ac:dyDescent="0.3">
      <c r="A34" s="241" t="s">
        <v>82</v>
      </c>
      <c r="B34" s="242" t="s">
        <v>115</v>
      </c>
      <c r="C34" s="242" t="s">
        <v>117</v>
      </c>
      <c r="D34" s="242" t="s">
        <v>108</v>
      </c>
      <c r="E34" s="242" t="s">
        <v>4</v>
      </c>
      <c r="F34" s="242" t="s">
        <v>4</v>
      </c>
      <c r="G34" s="255" t="e">
        <f>+#REF!</f>
        <v>#REF!</v>
      </c>
      <c r="H34" s="244">
        <v>1</v>
      </c>
      <c r="I34" s="247">
        <v>0</v>
      </c>
      <c r="J34" s="247"/>
      <c r="K34" s="242" t="s">
        <v>81</v>
      </c>
      <c r="L34" s="242">
        <v>2018</v>
      </c>
      <c r="M34" s="242">
        <v>2018</v>
      </c>
      <c r="N34" s="245"/>
      <c r="Q34" s="235"/>
      <c r="R34" s="235"/>
    </row>
    <row r="35" spans="1:18" ht="55.2" x14ac:dyDescent="0.3">
      <c r="A35" s="241" t="s">
        <v>82</v>
      </c>
      <c r="B35" s="242" t="s">
        <v>118</v>
      </c>
      <c r="C35" s="242" t="s">
        <v>119</v>
      </c>
      <c r="D35" s="242" t="s">
        <v>107</v>
      </c>
      <c r="E35" s="242" t="s">
        <v>4</v>
      </c>
      <c r="F35" s="242" t="s">
        <v>4</v>
      </c>
      <c r="G35" s="255" t="e">
        <f>+#REF!</f>
        <v>#REF!</v>
      </c>
      <c r="H35" s="247">
        <v>1</v>
      </c>
      <c r="I35" s="247">
        <v>0</v>
      </c>
      <c r="J35" s="247"/>
      <c r="K35" s="242" t="s">
        <v>81</v>
      </c>
      <c r="L35" s="242">
        <v>2018</v>
      </c>
      <c r="M35" s="242">
        <v>2018</v>
      </c>
      <c r="N35" s="245"/>
      <c r="Q35" s="235"/>
      <c r="R35" s="235"/>
    </row>
    <row r="36" spans="1:18" ht="55.2" x14ac:dyDescent="0.3">
      <c r="A36" s="241" t="s">
        <v>82</v>
      </c>
      <c r="B36" s="242" t="s">
        <v>118</v>
      </c>
      <c r="C36" s="242" t="s">
        <v>120</v>
      </c>
      <c r="D36" s="242" t="s">
        <v>107</v>
      </c>
      <c r="E36" s="242" t="s">
        <v>4</v>
      </c>
      <c r="F36" s="242" t="s">
        <v>4</v>
      </c>
      <c r="G36" s="255" t="e">
        <f>+#REF!</f>
        <v>#REF!</v>
      </c>
      <c r="H36" s="247">
        <v>1</v>
      </c>
      <c r="I36" s="247">
        <v>0</v>
      </c>
      <c r="J36" s="247"/>
      <c r="K36" s="242" t="s">
        <v>81</v>
      </c>
      <c r="L36" s="242">
        <v>2018</v>
      </c>
      <c r="M36" s="242">
        <v>2018</v>
      </c>
      <c r="N36" s="245"/>
      <c r="Q36" s="235"/>
      <c r="R36" s="235"/>
    </row>
    <row r="37" spans="1:18" ht="55.2" x14ac:dyDescent="0.3">
      <c r="A37" s="241" t="s">
        <v>82</v>
      </c>
      <c r="B37" s="256" t="s">
        <v>121</v>
      </c>
      <c r="C37" s="256" t="s">
        <v>122</v>
      </c>
      <c r="D37" s="256" t="s">
        <v>108</v>
      </c>
      <c r="E37" s="256" t="s">
        <v>4</v>
      </c>
      <c r="F37" s="242" t="s">
        <v>4</v>
      </c>
      <c r="G37" s="257" t="e">
        <f>+#REF!</f>
        <v>#REF!</v>
      </c>
      <c r="H37" s="258">
        <v>1</v>
      </c>
      <c r="I37" s="247">
        <v>0</v>
      </c>
      <c r="J37" s="258"/>
      <c r="K37" s="256" t="s">
        <v>81</v>
      </c>
      <c r="L37" s="242">
        <v>2018</v>
      </c>
      <c r="M37" s="242">
        <v>2018</v>
      </c>
      <c r="N37" s="259"/>
      <c r="Q37" s="235"/>
      <c r="R37" s="235"/>
    </row>
    <row r="38" spans="1:18" ht="69" x14ac:dyDescent="0.3">
      <c r="A38" s="241" t="s">
        <v>82</v>
      </c>
      <c r="B38" s="256" t="s">
        <v>121</v>
      </c>
      <c r="C38" s="256" t="s">
        <v>123</v>
      </c>
      <c r="D38" s="256" t="s">
        <v>108</v>
      </c>
      <c r="E38" s="256" t="s">
        <v>4</v>
      </c>
      <c r="F38" s="242" t="s">
        <v>4</v>
      </c>
      <c r="G38" s="257" t="e">
        <f>+#REF!</f>
        <v>#REF!</v>
      </c>
      <c r="H38" s="258">
        <v>1</v>
      </c>
      <c r="I38" s="247">
        <v>0</v>
      </c>
      <c r="J38" s="258"/>
      <c r="K38" s="256" t="s">
        <v>81</v>
      </c>
      <c r="L38" s="242">
        <v>2018</v>
      </c>
      <c r="M38" s="242">
        <v>2018</v>
      </c>
      <c r="N38" s="259"/>
      <c r="Q38" s="235"/>
      <c r="R38" s="235"/>
    </row>
    <row r="39" spans="1:18" ht="69.599999999999994" thickBot="1" x14ac:dyDescent="0.35">
      <c r="A39" s="241" t="s">
        <v>82</v>
      </c>
      <c r="B39" s="249" t="s">
        <v>124</v>
      </c>
      <c r="C39" s="249" t="s">
        <v>125</v>
      </c>
      <c r="D39" s="249" t="s">
        <v>107</v>
      </c>
      <c r="E39" s="249" t="s">
        <v>4</v>
      </c>
      <c r="F39" s="242" t="s">
        <v>4</v>
      </c>
      <c r="G39" s="257" t="e">
        <f>+#REF!</f>
        <v>#REF!</v>
      </c>
      <c r="H39" s="258">
        <v>1</v>
      </c>
      <c r="I39" s="247">
        <v>0</v>
      </c>
      <c r="J39" s="251"/>
      <c r="K39" s="249" t="s">
        <v>81</v>
      </c>
      <c r="L39" s="242">
        <v>2018</v>
      </c>
      <c r="M39" s="242">
        <v>2018</v>
      </c>
      <c r="N39" s="252"/>
      <c r="Q39" s="260" t="s">
        <v>126</v>
      </c>
      <c r="R39" s="260" t="s">
        <v>127</v>
      </c>
    </row>
    <row r="40" spans="1:18" ht="69.599999999999994" thickBot="1" x14ac:dyDescent="0.35">
      <c r="A40" s="241" t="s">
        <v>82</v>
      </c>
      <c r="B40" s="249" t="s">
        <v>124</v>
      </c>
      <c r="C40" s="249" t="s">
        <v>128</v>
      </c>
      <c r="D40" s="249" t="s">
        <v>107</v>
      </c>
      <c r="E40" s="249" t="s">
        <v>4</v>
      </c>
      <c r="F40" s="242" t="s">
        <v>4</v>
      </c>
      <c r="G40" s="257" t="e">
        <f>+#REF!</f>
        <v>#REF!</v>
      </c>
      <c r="H40" s="258">
        <v>1</v>
      </c>
      <c r="I40" s="247">
        <v>0</v>
      </c>
      <c r="J40" s="251"/>
      <c r="K40" s="249" t="s">
        <v>81</v>
      </c>
      <c r="L40" s="242">
        <v>2018</v>
      </c>
      <c r="M40" s="242">
        <v>2018</v>
      </c>
      <c r="N40" s="261"/>
      <c r="Q40" s="260"/>
      <c r="R40" s="260"/>
    </row>
    <row r="41" spans="1:18" ht="55.8" thickBot="1" x14ac:dyDescent="0.35">
      <c r="A41" s="241" t="s">
        <v>82</v>
      </c>
      <c r="B41" s="249" t="s">
        <v>129</v>
      </c>
      <c r="C41" s="249" t="s">
        <v>33</v>
      </c>
      <c r="D41" s="249" t="s">
        <v>108</v>
      </c>
      <c r="E41" s="249" t="s">
        <v>4</v>
      </c>
      <c r="F41" s="242" t="s">
        <v>4</v>
      </c>
      <c r="G41" s="257" t="e">
        <f>+#REF!</f>
        <v>#REF!</v>
      </c>
      <c r="H41" s="258">
        <v>1</v>
      </c>
      <c r="I41" s="247">
        <v>0</v>
      </c>
      <c r="J41" s="251"/>
      <c r="K41" s="249" t="s">
        <v>81</v>
      </c>
      <c r="L41" s="242">
        <v>2018</v>
      </c>
      <c r="M41" s="242">
        <v>2018</v>
      </c>
      <c r="N41" s="261"/>
      <c r="Q41" s="260"/>
      <c r="R41" s="260"/>
    </row>
    <row r="42" spans="1:18" ht="15" thickBot="1" x14ac:dyDescent="0.35">
      <c r="Q42" s="260" t="s">
        <v>130</v>
      </c>
      <c r="R42" s="260" t="s">
        <v>127</v>
      </c>
    </row>
    <row r="43" spans="1:18" ht="15.6" x14ac:dyDescent="0.3">
      <c r="A43" s="365" t="s">
        <v>131</v>
      </c>
      <c r="B43" s="366"/>
      <c r="C43" s="366"/>
      <c r="D43" s="366"/>
      <c r="E43" s="366"/>
      <c r="F43" s="366"/>
      <c r="G43" s="366"/>
      <c r="H43" s="366"/>
      <c r="I43" s="366"/>
      <c r="J43" s="366"/>
      <c r="K43" s="366"/>
      <c r="L43" s="366"/>
      <c r="M43" s="366"/>
      <c r="N43" s="367"/>
      <c r="Q43" s="260" t="s">
        <v>132</v>
      </c>
      <c r="R43" s="260" t="s">
        <v>127</v>
      </c>
    </row>
    <row r="44" spans="1:18" ht="15" customHeight="1" x14ac:dyDescent="0.3">
      <c r="A44" s="368" t="s">
        <v>64</v>
      </c>
      <c r="B44" s="369" t="s">
        <v>65</v>
      </c>
      <c r="C44" s="369" t="s">
        <v>66</v>
      </c>
      <c r="D44" s="369" t="s">
        <v>95</v>
      </c>
      <c r="E44" s="369" t="s">
        <v>69</v>
      </c>
      <c r="F44" s="370" t="s">
        <v>70</v>
      </c>
      <c r="G44" s="370"/>
      <c r="H44" s="370"/>
      <c r="I44" s="373" t="s">
        <v>133</v>
      </c>
      <c r="J44" s="369" t="s">
        <v>71</v>
      </c>
      <c r="K44" s="369" t="s">
        <v>72</v>
      </c>
      <c r="L44" s="369" t="s">
        <v>73</v>
      </c>
      <c r="M44" s="369"/>
      <c r="N44" s="371" t="s">
        <v>74</v>
      </c>
      <c r="Q44" s="260" t="s">
        <v>126</v>
      </c>
      <c r="R44" s="260" t="s">
        <v>134</v>
      </c>
    </row>
    <row r="45" spans="1:18" ht="41.4" x14ac:dyDescent="0.3">
      <c r="A45" s="368"/>
      <c r="B45" s="369"/>
      <c r="C45" s="369"/>
      <c r="D45" s="369"/>
      <c r="E45" s="369"/>
      <c r="F45" s="277" t="s">
        <v>76</v>
      </c>
      <c r="G45" s="239" t="s">
        <v>77</v>
      </c>
      <c r="H45" s="278" t="s">
        <v>78</v>
      </c>
      <c r="I45" s="373"/>
      <c r="J45" s="369"/>
      <c r="K45" s="369"/>
      <c r="L45" s="277" t="s">
        <v>135</v>
      </c>
      <c r="M45" s="277" t="s">
        <v>136</v>
      </c>
      <c r="N45" s="371"/>
      <c r="Q45" s="260" t="s">
        <v>130</v>
      </c>
      <c r="R45" s="260" t="s">
        <v>134</v>
      </c>
    </row>
    <row r="46" spans="1:18" ht="96.6" x14ac:dyDescent="0.3">
      <c r="A46" s="241" t="s">
        <v>82</v>
      </c>
      <c r="B46" s="242" t="s">
        <v>23</v>
      </c>
      <c r="C46" s="242" t="s">
        <v>137</v>
      </c>
      <c r="D46" s="242" t="s">
        <v>109</v>
      </c>
      <c r="E46" s="242" t="s">
        <v>4</v>
      </c>
      <c r="F46" s="255" t="e">
        <f>+#REF!</f>
        <v>#REF!</v>
      </c>
      <c r="G46" s="247">
        <v>1</v>
      </c>
      <c r="H46" s="247">
        <v>0</v>
      </c>
      <c r="I46" s="255">
        <v>4</v>
      </c>
      <c r="J46" s="242"/>
      <c r="K46" s="242" t="s">
        <v>75</v>
      </c>
      <c r="L46" s="242">
        <v>2017</v>
      </c>
      <c r="M46" s="242">
        <v>2018</v>
      </c>
      <c r="N46" s="245"/>
      <c r="Q46" s="260"/>
      <c r="R46" s="260" t="s">
        <v>138</v>
      </c>
    </row>
    <row r="47" spans="1:18" x14ac:dyDescent="0.3">
      <c r="A47" s="246"/>
      <c r="B47" s="242"/>
      <c r="C47" s="242"/>
      <c r="D47" s="242"/>
      <c r="E47" s="242"/>
      <c r="F47" s="242"/>
      <c r="G47" s="243"/>
      <c r="H47" s="247"/>
      <c r="I47" s="247"/>
      <c r="J47" s="242"/>
      <c r="K47" s="242"/>
      <c r="L47" s="242"/>
      <c r="M47" s="242"/>
      <c r="N47" s="245"/>
      <c r="Q47" s="260"/>
      <c r="R47" s="260" t="s">
        <v>138</v>
      </c>
    </row>
    <row r="48" spans="1:18" x14ac:dyDescent="0.3">
      <c r="A48" s="246"/>
      <c r="B48" s="242"/>
      <c r="C48" s="242"/>
      <c r="D48" s="242"/>
      <c r="E48" s="242"/>
      <c r="F48" s="242"/>
      <c r="G48" s="243"/>
      <c r="H48" s="247"/>
      <c r="I48" s="247"/>
      <c r="J48" s="242"/>
      <c r="K48" s="242"/>
      <c r="L48" s="242"/>
      <c r="M48" s="242"/>
      <c r="N48" s="245"/>
      <c r="Q48" s="260" t="s">
        <v>139</v>
      </c>
      <c r="R48" s="260" t="s">
        <v>138</v>
      </c>
    </row>
    <row r="49" spans="1:18" ht="15" thickBot="1" x14ac:dyDescent="0.35">
      <c r="A49" s="248"/>
      <c r="B49" s="249"/>
      <c r="C49" s="249"/>
      <c r="D49" s="249"/>
      <c r="E49" s="249"/>
      <c r="F49" s="249"/>
      <c r="G49" s="250"/>
      <c r="H49" s="251"/>
      <c r="I49" s="251"/>
      <c r="J49" s="249"/>
      <c r="K49" s="249"/>
      <c r="L49" s="249"/>
      <c r="M49" s="249"/>
      <c r="N49" s="252"/>
      <c r="Q49" s="260" t="s">
        <v>139</v>
      </c>
      <c r="R49" s="260" t="s">
        <v>140</v>
      </c>
    </row>
    <row r="50" spans="1:18" x14ac:dyDescent="0.3">
      <c r="Q50" s="260" t="s">
        <v>141</v>
      </c>
      <c r="R50" s="260" t="s">
        <v>140</v>
      </c>
    </row>
    <row r="51" spans="1:18" x14ac:dyDescent="0.3">
      <c r="Q51" s="235"/>
      <c r="R51" s="260" t="s">
        <v>134</v>
      </c>
    </row>
    <row r="52" spans="1:18" x14ac:dyDescent="0.3">
      <c r="Q52" s="235"/>
      <c r="R52" s="260"/>
    </row>
    <row r="53" spans="1:18" x14ac:dyDescent="0.3">
      <c r="Q53" s="235"/>
      <c r="R53" s="235"/>
    </row>
    <row r="54" spans="1:18" x14ac:dyDescent="0.3">
      <c r="Q54" s="260" t="s">
        <v>142</v>
      </c>
      <c r="R54" s="260" t="s">
        <v>138</v>
      </c>
    </row>
    <row r="55" spans="1:18" x14ac:dyDescent="0.3">
      <c r="Q55" s="235"/>
      <c r="R55" s="235"/>
    </row>
    <row r="56" spans="1:18" x14ac:dyDescent="0.3">
      <c r="Q56" s="260" t="s">
        <v>143</v>
      </c>
      <c r="R56" s="260" t="s">
        <v>140</v>
      </c>
    </row>
    <row r="57" spans="1:18" x14ac:dyDescent="0.3">
      <c r="Q57" s="260" t="s">
        <v>144</v>
      </c>
      <c r="R57" s="260" t="s">
        <v>140</v>
      </c>
    </row>
    <row r="58" spans="1:18" x14ac:dyDescent="0.3">
      <c r="Q58" s="235"/>
      <c r="R58" s="235"/>
    </row>
    <row r="59" spans="1:18" x14ac:dyDescent="0.3">
      <c r="Q59" s="240"/>
      <c r="R59" s="240"/>
    </row>
    <row r="60" spans="1:18" x14ac:dyDescent="0.3">
      <c r="Q60" s="260" t="s">
        <v>139</v>
      </c>
      <c r="R60" s="235"/>
    </row>
    <row r="61" spans="1:18" x14ac:dyDescent="0.3">
      <c r="Q61" s="260" t="s">
        <v>145</v>
      </c>
      <c r="R61" s="235"/>
    </row>
    <row r="62" spans="1:18" x14ac:dyDescent="0.3">
      <c r="Q62" s="240"/>
      <c r="R62" s="240"/>
    </row>
    <row r="63" spans="1:18" x14ac:dyDescent="0.3">
      <c r="Q63" s="240"/>
      <c r="R63" s="240"/>
    </row>
    <row r="64" spans="1:18" x14ac:dyDescent="0.3">
      <c r="Q64" s="238" t="s">
        <v>109</v>
      </c>
      <c r="R64" s="235"/>
    </row>
    <row r="65" spans="17:18" x14ac:dyDescent="0.3">
      <c r="Q65" s="238" t="s">
        <v>100</v>
      </c>
      <c r="R65" s="235"/>
    </row>
    <row r="66" spans="17:18" x14ac:dyDescent="0.3">
      <c r="Q66" s="238" t="s">
        <v>146</v>
      </c>
      <c r="R66" s="235"/>
    </row>
    <row r="67" spans="17:18" x14ac:dyDescent="0.3">
      <c r="Q67" s="238" t="s">
        <v>63</v>
      </c>
      <c r="R67" s="240"/>
    </row>
  </sheetData>
  <mergeCells count="61">
    <mergeCell ref="L44:M44"/>
    <mergeCell ref="N44:N45"/>
    <mergeCell ref="D44:D45"/>
    <mergeCell ref="E44:E45"/>
    <mergeCell ref="I44:I45"/>
    <mergeCell ref="J44:J45"/>
    <mergeCell ref="K44:K45"/>
    <mergeCell ref="F44:H44"/>
    <mergeCell ref="G30:I30"/>
    <mergeCell ref="J30:J31"/>
    <mergeCell ref="K30:K31"/>
    <mergeCell ref="L30:M30"/>
    <mergeCell ref="N30:N31"/>
    <mergeCell ref="A30:A31"/>
    <mergeCell ref="B30:B31"/>
    <mergeCell ref="C30:C31"/>
    <mergeCell ref="D30:D31"/>
    <mergeCell ref="E30:F30"/>
    <mergeCell ref="E31:F31"/>
    <mergeCell ref="A44:A45"/>
    <mergeCell ref="B44:B45"/>
    <mergeCell ref="C44:C45"/>
    <mergeCell ref="A29:N29"/>
    <mergeCell ref="A21:A22"/>
    <mergeCell ref="B21:B22"/>
    <mergeCell ref="C21:C22"/>
    <mergeCell ref="D21:D22"/>
    <mergeCell ref="E21:E22"/>
    <mergeCell ref="F21:F22"/>
    <mergeCell ref="G21:I21"/>
    <mergeCell ref="J21:J22"/>
    <mergeCell ref="K21:K22"/>
    <mergeCell ref="L21:M21"/>
    <mergeCell ref="N21:N22"/>
    <mergeCell ref="A43:N43"/>
    <mergeCell ref="A20:N20"/>
    <mergeCell ref="K3:K4"/>
    <mergeCell ref="L3:M3"/>
    <mergeCell ref="N3:N4"/>
    <mergeCell ref="A11:N11"/>
    <mergeCell ref="A12:A13"/>
    <mergeCell ref="B12:B13"/>
    <mergeCell ref="C12:C13"/>
    <mergeCell ref="D12:D13"/>
    <mergeCell ref="E12:E13"/>
    <mergeCell ref="F12:F13"/>
    <mergeCell ref="G12:I12"/>
    <mergeCell ref="J12:J13"/>
    <mergeCell ref="K12:K13"/>
    <mergeCell ref="L12:M12"/>
    <mergeCell ref="N12:N13"/>
    <mergeCell ref="A1:N1"/>
    <mergeCell ref="A2:N2"/>
    <mergeCell ref="A3:A4"/>
    <mergeCell ref="B3:B4"/>
    <mergeCell ref="C3:C4"/>
    <mergeCell ref="D3:D4"/>
    <mergeCell ref="E3:E4"/>
    <mergeCell ref="F3:F4"/>
    <mergeCell ref="G3:I3"/>
    <mergeCell ref="J3:J4"/>
  </mergeCells>
  <dataValidations count="4">
    <dataValidation type="list" allowBlank="1" showInputMessage="1" showErrorMessage="1" sqref="D46:D49" xr:uid="{00000000-0002-0000-0700-000000000000}">
      <formula1>$Q$64:$Q$67</formula1>
    </dataValidation>
    <dataValidation type="list" allowBlank="1" showInputMessage="1" showErrorMessage="1" sqref="D32:D41" xr:uid="{00000000-0002-0000-0700-000001000000}">
      <formula1>$Q$26:$Q$31</formula1>
    </dataValidation>
    <dataValidation type="list" allowBlank="1" showInputMessage="1" showErrorMessage="1" sqref="K5:K9 K23:K27 K14 K16:K18 K32:K41 K46:K49" xr:uid="{00000000-0002-0000-0700-000002000000}">
      <formula1>$Q$2:$Q$4</formula1>
    </dataValidation>
    <dataValidation type="list" allowBlank="1" showInputMessage="1" showErrorMessage="1" sqref="D5:D9 D23:D27 D14 D16:D18" xr:uid="{00000000-0002-0000-0700-000003000000}">
      <formula1>$Q$14:$Q$22</formula1>
    </dataValidation>
  </dataValidations>
  <pageMargins left="0.7" right="0.7" top="0.75" bottom="0.75" header="0.3" footer="0.3"/>
  <pageSetup scale="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24"/>
  <sheetViews>
    <sheetView workbookViewId="0">
      <selection activeCell="C20" sqref="C20"/>
    </sheetView>
  </sheetViews>
  <sheetFormatPr defaultColWidth="9.21875" defaultRowHeight="14.4" x14ac:dyDescent="0.3"/>
  <cols>
    <col min="1" max="1" width="42.21875" style="237" customWidth="1"/>
    <col min="2" max="2" width="35.21875" style="237" customWidth="1"/>
    <col min="3" max="3" width="33.44140625" style="237" customWidth="1"/>
    <col min="4" max="5" width="9.21875" style="237"/>
    <col min="6" max="6" width="12.77734375" style="237" customWidth="1"/>
    <col min="7" max="7" width="9.77734375" style="237" customWidth="1"/>
    <col min="8" max="8" width="17.77734375" style="237" customWidth="1"/>
    <col min="9" max="16384" width="9.21875" style="237"/>
  </cols>
  <sheetData>
    <row r="1" spans="1:8" ht="15" thickBot="1" x14ac:dyDescent="0.35">
      <c r="A1" s="377" t="s">
        <v>147</v>
      </c>
      <c r="B1" s="377"/>
      <c r="C1" s="377"/>
    </row>
    <row r="2" spans="1:8" ht="15.6" x14ac:dyDescent="0.3">
      <c r="A2" s="374" t="s">
        <v>148</v>
      </c>
      <c r="B2" s="375"/>
      <c r="C2" s="376"/>
    </row>
    <row r="3" spans="1:8" ht="15.6" x14ac:dyDescent="0.3">
      <c r="A3" s="262" t="s">
        <v>149</v>
      </c>
      <c r="B3" s="263" t="s">
        <v>150</v>
      </c>
      <c r="C3" s="264" t="s">
        <v>151</v>
      </c>
    </row>
    <row r="4" spans="1:8" ht="15" thickBot="1" x14ac:dyDescent="0.35">
      <c r="A4" s="265" t="s">
        <v>152</v>
      </c>
      <c r="B4" s="279">
        <v>2018</v>
      </c>
      <c r="C4" s="280">
        <v>2021</v>
      </c>
    </row>
    <row r="5" spans="1:8" ht="15" thickBot="1" x14ac:dyDescent="0.35">
      <c r="A5" s="378"/>
      <c r="B5" s="378"/>
      <c r="C5" s="378"/>
    </row>
    <row r="6" spans="1:8" ht="15.6" x14ac:dyDescent="0.3">
      <c r="A6" s="374" t="s">
        <v>153</v>
      </c>
      <c r="B6" s="375"/>
      <c r="C6" s="376"/>
    </row>
    <row r="7" spans="1:8" ht="15" thickBot="1" x14ac:dyDescent="0.35">
      <c r="A7" s="265" t="s">
        <v>154</v>
      </c>
      <c r="B7" s="379"/>
      <c r="C7" s="380"/>
    </row>
    <row r="8" spans="1:8" ht="15" thickBot="1" x14ac:dyDescent="0.35">
      <c r="A8" s="378"/>
      <c r="B8" s="378"/>
      <c r="C8" s="378"/>
    </row>
    <row r="9" spans="1:8" ht="15.6" x14ac:dyDescent="0.3">
      <c r="A9" s="374" t="s">
        <v>155</v>
      </c>
      <c r="B9" s="375"/>
      <c r="C9" s="376"/>
    </row>
    <row r="10" spans="1:8" ht="31.2" x14ac:dyDescent="0.3">
      <c r="A10" s="262" t="s">
        <v>156</v>
      </c>
      <c r="B10" s="263" t="s">
        <v>157</v>
      </c>
      <c r="C10" s="264" t="s">
        <v>158</v>
      </c>
    </row>
    <row r="11" spans="1:8" x14ac:dyDescent="0.3">
      <c r="A11" s="266" t="s">
        <v>159</v>
      </c>
      <c r="B11" s="267" t="e">
        <f>+#REF!+#REF!</f>
        <v>#REF!</v>
      </c>
      <c r="C11" s="268" t="e">
        <f>+B11+#REF!+#REF!</f>
        <v>#REF!</v>
      </c>
      <c r="H11" s="269"/>
    </row>
    <row r="12" spans="1:8" x14ac:dyDescent="0.3">
      <c r="A12" s="266" t="s">
        <v>160</v>
      </c>
      <c r="B12" s="267" t="e">
        <f>+'Detalle Plan de Adquisiciones'!G14</f>
        <v>#REF!</v>
      </c>
      <c r="C12" s="268" t="e">
        <f>+B12</f>
        <v>#REF!</v>
      </c>
      <c r="F12" s="269"/>
    </row>
    <row r="13" spans="1:8" x14ac:dyDescent="0.3">
      <c r="A13" s="266" t="s">
        <v>161</v>
      </c>
      <c r="B13" s="267" t="e">
        <f>+'Detalle Plan de Adquisiciones'!F46</f>
        <v>#REF!</v>
      </c>
      <c r="C13" s="268" t="e">
        <f>+B13</f>
        <v>#REF!</v>
      </c>
    </row>
    <row r="14" spans="1:8" x14ac:dyDescent="0.3">
      <c r="A14" s="266" t="s">
        <v>162</v>
      </c>
      <c r="B14" s="267" t="e">
        <f>+'Detalle Plan de Adquisiciones'!G32+'Detalle Plan de Adquisiciones'!G33+'Detalle Plan de Adquisiciones'!G34+'Detalle Plan de Adquisiciones'!G35+'Detalle Plan de Adquisiciones'!G36+'Detalle Plan de Adquisiciones'!G37+'Detalle Plan de Adquisiciones'!G38+'Detalle Plan de Adquisiciones'!G39+'Detalle Plan de Adquisiciones'!G40+'Detalle Plan de Adquisiciones'!G41</f>
        <v>#REF!</v>
      </c>
      <c r="C14" s="268" t="e">
        <f>+B14</f>
        <v>#REF!</v>
      </c>
    </row>
    <row r="15" spans="1:8" ht="16.2" thickBot="1" x14ac:dyDescent="0.35">
      <c r="A15" s="270" t="s">
        <v>3</v>
      </c>
      <c r="B15" s="271" t="e">
        <f>SUM(B11:B14)</f>
        <v>#REF!</v>
      </c>
      <c r="C15" s="272" t="e">
        <f>SUM(C11:C14)</f>
        <v>#REF!</v>
      </c>
    </row>
    <row r="16" spans="1:8" ht="15" thickBot="1" x14ac:dyDescent="0.35"/>
    <row r="17" spans="1:8" ht="15.6" x14ac:dyDescent="0.3">
      <c r="A17" s="374" t="s">
        <v>163</v>
      </c>
      <c r="B17" s="375"/>
      <c r="C17" s="376"/>
    </row>
    <row r="18" spans="1:8" ht="31.2" x14ac:dyDescent="0.3">
      <c r="A18" s="262" t="s">
        <v>164</v>
      </c>
      <c r="B18" s="263" t="s">
        <v>157</v>
      </c>
      <c r="C18" s="264" t="s">
        <v>158</v>
      </c>
    </row>
    <row r="19" spans="1:8" x14ac:dyDescent="0.3">
      <c r="A19" s="273" t="s">
        <v>165</v>
      </c>
      <c r="B19" s="267" t="e">
        <f>+#REF!</f>
        <v>#REF!</v>
      </c>
      <c r="C19" s="268" t="e">
        <f>+B19++#REF!+#REF!</f>
        <v>#REF!</v>
      </c>
      <c r="H19" s="269"/>
    </row>
    <row r="20" spans="1:8" x14ac:dyDescent="0.3">
      <c r="A20" s="274" t="s">
        <v>166</v>
      </c>
      <c r="B20" s="267" t="e">
        <f>+#REF!+#REF!</f>
        <v>#REF!</v>
      </c>
      <c r="C20" s="268" t="e">
        <f>+B20</f>
        <v>#REF!</v>
      </c>
    </row>
    <row r="21" spans="1:8" ht="16.2" thickBot="1" x14ac:dyDescent="0.35">
      <c r="A21" s="270" t="s">
        <v>3</v>
      </c>
      <c r="B21" s="271" t="e">
        <f>SUM(B19:B20)</f>
        <v>#REF!</v>
      </c>
      <c r="C21" s="272" t="e">
        <f>+SUM(C19+C20)</f>
        <v>#REF!</v>
      </c>
    </row>
    <row r="22" spans="1:8" x14ac:dyDescent="0.3">
      <c r="B22" s="269"/>
    </row>
    <row r="24" spans="1:8" x14ac:dyDescent="0.3">
      <c r="A24" s="275"/>
    </row>
  </sheetData>
  <mergeCells count="8">
    <mergeCell ref="A9:C9"/>
    <mergeCell ref="A17:C17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GY82"/>
  <sheetViews>
    <sheetView topLeftCell="B1" zoomScale="55" zoomScaleNormal="55" workbookViewId="0">
      <selection activeCell="M12" sqref="M12"/>
    </sheetView>
  </sheetViews>
  <sheetFormatPr defaultColWidth="9.21875" defaultRowHeight="13.8" x14ac:dyDescent="0.25"/>
  <cols>
    <col min="1" max="1" width="6" style="104" hidden="1" customWidth="1"/>
    <col min="2" max="2" width="15.5546875" style="104" customWidth="1"/>
    <col min="3" max="3" width="38.77734375" style="106" customWidth="1"/>
    <col min="4" max="4" width="15.21875" style="107" customWidth="1"/>
    <col min="5" max="5" width="18" style="104" customWidth="1"/>
    <col min="6" max="6" width="9.44140625" style="104" customWidth="1"/>
    <col min="7" max="7" width="17" style="108" customWidth="1"/>
    <col min="8" max="8" width="16.21875" style="104" customWidth="1"/>
    <col min="9" max="9" width="11" style="104" customWidth="1"/>
    <col min="10" max="10" width="26.21875" style="104" customWidth="1"/>
    <col min="11" max="11" width="14.5546875" style="104" customWidth="1"/>
    <col min="12" max="12" width="17.77734375" style="109" customWidth="1"/>
    <col min="13" max="13" width="18.21875" style="109" customWidth="1"/>
    <col min="14" max="14" width="18.44140625" style="107" customWidth="1"/>
    <col min="15" max="15" width="34.21875" style="104" customWidth="1"/>
    <col min="16" max="16" width="21" style="104" customWidth="1"/>
    <col min="17" max="17" width="9.21875" style="110"/>
    <col min="18" max="18" width="68.5546875" style="110" hidden="1" customWidth="1"/>
    <col min="19" max="19" width="57.44140625" style="110" hidden="1" customWidth="1"/>
    <col min="20" max="207" width="9.21875" style="110"/>
    <col min="208" max="16384" width="9.21875" style="104"/>
  </cols>
  <sheetData>
    <row r="1" spans="1:207" x14ac:dyDescent="0.3">
      <c r="B1" s="105" t="s">
        <v>167</v>
      </c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  <c r="AJ1" s="104"/>
      <c r="AK1" s="104"/>
      <c r="AL1" s="104"/>
      <c r="AM1" s="104"/>
      <c r="AN1" s="104"/>
      <c r="AO1" s="104"/>
      <c r="AP1" s="104"/>
      <c r="AQ1" s="104"/>
      <c r="AR1" s="104"/>
      <c r="AS1" s="104"/>
      <c r="AT1" s="104"/>
      <c r="AU1" s="104"/>
      <c r="AV1" s="104"/>
      <c r="AW1" s="104"/>
      <c r="AX1" s="104"/>
      <c r="AY1" s="104"/>
      <c r="AZ1" s="104"/>
      <c r="BA1" s="104"/>
      <c r="BB1" s="104"/>
      <c r="BC1" s="104"/>
      <c r="BD1" s="104"/>
      <c r="BE1" s="104"/>
      <c r="BF1" s="104"/>
      <c r="BG1" s="104"/>
      <c r="BH1" s="104"/>
      <c r="BI1" s="104"/>
      <c r="BJ1" s="104"/>
      <c r="BK1" s="104"/>
      <c r="BL1" s="104"/>
      <c r="BM1" s="104"/>
      <c r="BN1" s="104"/>
      <c r="BO1" s="104"/>
      <c r="BP1" s="104"/>
      <c r="BQ1" s="104"/>
      <c r="BR1" s="104"/>
      <c r="BS1" s="104"/>
      <c r="BT1" s="104"/>
      <c r="BU1" s="104"/>
      <c r="BV1" s="104"/>
      <c r="BW1" s="104"/>
      <c r="BX1" s="104"/>
      <c r="BY1" s="104"/>
      <c r="BZ1" s="104"/>
      <c r="CA1" s="104"/>
      <c r="CB1" s="104"/>
      <c r="CC1" s="104"/>
      <c r="CD1" s="104"/>
      <c r="CE1" s="104"/>
      <c r="CF1" s="104"/>
      <c r="CG1" s="104"/>
      <c r="CH1" s="104"/>
      <c r="CI1" s="104"/>
      <c r="CJ1" s="104"/>
      <c r="CK1" s="104"/>
      <c r="CL1" s="104"/>
      <c r="CM1" s="104"/>
      <c r="CN1" s="104"/>
      <c r="CO1" s="104"/>
      <c r="CP1" s="104"/>
      <c r="CQ1" s="104"/>
      <c r="CR1" s="104"/>
      <c r="CS1" s="104"/>
      <c r="CT1" s="104"/>
      <c r="CU1" s="104"/>
      <c r="CV1" s="104"/>
      <c r="CW1" s="104"/>
      <c r="CX1" s="104"/>
      <c r="CY1" s="104"/>
      <c r="CZ1" s="104"/>
      <c r="DA1" s="104"/>
      <c r="DB1" s="104"/>
      <c r="DC1" s="104"/>
      <c r="DD1" s="104"/>
      <c r="DE1" s="104"/>
      <c r="DF1" s="104"/>
      <c r="DG1" s="104"/>
      <c r="DH1" s="104"/>
      <c r="DI1" s="104"/>
      <c r="DJ1" s="104"/>
      <c r="DK1" s="104"/>
      <c r="DL1" s="104"/>
      <c r="DM1" s="104"/>
      <c r="DN1" s="104"/>
      <c r="DO1" s="104"/>
      <c r="DP1" s="104"/>
      <c r="DQ1" s="104"/>
      <c r="DR1" s="104"/>
      <c r="DS1" s="104"/>
      <c r="DT1" s="104"/>
      <c r="DU1" s="104"/>
      <c r="DV1" s="104"/>
      <c r="DW1" s="104"/>
      <c r="DX1" s="104"/>
      <c r="DY1" s="104"/>
      <c r="DZ1" s="104"/>
      <c r="EA1" s="104"/>
      <c r="EB1" s="104"/>
      <c r="EC1" s="104"/>
      <c r="ED1" s="104"/>
      <c r="EE1" s="104"/>
      <c r="EF1" s="104"/>
      <c r="EG1" s="104"/>
      <c r="EH1" s="104"/>
      <c r="EI1" s="104"/>
      <c r="EJ1" s="104"/>
      <c r="EK1" s="104"/>
      <c r="EL1" s="104"/>
      <c r="EM1" s="104"/>
      <c r="EN1" s="104"/>
      <c r="EO1" s="104"/>
      <c r="EP1" s="104"/>
      <c r="EQ1" s="104"/>
      <c r="ER1" s="104"/>
      <c r="ES1" s="104"/>
      <c r="ET1" s="104"/>
      <c r="EU1" s="104"/>
      <c r="EV1" s="104"/>
      <c r="EW1" s="104"/>
      <c r="EX1" s="104"/>
      <c r="EY1" s="104"/>
      <c r="EZ1" s="104"/>
      <c r="FA1" s="104"/>
      <c r="FB1" s="104"/>
      <c r="FC1" s="104"/>
      <c r="FD1" s="104"/>
      <c r="FE1" s="104"/>
      <c r="FF1" s="104"/>
      <c r="FG1" s="104"/>
      <c r="FH1" s="104"/>
      <c r="FI1" s="104"/>
      <c r="FJ1" s="104"/>
      <c r="FK1" s="104"/>
      <c r="FL1" s="104"/>
      <c r="FM1" s="104"/>
      <c r="FN1" s="104"/>
      <c r="FO1" s="104"/>
      <c r="FP1" s="104"/>
      <c r="FQ1" s="104"/>
      <c r="FR1" s="104"/>
      <c r="FS1" s="104"/>
      <c r="FT1" s="104"/>
      <c r="FU1" s="104"/>
      <c r="FV1" s="104"/>
      <c r="FW1" s="104"/>
      <c r="FX1" s="104"/>
      <c r="FY1" s="104"/>
      <c r="FZ1" s="104"/>
      <c r="GA1" s="104"/>
      <c r="GB1" s="104"/>
      <c r="GC1" s="104"/>
      <c r="GD1" s="104"/>
      <c r="GE1" s="104"/>
      <c r="GF1" s="104"/>
      <c r="GG1" s="104"/>
      <c r="GH1" s="104"/>
      <c r="GI1" s="104"/>
      <c r="GJ1" s="104"/>
      <c r="GK1" s="104"/>
      <c r="GL1" s="104"/>
      <c r="GM1" s="104"/>
      <c r="GN1" s="104"/>
      <c r="GO1" s="104"/>
      <c r="GP1" s="104"/>
      <c r="GQ1" s="104"/>
      <c r="GR1" s="104"/>
      <c r="GS1" s="104"/>
      <c r="GT1" s="104"/>
      <c r="GU1" s="104"/>
      <c r="GV1" s="104"/>
      <c r="GW1" s="104"/>
      <c r="GX1" s="104"/>
      <c r="GY1" s="104"/>
    </row>
    <row r="2" spans="1:207" x14ac:dyDescent="0.3">
      <c r="B2" s="105" t="s">
        <v>0</v>
      </c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  <c r="BI2" s="104"/>
      <c r="BJ2" s="104"/>
      <c r="BK2" s="104"/>
      <c r="BL2" s="104"/>
      <c r="BM2" s="104"/>
      <c r="BN2" s="104"/>
      <c r="BO2" s="104"/>
      <c r="BP2" s="104"/>
      <c r="BQ2" s="104"/>
      <c r="BR2" s="104"/>
      <c r="BS2" s="104"/>
      <c r="BT2" s="104"/>
      <c r="BU2" s="104"/>
      <c r="BV2" s="104"/>
      <c r="BW2" s="104"/>
      <c r="BX2" s="104"/>
      <c r="BY2" s="104"/>
      <c r="BZ2" s="104"/>
      <c r="CA2" s="104"/>
      <c r="CB2" s="104"/>
      <c r="CC2" s="104"/>
      <c r="CD2" s="104"/>
      <c r="CE2" s="104"/>
      <c r="CF2" s="104"/>
      <c r="CG2" s="104"/>
      <c r="CH2" s="104"/>
      <c r="CI2" s="104"/>
      <c r="CJ2" s="104"/>
      <c r="CK2" s="104"/>
      <c r="CL2" s="104"/>
      <c r="CM2" s="104"/>
      <c r="CN2" s="104"/>
      <c r="CO2" s="104"/>
      <c r="CP2" s="104"/>
      <c r="CQ2" s="104"/>
      <c r="CR2" s="104"/>
      <c r="CS2" s="104"/>
      <c r="CT2" s="104"/>
      <c r="CU2" s="104"/>
      <c r="CV2" s="104"/>
      <c r="CW2" s="104"/>
      <c r="CX2" s="104"/>
      <c r="CY2" s="104"/>
      <c r="CZ2" s="104"/>
      <c r="DA2" s="104"/>
      <c r="DB2" s="104"/>
      <c r="DC2" s="104"/>
      <c r="DD2" s="104"/>
      <c r="DE2" s="104"/>
      <c r="DF2" s="104"/>
      <c r="DG2" s="104"/>
      <c r="DH2" s="104"/>
      <c r="DI2" s="104"/>
      <c r="DJ2" s="104"/>
      <c r="DK2" s="104"/>
      <c r="DL2" s="104"/>
      <c r="DM2" s="104"/>
      <c r="DN2" s="104"/>
      <c r="DO2" s="104"/>
      <c r="DP2" s="104"/>
      <c r="DQ2" s="104"/>
      <c r="DR2" s="104"/>
      <c r="DS2" s="104"/>
      <c r="DT2" s="104"/>
      <c r="DU2" s="104"/>
      <c r="DV2" s="104"/>
      <c r="DW2" s="104"/>
      <c r="DX2" s="104"/>
      <c r="DY2" s="104"/>
      <c r="DZ2" s="104"/>
      <c r="EA2" s="104"/>
      <c r="EB2" s="104"/>
      <c r="EC2" s="104"/>
      <c r="ED2" s="104"/>
      <c r="EE2" s="104"/>
      <c r="EF2" s="104"/>
      <c r="EG2" s="104"/>
      <c r="EH2" s="104"/>
      <c r="EI2" s="104"/>
      <c r="EJ2" s="104"/>
      <c r="EK2" s="104"/>
      <c r="EL2" s="104"/>
      <c r="EM2" s="104"/>
      <c r="EN2" s="104"/>
      <c r="EO2" s="104"/>
      <c r="EP2" s="104"/>
      <c r="EQ2" s="104"/>
      <c r="ER2" s="104"/>
      <c r="ES2" s="104"/>
      <c r="ET2" s="104"/>
      <c r="EU2" s="104"/>
      <c r="EV2" s="104"/>
      <c r="EW2" s="104"/>
      <c r="EX2" s="104"/>
      <c r="EY2" s="104"/>
      <c r="EZ2" s="104"/>
      <c r="FA2" s="104"/>
      <c r="FB2" s="104"/>
      <c r="FC2" s="104"/>
      <c r="FD2" s="104"/>
      <c r="FE2" s="104"/>
      <c r="FF2" s="104"/>
      <c r="FG2" s="104"/>
      <c r="FH2" s="104"/>
      <c r="FI2" s="104"/>
      <c r="FJ2" s="104"/>
      <c r="FK2" s="104"/>
      <c r="FL2" s="104"/>
      <c r="FM2" s="104"/>
      <c r="FN2" s="104"/>
      <c r="FO2" s="104"/>
      <c r="FP2" s="104"/>
      <c r="FQ2" s="104"/>
      <c r="FR2" s="104"/>
      <c r="FS2" s="104"/>
      <c r="FT2" s="104"/>
      <c r="FU2" s="104"/>
      <c r="FV2" s="104"/>
      <c r="FW2" s="104"/>
      <c r="FX2" s="104"/>
      <c r="FY2" s="104"/>
      <c r="FZ2" s="104"/>
      <c r="GA2" s="104"/>
      <c r="GB2" s="104"/>
      <c r="GC2" s="104"/>
      <c r="GD2" s="104"/>
      <c r="GE2" s="104"/>
      <c r="GF2" s="104"/>
      <c r="GG2" s="104"/>
      <c r="GH2" s="104"/>
      <c r="GI2" s="104"/>
      <c r="GJ2" s="104"/>
      <c r="GK2" s="104"/>
      <c r="GL2" s="104"/>
      <c r="GM2" s="104"/>
      <c r="GN2" s="104"/>
      <c r="GO2" s="104"/>
      <c r="GP2" s="104"/>
      <c r="GQ2" s="104"/>
      <c r="GR2" s="104"/>
      <c r="GS2" s="104"/>
      <c r="GT2" s="104"/>
      <c r="GU2" s="104"/>
      <c r="GV2" s="104"/>
      <c r="GW2" s="104"/>
      <c r="GX2" s="104"/>
      <c r="GY2" s="104"/>
    </row>
    <row r="3" spans="1:207" x14ac:dyDescent="0.3">
      <c r="B3" s="111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4"/>
      <c r="AS3" s="104"/>
      <c r="AT3" s="104"/>
      <c r="AU3" s="104"/>
      <c r="AV3" s="104"/>
      <c r="AW3" s="104"/>
      <c r="AX3" s="104"/>
      <c r="AY3" s="104"/>
      <c r="AZ3" s="104"/>
      <c r="BA3" s="104"/>
      <c r="BB3" s="104"/>
      <c r="BC3" s="104"/>
      <c r="BD3" s="104"/>
      <c r="BE3" s="104"/>
      <c r="BF3" s="104"/>
      <c r="BG3" s="104"/>
      <c r="BH3" s="104"/>
      <c r="BI3" s="104"/>
      <c r="BJ3" s="104"/>
      <c r="BK3" s="104"/>
      <c r="BL3" s="104"/>
      <c r="BM3" s="104"/>
      <c r="BN3" s="104"/>
      <c r="BO3" s="104"/>
      <c r="BP3" s="104"/>
      <c r="BQ3" s="104"/>
      <c r="BR3" s="104"/>
      <c r="BS3" s="104"/>
      <c r="BT3" s="104"/>
      <c r="BU3" s="104"/>
      <c r="BV3" s="104"/>
      <c r="BW3" s="104"/>
      <c r="BX3" s="104"/>
      <c r="BY3" s="104"/>
      <c r="BZ3" s="104"/>
      <c r="CA3" s="104"/>
      <c r="CB3" s="104"/>
      <c r="CC3" s="104"/>
      <c r="CD3" s="104"/>
      <c r="CE3" s="104"/>
      <c r="CF3" s="104"/>
      <c r="CG3" s="104"/>
      <c r="CH3" s="104"/>
      <c r="CI3" s="104"/>
      <c r="CJ3" s="104"/>
      <c r="CK3" s="104"/>
      <c r="CL3" s="104"/>
      <c r="CM3" s="104"/>
      <c r="CN3" s="104"/>
      <c r="CO3" s="104"/>
      <c r="CP3" s="104"/>
      <c r="CQ3" s="104"/>
      <c r="CR3" s="104"/>
      <c r="CS3" s="104"/>
      <c r="CT3" s="104"/>
      <c r="CU3" s="104"/>
      <c r="CV3" s="104"/>
      <c r="CW3" s="104"/>
      <c r="CX3" s="104"/>
      <c r="CY3" s="104"/>
      <c r="CZ3" s="104"/>
      <c r="DA3" s="104"/>
      <c r="DB3" s="104"/>
      <c r="DC3" s="104"/>
      <c r="DD3" s="104"/>
      <c r="DE3" s="104"/>
      <c r="DF3" s="104"/>
      <c r="DG3" s="104"/>
      <c r="DH3" s="104"/>
      <c r="DI3" s="104"/>
      <c r="DJ3" s="104"/>
      <c r="DK3" s="104"/>
      <c r="DL3" s="104"/>
      <c r="DM3" s="104"/>
      <c r="DN3" s="104"/>
      <c r="DO3" s="104"/>
      <c r="DP3" s="104"/>
      <c r="DQ3" s="104"/>
      <c r="DR3" s="104"/>
      <c r="DS3" s="104"/>
      <c r="DT3" s="104"/>
      <c r="DU3" s="104"/>
      <c r="DV3" s="104"/>
      <c r="DW3" s="104"/>
      <c r="DX3" s="104"/>
      <c r="DY3" s="104"/>
      <c r="DZ3" s="104"/>
      <c r="EA3" s="104"/>
      <c r="EB3" s="104"/>
      <c r="EC3" s="104"/>
      <c r="ED3" s="104"/>
      <c r="EE3" s="104"/>
      <c r="EF3" s="104"/>
      <c r="EG3" s="104"/>
      <c r="EH3" s="104"/>
      <c r="EI3" s="104"/>
      <c r="EJ3" s="104"/>
      <c r="EK3" s="104"/>
      <c r="EL3" s="104"/>
      <c r="EM3" s="104"/>
      <c r="EN3" s="104"/>
      <c r="EO3" s="104"/>
      <c r="EP3" s="104"/>
      <c r="EQ3" s="104"/>
      <c r="ER3" s="104"/>
      <c r="ES3" s="104"/>
      <c r="ET3" s="104"/>
      <c r="EU3" s="104"/>
      <c r="EV3" s="104"/>
      <c r="EW3" s="104"/>
      <c r="EX3" s="104"/>
      <c r="EY3" s="104"/>
      <c r="EZ3" s="104"/>
      <c r="FA3" s="104"/>
      <c r="FB3" s="104"/>
      <c r="FC3" s="104"/>
      <c r="FD3" s="104"/>
      <c r="FE3" s="104"/>
      <c r="FF3" s="104"/>
      <c r="FG3" s="104"/>
      <c r="FH3" s="104"/>
      <c r="FI3" s="104"/>
      <c r="FJ3" s="104"/>
      <c r="FK3" s="104"/>
      <c r="FL3" s="104"/>
      <c r="FM3" s="104"/>
      <c r="FN3" s="104"/>
      <c r="FO3" s="104"/>
      <c r="FP3" s="104"/>
      <c r="FQ3" s="104"/>
      <c r="FR3" s="104"/>
      <c r="FS3" s="104"/>
      <c r="FT3" s="104"/>
      <c r="FU3" s="104"/>
      <c r="FV3" s="104"/>
      <c r="FW3" s="104"/>
      <c r="FX3" s="104"/>
      <c r="FY3" s="104"/>
      <c r="FZ3" s="104"/>
      <c r="GA3" s="104"/>
      <c r="GB3" s="104"/>
      <c r="GC3" s="104"/>
      <c r="GD3" s="104"/>
      <c r="GE3" s="104"/>
      <c r="GF3" s="104"/>
      <c r="GG3" s="104"/>
      <c r="GH3" s="104"/>
      <c r="GI3" s="104"/>
      <c r="GJ3" s="104"/>
      <c r="GK3" s="104"/>
      <c r="GL3" s="104"/>
      <c r="GM3" s="104"/>
      <c r="GN3" s="104"/>
      <c r="GO3" s="104"/>
      <c r="GP3" s="104"/>
      <c r="GQ3" s="104"/>
      <c r="GR3" s="104"/>
      <c r="GS3" s="104"/>
      <c r="GT3" s="104"/>
      <c r="GU3" s="104"/>
      <c r="GV3" s="104"/>
      <c r="GW3" s="104"/>
      <c r="GX3" s="104"/>
      <c r="GY3" s="104"/>
    </row>
    <row r="4" spans="1:207" x14ac:dyDescent="0.3">
      <c r="B4" s="214" t="e">
        <f>#REF!</f>
        <v>#REF!</v>
      </c>
      <c r="C4" s="346" t="s">
        <v>168</v>
      </c>
      <c r="D4" s="346"/>
      <c r="V4" s="104"/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  <c r="AT4" s="104"/>
      <c r="AU4" s="104"/>
      <c r="AV4" s="104"/>
      <c r="AW4" s="104"/>
      <c r="AX4" s="104"/>
      <c r="AY4" s="104"/>
      <c r="AZ4" s="104"/>
      <c r="BA4" s="104"/>
      <c r="BB4" s="104"/>
      <c r="BC4" s="104"/>
      <c r="BD4" s="104"/>
      <c r="BE4" s="104"/>
      <c r="BF4" s="104"/>
      <c r="BG4" s="104"/>
      <c r="BH4" s="104"/>
      <c r="BI4" s="104"/>
      <c r="BJ4" s="104"/>
      <c r="BK4" s="104"/>
      <c r="BL4" s="104"/>
      <c r="BM4" s="104"/>
      <c r="BN4" s="104"/>
      <c r="BO4" s="104"/>
      <c r="BP4" s="104"/>
      <c r="BQ4" s="104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4"/>
      <c r="CF4" s="104"/>
      <c r="CG4" s="104"/>
      <c r="CH4" s="104"/>
      <c r="CI4" s="104"/>
      <c r="CJ4" s="104"/>
      <c r="CK4" s="104"/>
      <c r="CL4" s="104"/>
      <c r="CM4" s="104"/>
      <c r="CN4" s="104"/>
      <c r="CO4" s="104"/>
      <c r="CP4" s="104"/>
      <c r="CQ4" s="104"/>
      <c r="CR4" s="104"/>
      <c r="CS4" s="104"/>
      <c r="CT4" s="104"/>
      <c r="CU4" s="104"/>
      <c r="CV4" s="104"/>
      <c r="CW4" s="104"/>
      <c r="CX4" s="104"/>
      <c r="CY4" s="104"/>
      <c r="CZ4" s="104"/>
      <c r="DA4" s="104"/>
      <c r="DB4" s="104"/>
      <c r="DC4" s="104"/>
      <c r="DD4" s="104"/>
      <c r="DE4" s="104"/>
      <c r="DF4" s="104"/>
      <c r="DG4" s="104"/>
      <c r="DH4" s="104"/>
      <c r="DI4" s="104"/>
      <c r="DJ4" s="104"/>
      <c r="DK4" s="104"/>
      <c r="DL4" s="104"/>
      <c r="DM4" s="104"/>
      <c r="DN4" s="104"/>
      <c r="DO4" s="104"/>
      <c r="DP4" s="104"/>
      <c r="DQ4" s="104"/>
      <c r="DR4" s="104"/>
      <c r="DS4" s="104"/>
      <c r="DT4" s="104"/>
      <c r="DU4" s="104"/>
      <c r="DV4" s="104"/>
      <c r="DW4" s="104"/>
      <c r="DX4" s="104"/>
      <c r="DY4" s="104"/>
      <c r="DZ4" s="104"/>
      <c r="EA4" s="104"/>
      <c r="EB4" s="104"/>
      <c r="EC4" s="104"/>
      <c r="ED4" s="104"/>
      <c r="EE4" s="104"/>
      <c r="EF4" s="104"/>
      <c r="EG4" s="104"/>
      <c r="EH4" s="104"/>
      <c r="EI4" s="104"/>
      <c r="EJ4" s="104"/>
      <c r="EK4" s="104"/>
      <c r="EL4" s="104"/>
      <c r="EM4" s="104"/>
      <c r="EN4" s="104"/>
      <c r="EO4" s="104"/>
      <c r="EP4" s="104"/>
      <c r="EQ4" s="104"/>
      <c r="ER4" s="104"/>
      <c r="ES4" s="104"/>
      <c r="ET4" s="104"/>
      <c r="EU4" s="104"/>
      <c r="EV4" s="104"/>
      <c r="EW4" s="104"/>
      <c r="EX4" s="104"/>
      <c r="EY4" s="104"/>
      <c r="EZ4" s="104"/>
      <c r="FA4" s="104"/>
      <c r="FB4" s="104"/>
      <c r="FC4" s="104"/>
      <c r="FD4" s="104"/>
      <c r="FE4" s="104"/>
      <c r="FF4" s="104"/>
      <c r="FG4" s="104"/>
      <c r="FH4" s="104"/>
      <c r="FI4" s="104"/>
      <c r="FJ4" s="104"/>
      <c r="FK4" s="104"/>
      <c r="FL4" s="104"/>
      <c r="FM4" s="104"/>
      <c r="FN4" s="104"/>
      <c r="FO4" s="104"/>
      <c r="FP4" s="104"/>
      <c r="FQ4" s="104"/>
      <c r="FR4" s="104"/>
      <c r="FS4" s="104"/>
      <c r="FT4" s="104"/>
      <c r="FU4" s="104"/>
      <c r="FV4" s="104"/>
      <c r="FW4" s="104"/>
      <c r="FX4" s="104"/>
      <c r="FY4" s="104"/>
      <c r="FZ4" s="104"/>
      <c r="GA4" s="104"/>
      <c r="GB4" s="104"/>
      <c r="GC4" s="104"/>
      <c r="GD4" s="104"/>
      <c r="GE4" s="104"/>
      <c r="GF4" s="104"/>
      <c r="GG4" s="104"/>
      <c r="GH4" s="104"/>
      <c r="GI4" s="104"/>
      <c r="GJ4" s="104"/>
      <c r="GK4" s="104"/>
      <c r="GL4" s="104"/>
      <c r="GM4" s="104"/>
      <c r="GN4" s="104"/>
      <c r="GO4" s="104"/>
      <c r="GP4" s="104"/>
      <c r="GQ4" s="104"/>
      <c r="GR4" s="104"/>
      <c r="GS4" s="104"/>
      <c r="GT4" s="104"/>
      <c r="GU4" s="104"/>
      <c r="GV4" s="104"/>
      <c r="GW4" s="104"/>
      <c r="GX4" s="104"/>
      <c r="GY4" s="104"/>
    </row>
    <row r="5" spans="1:207" x14ac:dyDescent="0.3">
      <c r="B5" s="111"/>
      <c r="V5" s="104"/>
      <c r="W5" s="104"/>
      <c r="X5" s="104"/>
      <c r="Y5" s="104"/>
      <c r="Z5" s="104"/>
      <c r="AA5" s="104"/>
      <c r="AB5" s="104"/>
      <c r="AC5" s="104"/>
      <c r="AD5" s="104"/>
      <c r="AE5" s="104"/>
      <c r="AF5" s="104"/>
      <c r="AG5" s="104"/>
      <c r="AH5" s="104"/>
      <c r="AI5" s="104"/>
      <c r="AJ5" s="104"/>
      <c r="AK5" s="104"/>
      <c r="AL5" s="104"/>
      <c r="AM5" s="104"/>
      <c r="AN5" s="104"/>
      <c r="AO5" s="104"/>
      <c r="AP5" s="104"/>
      <c r="AQ5" s="104"/>
      <c r="AR5" s="104"/>
      <c r="AS5" s="104"/>
      <c r="AT5" s="104"/>
      <c r="AU5" s="104"/>
      <c r="AV5" s="104"/>
      <c r="AW5" s="104"/>
      <c r="AX5" s="104"/>
      <c r="AY5" s="104"/>
      <c r="AZ5" s="104"/>
      <c r="BA5" s="104"/>
      <c r="BB5" s="104"/>
      <c r="BC5" s="104"/>
      <c r="BD5" s="104"/>
      <c r="BE5" s="104"/>
      <c r="BF5" s="104"/>
      <c r="BG5" s="104"/>
      <c r="BH5" s="104"/>
      <c r="BI5" s="104"/>
      <c r="BJ5" s="104"/>
      <c r="BK5" s="104"/>
      <c r="BL5" s="104"/>
      <c r="BM5" s="104"/>
      <c r="BN5" s="104"/>
      <c r="BO5" s="104"/>
      <c r="BP5" s="104"/>
      <c r="BQ5" s="104"/>
      <c r="BR5" s="104"/>
      <c r="BS5" s="104"/>
      <c r="BT5" s="104"/>
      <c r="BU5" s="104"/>
      <c r="BV5" s="104"/>
      <c r="BW5" s="104"/>
      <c r="BX5" s="104"/>
      <c r="BY5" s="104"/>
      <c r="BZ5" s="104"/>
      <c r="CA5" s="104"/>
      <c r="CB5" s="104"/>
      <c r="CC5" s="104"/>
      <c r="CD5" s="104"/>
      <c r="CE5" s="104"/>
      <c r="CF5" s="104"/>
      <c r="CG5" s="104"/>
      <c r="CH5" s="104"/>
      <c r="CI5" s="104"/>
      <c r="CJ5" s="104"/>
      <c r="CK5" s="104"/>
      <c r="CL5" s="104"/>
      <c r="CM5" s="104"/>
      <c r="CN5" s="104"/>
      <c r="CO5" s="104"/>
      <c r="CP5" s="104"/>
      <c r="CQ5" s="104"/>
      <c r="CR5" s="104"/>
      <c r="CS5" s="104"/>
      <c r="CT5" s="104"/>
      <c r="CU5" s="104"/>
      <c r="CV5" s="104"/>
      <c r="CW5" s="104"/>
      <c r="CX5" s="104"/>
      <c r="CY5" s="104"/>
      <c r="CZ5" s="104"/>
      <c r="DA5" s="104"/>
      <c r="DB5" s="104"/>
      <c r="DC5" s="104"/>
      <c r="DD5" s="104"/>
      <c r="DE5" s="104"/>
      <c r="DF5" s="104"/>
      <c r="DG5" s="104"/>
      <c r="DH5" s="104"/>
      <c r="DI5" s="104"/>
      <c r="DJ5" s="104"/>
      <c r="DK5" s="104"/>
      <c r="DL5" s="104"/>
      <c r="DM5" s="104"/>
      <c r="DN5" s="104"/>
      <c r="DO5" s="104"/>
      <c r="DP5" s="104"/>
      <c r="DQ5" s="104"/>
      <c r="DR5" s="104"/>
      <c r="DS5" s="104"/>
      <c r="DT5" s="104"/>
      <c r="DU5" s="104"/>
      <c r="DV5" s="104"/>
      <c r="DW5" s="104"/>
      <c r="DX5" s="104"/>
      <c r="DY5" s="104"/>
      <c r="DZ5" s="104"/>
      <c r="EA5" s="104"/>
      <c r="EB5" s="104"/>
      <c r="EC5" s="104"/>
      <c r="ED5" s="104"/>
      <c r="EE5" s="104"/>
      <c r="EF5" s="104"/>
      <c r="EG5" s="104"/>
      <c r="EH5" s="104"/>
      <c r="EI5" s="104"/>
      <c r="EJ5" s="104"/>
      <c r="EK5" s="104"/>
      <c r="EL5" s="104"/>
      <c r="EM5" s="104"/>
      <c r="EN5" s="104"/>
      <c r="EO5" s="104"/>
      <c r="EP5" s="104"/>
      <c r="EQ5" s="104"/>
      <c r="ER5" s="104"/>
      <c r="ES5" s="104"/>
      <c r="ET5" s="104"/>
      <c r="EU5" s="104"/>
      <c r="EV5" s="104"/>
      <c r="EW5" s="104"/>
      <c r="EX5" s="104"/>
      <c r="EY5" s="104"/>
      <c r="EZ5" s="104"/>
      <c r="FA5" s="104"/>
      <c r="FB5" s="104"/>
      <c r="FC5" s="104"/>
      <c r="FD5" s="104"/>
      <c r="FE5" s="104"/>
      <c r="FF5" s="104"/>
      <c r="FG5" s="104"/>
      <c r="FH5" s="104"/>
      <c r="FI5" s="104"/>
      <c r="FJ5" s="104"/>
      <c r="FK5" s="104"/>
      <c r="FL5" s="104"/>
      <c r="FM5" s="104"/>
      <c r="FN5" s="104"/>
      <c r="FO5" s="104"/>
      <c r="FP5" s="104"/>
      <c r="FQ5" s="104"/>
      <c r="FR5" s="104"/>
      <c r="FS5" s="104"/>
      <c r="FT5" s="104"/>
      <c r="FU5" s="104"/>
      <c r="FV5" s="104"/>
      <c r="FW5" s="104"/>
      <c r="FX5" s="104"/>
      <c r="FY5" s="104"/>
      <c r="FZ5" s="104"/>
      <c r="GA5" s="104"/>
      <c r="GB5" s="104"/>
      <c r="GC5" s="104"/>
      <c r="GD5" s="104"/>
      <c r="GE5" s="104"/>
      <c r="GF5" s="104"/>
      <c r="GG5" s="104"/>
      <c r="GH5" s="104"/>
      <c r="GI5" s="104"/>
      <c r="GJ5" s="104"/>
      <c r="GK5" s="104"/>
      <c r="GL5" s="104"/>
      <c r="GM5" s="104"/>
      <c r="GN5" s="104"/>
      <c r="GO5" s="104"/>
      <c r="GP5" s="104"/>
      <c r="GQ5" s="104"/>
      <c r="GR5" s="104"/>
      <c r="GS5" s="104"/>
      <c r="GT5" s="104"/>
      <c r="GU5" s="104"/>
      <c r="GV5" s="104"/>
      <c r="GW5" s="104"/>
      <c r="GX5" s="104"/>
      <c r="GY5" s="104"/>
    </row>
    <row r="6" spans="1:207" x14ac:dyDescent="0.3">
      <c r="B6" s="105" t="s">
        <v>34</v>
      </c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  <c r="AK6" s="104"/>
      <c r="AL6" s="104"/>
      <c r="AM6" s="104"/>
      <c r="AN6" s="104"/>
      <c r="AO6" s="104"/>
      <c r="AP6" s="104"/>
      <c r="AQ6" s="104"/>
      <c r="AR6" s="104"/>
      <c r="AS6" s="104"/>
      <c r="AT6" s="104"/>
      <c r="AU6" s="104"/>
      <c r="AV6" s="104"/>
      <c r="AW6" s="104"/>
      <c r="AX6" s="104"/>
      <c r="AY6" s="104"/>
      <c r="AZ6" s="104"/>
      <c r="BA6" s="104"/>
      <c r="BB6" s="104"/>
      <c r="BC6" s="104"/>
      <c r="BD6" s="104"/>
      <c r="BE6" s="104"/>
      <c r="BF6" s="104"/>
      <c r="BG6" s="104"/>
      <c r="BH6" s="104"/>
      <c r="BI6" s="104"/>
      <c r="BJ6" s="104"/>
      <c r="BK6" s="104"/>
      <c r="BL6" s="104"/>
      <c r="BM6" s="104"/>
      <c r="BN6" s="104"/>
      <c r="BO6" s="104"/>
      <c r="BP6" s="104"/>
      <c r="BQ6" s="104"/>
      <c r="BR6" s="104"/>
      <c r="BS6" s="104"/>
      <c r="BT6" s="104"/>
      <c r="BU6" s="104"/>
      <c r="BV6" s="104"/>
      <c r="BW6" s="104"/>
      <c r="BX6" s="104"/>
      <c r="BY6" s="104"/>
      <c r="BZ6" s="104"/>
      <c r="CA6" s="104"/>
      <c r="CB6" s="104"/>
      <c r="CC6" s="104"/>
      <c r="CD6" s="104"/>
      <c r="CE6" s="104"/>
      <c r="CF6" s="104"/>
      <c r="CG6" s="104"/>
      <c r="CH6" s="104"/>
      <c r="CI6" s="104"/>
      <c r="CJ6" s="104"/>
      <c r="CK6" s="104"/>
      <c r="CL6" s="104"/>
      <c r="CM6" s="104"/>
      <c r="CN6" s="104"/>
      <c r="CO6" s="104"/>
      <c r="CP6" s="104"/>
      <c r="CQ6" s="104"/>
      <c r="CR6" s="104"/>
      <c r="CS6" s="104"/>
      <c r="CT6" s="104"/>
      <c r="CU6" s="104"/>
      <c r="CV6" s="104"/>
      <c r="CW6" s="104"/>
      <c r="CX6" s="104"/>
      <c r="CY6" s="104"/>
      <c r="CZ6" s="104"/>
      <c r="DA6" s="104"/>
      <c r="DB6" s="104"/>
      <c r="DC6" s="104"/>
      <c r="DD6" s="104"/>
      <c r="DE6" s="104"/>
      <c r="DF6" s="104"/>
      <c r="DG6" s="104"/>
      <c r="DH6" s="104"/>
      <c r="DI6" s="104"/>
      <c r="DJ6" s="104"/>
      <c r="DK6" s="104"/>
      <c r="DL6" s="104"/>
      <c r="DM6" s="104"/>
      <c r="DN6" s="104"/>
      <c r="DO6" s="104"/>
      <c r="DP6" s="104"/>
      <c r="DQ6" s="104"/>
      <c r="DR6" s="104"/>
      <c r="DS6" s="104"/>
      <c r="DT6" s="104"/>
      <c r="DU6" s="104"/>
      <c r="DV6" s="104"/>
      <c r="DW6" s="104"/>
      <c r="DX6" s="104"/>
      <c r="DY6" s="104"/>
      <c r="DZ6" s="104"/>
      <c r="EA6" s="104"/>
      <c r="EB6" s="104"/>
      <c r="EC6" s="104"/>
      <c r="ED6" s="104"/>
      <c r="EE6" s="104"/>
      <c r="EF6" s="104"/>
      <c r="EG6" s="104"/>
      <c r="EH6" s="104"/>
      <c r="EI6" s="104"/>
      <c r="EJ6" s="104"/>
      <c r="EK6" s="104"/>
      <c r="EL6" s="104"/>
      <c r="EM6" s="104"/>
      <c r="EN6" s="104"/>
      <c r="EO6" s="104"/>
      <c r="EP6" s="104"/>
      <c r="EQ6" s="104"/>
      <c r="ER6" s="104"/>
      <c r="ES6" s="104"/>
      <c r="ET6" s="104"/>
      <c r="EU6" s="104"/>
      <c r="EV6" s="104"/>
      <c r="EW6" s="104"/>
      <c r="EX6" s="104"/>
      <c r="EY6" s="104"/>
      <c r="EZ6" s="104"/>
      <c r="FA6" s="104"/>
      <c r="FB6" s="104"/>
      <c r="FC6" s="104"/>
      <c r="FD6" s="104"/>
      <c r="FE6" s="104"/>
      <c r="FF6" s="104"/>
      <c r="FG6" s="104"/>
      <c r="FH6" s="104"/>
      <c r="FI6" s="104"/>
      <c r="FJ6" s="104"/>
      <c r="FK6" s="104"/>
      <c r="FL6" s="104"/>
      <c r="FM6" s="104"/>
      <c r="FN6" s="104"/>
      <c r="FO6" s="104"/>
      <c r="FP6" s="104"/>
      <c r="FQ6" s="104"/>
      <c r="FR6" s="104"/>
      <c r="FS6" s="104"/>
      <c r="FT6" s="104"/>
      <c r="FU6" s="104"/>
      <c r="FV6" s="104"/>
      <c r="FW6" s="104"/>
      <c r="FX6" s="104"/>
      <c r="FY6" s="104"/>
      <c r="FZ6" s="104"/>
      <c r="GA6" s="104"/>
      <c r="GB6" s="104"/>
      <c r="GC6" s="104"/>
      <c r="GD6" s="104"/>
      <c r="GE6" s="104"/>
      <c r="GF6" s="104"/>
      <c r="GG6" s="104"/>
      <c r="GH6" s="104"/>
      <c r="GI6" s="104"/>
      <c r="GJ6" s="104"/>
      <c r="GK6" s="104"/>
      <c r="GL6" s="104"/>
      <c r="GM6" s="104"/>
      <c r="GN6" s="104"/>
      <c r="GO6" s="104"/>
      <c r="GP6" s="104"/>
      <c r="GQ6" s="104"/>
      <c r="GR6" s="104"/>
      <c r="GS6" s="104"/>
      <c r="GT6" s="104"/>
      <c r="GU6" s="104"/>
      <c r="GV6" s="104"/>
      <c r="GW6" s="104"/>
      <c r="GX6" s="104"/>
      <c r="GY6" s="104"/>
    </row>
    <row r="7" spans="1:207" x14ac:dyDescent="0.3">
      <c r="B7" s="105"/>
      <c r="V7" s="104"/>
      <c r="W7" s="104"/>
      <c r="X7" s="104"/>
      <c r="Y7" s="104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4"/>
      <c r="AK7" s="104"/>
      <c r="AL7" s="104"/>
      <c r="AM7" s="104"/>
      <c r="AN7" s="104"/>
      <c r="AO7" s="104"/>
      <c r="AP7" s="104"/>
      <c r="AQ7" s="104"/>
      <c r="AR7" s="104"/>
      <c r="AS7" s="104"/>
      <c r="AT7" s="104"/>
      <c r="AU7" s="104"/>
      <c r="AV7" s="104"/>
      <c r="AW7" s="104"/>
      <c r="AX7" s="104"/>
      <c r="AY7" s="104"/>
      <c r="AZ7" s="104"/>
      <c r="BA7" s="104"/>
      <c r="BB7" s="104"/>
      <c r="BC7" s="104"/>
      <c r="BD7" s="104"/>
      <c r="BE7" s="104"/>
      <c r="BF7" s="104"/>
      <c r="BG7" s="104"/>
      <c r="BH7" s="104"/>
      <c r="BI7" s="104"/>
      <c r="BJ7" s="104"/>
      <c r="BK7" s="104"/>
      <c r="BL7" s="104"/>
      <c r="BM7" s="104"/>
      <c r="BN7" s="104"/>
      <c r="BO7" s="104"/>
      <c r="BP7" s="104"/>
      <c r="BQ7" s="104"/>
      <c r="BR7" s="104"/>
      <c r="BS7" s="104"/>
      <c r="BT7" s="104"/>
      <c r="BU7" s="104"/>
      <c r="BV7" s="104"/>
      <c r="BW7" s="104"/>
      <c r="BX7" s="104"/>
      <c r="BY7" s="104"/>
      <c r="BZ7" s="104"/>
      <c r="CA7" s="104"/>
      <c r="CB7" s="104"/>
      <c r="CC7" s="104"/>
      <c r="CD7" s="104"/>
      <c r="CE7" s="104"/>
      <c r="CF7" s="104"/>
      <c r="CG7" s="104"/>
      <c r="CH7" s="104"/>
      <c r="CI7" s="104"/>
      <c r="CJ7" s="104"/>
      <c r="CK7" s="104"/>
      <c r="CL7" s="104"/>
      <c r="CM7" s="104"/>
      <c r="CN7" s="104"/>
      <c r="CO7" s="104"/>
      <c r="CP7" s="104"/>
      <c r="CQ7" s="104"/>
      <c r="CR7" s="104"/>
      <c r="CS7" s="104"/>
      <c r="CT7" s="104"/>
      <c r="CU7" s="104"/>
      <c r="CV7" s="104"/>
      <c r="CW7" s="104"/>
      <c r="CX7" s="104"/>
      <c r="CY7" s="104"/>
      <c r="CZ7" s="104"/>
      <c r="DA7" s="104"/>
      <c r="DB7" s="104"/>
      <c r="DC7" s="104"/>
      <c r="DD7" s="104"/>
      <c r="DE7" s="104"/>
      <c r="DF7" s="104"/>
      <c r="DG7" s="104"/>
      <c r="DH7" s="104"/>
      <c r="DI7" s="104"/>
      <c r="DJ7" s="104"/>
      <c r="DK7" s="104"/>
      <c r="DL7" s="104"/>
      <c r="DM7" s="104"/>
      <c r="DN7" s="104"/>
      <c r="DO7" s="104"/>
      <c r="DP7" s="104"/>
      <c r="DQ7" s="104"/>
      <c r="DR7" s="104"/>
      <c r="DS7" s="104"/>
      <c r="DT7" s="104"/>
      <c r="DU7" s="104"/>
      <c r="DV7" s="104"/>
      <c r="DW7" s="104"/>
      <c r="DX7" s="104"/>
      <c r="DY7" s="104"/>
      <c r="DZ7" s="104"/>
      <c r="EA7" s="104"/>
      <c r="EB7" s="104"/>
      <c r="EC7" s="104"/>
      <c r="ED7" s="104"/>
      <c r="EE7" s="104"/>
      <c r="EF7" s="104"/>
      <c r="EG7" s="104"/>
      <c r="EH7" s="104"/>
      <c r="EI7" s="104"/>
      <c r="EJ7" s="104"/>
      <c r="EK7" s="104"/>
      <c r="EL7" s="104"/>
      <c r="EM7" s="104"/>
      <c r="EN7" s="104"/>
      <c r="EO7" s="104"/>
      <c r="EP7" s="104"/>
      <c r="EQ7" s="104"/>
      <c r="ER7" s="104"/>
      <c r="ES7" s="104"/>
      <c r="ET7" s="104"/>
      <c r="EU7" s="104"/>
      <c r="EV7" s="104"/>
      <c r="EW7" s="104"/>
      <c r="EX7" s="104"/>
      <c r="EY7" s="104"/>
      <c r="EZ7" s="104"/>
      <c r="FA7" s="104"/>
      <c r="FB7" s="104"/>
      <c r="FC7" s="104"/>
      <c r="FD7" s="104"/>
      <c r="FE7" s="104"/>
      <c r="FF7" s="104"/>
      <c r="FG7" s="104"/>
      <c r="FH7" s="104"/>
      <c r="FI7" s="104"/>
      <c r="FJ7" s="104"/>
      <c r="FK7" s="104"/>
      <c r="FL7" s="104"/>
      <c r="FM7" s="104"/>
      <c r="FN7" s="104"/>
      <c r="FO7" s="104"/>
      <c r="FP7" s="104"/>
      <c r="FQ7" s="104"/>
      <c r="FR7" s="104"/>
      <c r="FS7" s="104"/>
      <c r="FT7" s="104"/>
      <c r="FU7" s="104"/>
      <c r="FV7" s="104"/>
      <c r="FW7" s="104"/>
      <c r="FX7" s="104"/>
      <c r="FY7" s="104"/>
      <c r="FZ7" s="104"/>
      <c r="GA7" s="104"/>
      <c r="GB7" s="104"/>
      <c r="GC7" s="104"/>
      <c r="GD7" s="104"/>
      <c r="GE7" s="104"/>
      <c r="GF7" s="104"/>
      <c r="GG7" s="104"/>
      <c r="GH7" s="104"/>
      <c r="GI7" s="104"/>
      <c r="GJ7" s="104"/>
      <c r="GK7" s="104"/>
      <c r="GL7" s="104"/>
      <c r="GM7" s="104"/>
      <c r="GN7" s="104"/>
      <c r="GO7" s="104"/>
      <c r="GP7" s="104"/>
      <c r="GQ7" s="104"/>
      <c r="GR7" s="104"/>
      <c r="GS7" s="104"/>
      <c r="GT7" s="104"/>
      <c r="GU7" s="104"/>
      <c r="GV7" s="104"/>
      <c r="GW7" s="104"/>
      <c r="GX7" s="104"/>
      <c r="GY7" s="104"/>
    </row>
    <row r="8" spans="1:207" s="110" customFormat="1" x14ac:dyDescent="0.25">
      <c r="A8" s="104"/>
      <c r="B8" s="422" t="s">
        <v>61</v>
      </c>
      <c r="C8" s="423"/>
      <c r="D8" s="423"/>
      <c r="E8" s="423"/>
      <c r="F8" s="423"/>
      <c r="G8" s="423"/>
      <c r="H8" s="423"/>
      <c r="I8" s="423"/>
      <c r="J8" s="423"/>
      <c r="K8" s="423"/>
      <c r="L8" s="423"/>
      <c r="M8" s="423"/>
      <c r="N8" s="423"/>
      <c r="O8" s="424"/>
      <c r="P8" s="112"/>
      <c r="Q8" s="113"/>
      <c r="R8" s="114"/>
      <c r="S8" s="113"/>
      <c r="T8" s="113"/>
      <c r="U8" s="113"/>
    </row>
    <row r="9" spans="1:207" s="110" customFormat="1" x14ac:dyDescent="0.25">
      <c r="A9" s="104"/>
      <c r="B9" s="414" t="s">
        <v>62</v>
      </c>
      <c r="C9" s="425"/>
      <c r="D9" s="425"/>
      <c r="E9" s="425"/>
      <c r="F9" s="425"/>
      <c r="G9" s="425"/>
      <c r="H9" s="425"/>
      <c r="I9" s="425"/>
      <c r="J9" s="425"/>
      <c r="K9" s="425"/>
      <c r="L9" s="425"/>
      <c r="M9" s="425"/>
      <c r="N9" s="425"/>
      <c r="O9" s="425"/>
      <c r="P9" s="112"/>
      <c r="Q9" s="113"/>
      <c r="R9" s="114"/>
      <c r="S9" s="113"/>
      <c r="T9" s="113"/>
      <c r="U9" s="113"/>
    </row>
    <row r="10" spans="1:207" s="110" customFormat="1" x14ac:dyDescent="0.25">
      <c r="A10" s="104"/>
      <c r="B10" s="384" t="s">
        <v>64</v>
      </c>
      <c r="C10" s="388" t="s">
        <v>65</v>
      </c>
      <c r="D10" s="388" t="s">
        <v>66</v>
      </c>
      <c r="E10" s="384" t="s">
        <v>169</v>
      </c>
      <c r="F10" s="384" t="s">
        <v>68</v>
      </c>
      <c r="G10" s="420" t="s">
        <v>69</v>
      </c>
      <c r="H10" s="386" t="s">
        <v>70</v>
      </c>
      <c r="I10" s="386"/>
      <c r="J10" s="386"/>
      <c r="K10" s="384" t="s">
        <v>170</v>
      </c>
      <c r="L10" s="385" t="s">
        <v>171</v>
      </c>
      <c r="M10" s="384" t="s">
        <v>73</v>
      </c>
      <c r="N10" s="384"/>
      <c r="O10" s="384" t="s">
        <v>172</v>
      </c>
      <c r="P10" s="112"/>
      <c r="Q10" s="113"/>
      <c r="R10" s="115" t="s">
        <v>75</v>
      </c>
      <c r="S10" s="113"/>
      <c r="T10" s="113"/>
      <c r="U10" s="113"/>
    </row>
    <row r="11" spans="1:207" s="110" customFormat="1" ht="41.4" x14ac:dyDescent="0.25">
      <c r="A11" s="104"/>
      <c r="B11" s="384"/>
      <c r="C11" s="388"/>
      <c r="D11" s="388"/>
      <c r="E11" s="386"/>
      <c r="F11" s="384"/>
      <c r="G11" s="402"/>
      <c r="H11" s="281" t="s">
        <v>173</v>
      </c>
      <c r="I11" s="281" t="s">
        <v>77</v>
      </c>
      <c r="J11" s="281" t="s">
        <v>78</v>
      </c>
      <c r="K11" s="384"/>
      <c r="L11" s="386"/>
      <c r="M11" s="284" t="s">
        <v>79</v>
      </c>
      <c r="N11" s="282" t="s">
        <v>80</v>
      </c>
      <c r="O11" s="384"/>
      <c r="P11" s="112"/>
      <c r="Q11" s="113"/>
      <c r="R11" s="115" t="s">
        <v>81</v>
      </c>
      <c r="S11" s="113"/>
      <c r="T11" s="113"/>
      <c r="U11" s="113"/>
    </row>
    <row r="12" spans="1:207" s="110" customFormat="1" ht="51" customHeight="1" x14ac:dyDescent="0.25">
      <c r="A12" s="104"/>
      <c r="B12" s="116" t="e">
        <f>+#REF!</f>
        <v>#REF!</v>
      </c>
      <c r="C12" s="117" t="e">
        <f>+#REF!</f>
        <v>#REF!</v>
      </c>
      <c r="D12" s="118" t="e">
        <f>+#REF!</f>
        <v>#REF!</v>
      </c>
      <c r="E12" s="119" t="s">
        <v>84</v>
      </c>
      <c r="F12" s="120">
        <v>1</v>
      </c>
      <c r="G12" s="120">
        <v>1</v>
      </c>
      <c r="H12" s="120" t="e">
        <f>+#REF!</f>
        <v>#REF!</v>
      </c>
      <c r="I12" s="121">
        <v>0.3</v>
      </c>
      <c r="J12" s="121">
        <f>100%-I12</f>
        <v>0.7</v>
      </c>
      <c r="K12" s="119" t="s">
        <v>174</v>
      </c>
      <c r="L12" s="122" t="s">
        <v>81</v>
      </c>
      <c r="M12" s="227" t="e">
        <f>+#REF!</f>
        <v>#REF!</v>
      </c>
      <c r="N12" s="227" t="e">
        <f>+#REF!</f>
        <v>#REF!</v>
      </c>
      <c r="O12" s="123"/>
      <c r="P12" s="112"/>
      <c r="Q12" s="113"/>
      <c r="R12" s="115" t="s">
        <v>86</v>
      </c>
      <c r="S12" s="113"/>
      <c r="T12" s="113"/>
      <c r="U12" s="113"/>
    </row>
    <row r="13" spans="1:207" s="110" customFormat="1" ht="54" customHeight="1" x14ac:dyDescent="0.25">
      <c r="A13" s="104"/>
      <c r="B13" s="116" t="s">
        <v>175</v>
      </c>
      <c r="C13" s="117" t="e">
        <f>+#REF!</f>
        <v>#REF!</v>
      </c>
      <c r="D13" s="118" t="e">
        <f>+#REF!</f>
        <v>#REF!</v>
      </c>
      <c r="E13" s="119" t="s">
        <v>84</v>
      </c>
      <c r="F13" s="120">
        <v>1</v>
      </c>
      <c r="G13" s="120">
        <v>2</v>
      </c>
      <c r="H13" s="120" t="e">
        <f>+#REF!</f>
        <v>#REF!</v>
      </c>
      <c r="I13" s="121">
        <v>0.3</v>
      </c>
      <c r="J13" s="121">
        <f t="shared" ref="J13" si="0">100%-I13</f>
        <v>0.7</v>
      </c>
      <c r="K13" s="119" t="s">
        <v>174</v>
      </c>
      <c r="L13" s="122" t="s">
        <v>81</v>
      </c>
      <c r="M13" s="227" t="e">
        <f>+#REF!</f>
        <v>#REF!</v>
      </c>
      <c r="N13" s="227" t="e">
        <f>+#REF!</f>
        <v>#REF!</v>
      </c>
      <c r="O13" s="123"/>
      <c r="P13" s="112"/>
      <c r="Q13" s="113"/>
      <c r="R13" s="115"/>
      <c r="S13" s="113"/>
      <c r="T13" s="113"/>
      <c r="U13" s="113"/>
    </row>
    <row r="14" spans="1:207" s="110" customFormat="1" ht="41.4" x14ac:dyDescent="0.25">
      <c r="A14" s="104"/>
      <c r="B14" s="116" t="s">
        <v>175</v>
      </c>
      <c r="C14" s="117" t="e">
        <f>+#REF!</f>
        <v>#REF!</v>
      </c>
      <c r="D14" s="118" t="e">
        <f>+#REF!</f>
        <v>#REF!</v>
      </c>
      <c r="E14" s="119" t="s">
        <v>84</v>
      </c>
      <c r="F14" s="120">
        <v>1</v>
      </c>
      <c r="G14" s="120">
        <v>3</v>
      </c>
      <c r="H14" s="120" t="e">
        <f>+#REF!</f>
        <v>#REF!</v>
      </c>
      <c r="I14" s="121">
        <v>0.3</v>
      </c>
      <c r="J14" s="121">
        <f>100%-I14</f>
        <v>0.7</v>
      </c>
      <c r="K14" s="119" t="s">
        <v>174</v>
      </c>
      <c r="L14" s="122" t="s">
        <v>81</v>
      </c>
      <c r="M14" s="227" t="e">
        <f>+#REF!</f>
        <v>#REF!</v>
      </c>
      <c r="N14" s="227" t="e">
        <f>+#REF!</f>
        <v>#REF!</v>
      </c>
      <c r="O14" s="123"/>
      <c r="P14" s="112"/>
      <c r="Q14" s="113"/>
      <c r="R14" s="115"/>
      <c r="S14" s="113"/>
      <c r="T14" s="113"/>
      <c r="U14" s="113"/>
    </row>
    <row r="15" spans="1:207" s="110" customFormat="1" ht="27.6" x14ac:dyDescent="0.25">
      <c r="A15" s="104"/>
      <c r="B15" s="116" t="s">
        <v>175</v>
      </c>
      <c r="C15" s="117" t="e">
        <f>+#REF!</f>
        <v>#REF!</v>
      </c>
      <c r="D15" s="118" t="e">
        <f>+#REF!</f>
        <v>#REF!</v>
      </c>
      <c r="E15" s="119" t="s">
        <v>84</v>
      </c>
      <c r="F15" s="120">
        <v>1</v>
      </c>
      <c r="G15" s="120">
        <v>4</v>
      </c>
      <c r="H15" s="120" t="e">
        <f>+#REF!</f>
        <v>#REF!</v>
      </c>
      <c r="I15" s="121">
        <v>0.3</v>
      </c>
      <c r="J15" s="121">
        <f>100%-I15</f>
        <v>0.7</v>
      </c>
      <c r="K15" s="119" t="s">
        <v>174</v>
      </c>
      <c r="L15" s="122" t="s">
        <v>81</v>
      </c>
      <c r="M15" s="227" t="e">
        <f>+#REF!</f>
        <v>#REF!</v>
      </c>
      <c r="N15" s="227" t="e">
        <f>+#REF!</f>
        <v>#REF!</v>
      </c>
      <c r="O15" s="123"/>
      <c r="P15" s="112"/>
      <c r="Q15" s="113"/>
      <c r="R15" s="115"/>
      <c r="S15" s="113"/>
      <c r="T15" s="113"/>
      <c r="U15" s="113"/>
    </row>
    <row r="16" spans="1:207" s="110" customFormat="1" x14ac:dyDescent="0.25">
      <c r="A16" s="104"/>
      <c r="B16" s="417" t="s">
        <v>176</v>
      </c>
      <c r="C16" s="417"/>
      <c r="D16" s="417"/>
      <c r="E16" s="417"/>
      <c r="F16" s="417"/>
      <c r="G16" s="417"/>
      <c r="H16" s="124" t="e">
        <f>SUM(H12:H15)</f>
        <v>#REF!</v>
      </c>
      <c r="I16" s="125"/>
      <c r="J16" s="125"/>
      <c r="K16" s="125"/>
      <c r="L16" s="126"/>
      <c r="M16" s="126"/>
      <c r="N16" s="127"/>
      <c r="O16" s="125"/>
      <c r="P16" s="112"/>
      <c r="Q16" s="113"/>
      <c r="R16" s="115" t="s">
        <v>91</v>
      </c>
      <c r="S16" s="113"/>
      <c r="T16" s="113"/>
      <c r="U16" s="113"/>
    </row>
    <row r="17" spans="1:207" s="110" customFormat="1" x14ac:dyDescent="0.25">
      <c r="A17" s="104"/>
      <c r="B17" s="104"/>
      <c r="C17" s="106"/>
      <c r="D17" s="107"/>
      <c r="E17" s="104"/>
      <c r="F17" s="104"/>
      <c r="G17" s="108"/>
      <c r="H17" s="104"/>
      <c r="I17" s="104"/>
      <c r="J17" s="104"/>
      <c r="K17" s="104"/>
      <c r="L17" s="109"/>
      <c r="M17" s="109"/>
      <c r="N17" s="107"/>
      <c r="O17" s="104"/>
      <c r="P17" s="112"/>
      <c r="R17" s="115" t="s">
        <v>92</v>
      </c>
    </row>
    <row r="18" spans="1:207" s="110" customFormat="1" x14ac:dyDescent="0.25">
      <c r="A18" s="104"/>
      <c r="B18" s="384" t="s">
        <v>177</v>
      </c>
      <c r="C18" s="402"/>
      <c r="D18" s="402"/>
      <c r="E18" s="402"/>
      <c r="F18" s="402"/>
      <c r="G18" s="402"/>
      <c r="H18" s="402"/>
      <c r="I18" s="402"/>
      <c r="J18" s="402"/>
      <c r="K18" s="402"/>
      <c r="L18" s="402"/>
      <c r="M18" s="402"/>
      <c r="N18" s="402"/>
      <c r="O18" s="402"/>
      <c r="P18" s="112"/>
      <c r="Q18" s="113"/>
      <c r="R18" s="115" t="s">
        <v>94</v>
      </c>
      <c r="S18" s="113"/>
      <c r="T18" s="113"/>
      <c r="U18" s="113"/>
    </row>
    <row r="19" spans="1:207" s="110" customFormat="1" x14ac:dyDescent="0.25">
      <c r="A19" s="104"/>
      <c r="B19" s="384" t="s">
        <v>64</v>
      </c>
      <c r="C19" s="388" t="s">
        <v>65</v>
      </c>
      <c r="D19" s="388" t="s">
        <v>66</v>
      </c>
      <c r="E19" s="384" t="s">
        <v>178</v>
      </c>
      <c r="F19" s="384" t="s">
        <v>68</v>
      </c>
      <c r="G19" s="420" t="s">
        <v>69</v>
      </c>
      <c r="H19" s="386" t="s">
        <v>70</v>
      </c>
      <c r="I19" s="386"/>
      <c r="J19" s="386"/>
      <c r="K19" s="384" t="s">
        <v>170</v>
      </c>
      <c r="L19" s="385" t="s">
        <v>171</v>
      </c>
      <c r="M19" s="384" t="s">
        <v>73</v>
      </c>
      <c r="N19" s="384"/>
      <c r="O19" s="384" t="s">
        <v>172</v>
      </c>
      <c r="P19" s="112"/>
      <c r="Q19" s="113"/>
      <c r="R19" s="115" t="s">
        <v>96</v>
      </c>
      <c r="S19" s="113"/>
      <c r="T19" s="113"/>
      <c r="U19" s="113"/>
    </row>
    <row r="20" spans="1:207" s="110" customFormat="1" ht="41.4" x14ac:dyDescent="0.25">
      <c r="A20" s="104"/>
      <c r="B20" s="384"/>
      <c r="C20" s="388"/>
      <c r="D20" s="388"/>
      <c r="E20" s="386"/>
      <c r="F20" s="384"/>
      <c r="G20" s="402"/>
      <c r="H20" s="281" t="s">
        <v>173</v>
      </c>
      <c r="I20" s="281" t="s">
        <v>77</v>
      </c>
      <c r="J20" s="281" t="s">
        <v>78</v>
      </c>
      <c r="K20" s="384"/>
      <c r="L20" s="386"/>
      <c r="M20" s="128" t="s">
        <v>79</v>
      </c>
      <c r="N20" s="287" t="s">
        <v>80</v>
      </c>
      <c r="O20" s="384"/>
      <c r="P20" s="112"/>
      <c r="Q20" s="113"/>
      <c r="R20" s="114"/>
      <c r="S20" s="113"/>
      <c r="T20" s="113"/>
      <c r="U20" s="113"/>
    </row>
    <row r="21" spans="1:207" s="129" customFormat="1" x14ac:dyDescent="0.25">
      <c r="B21" s="130"/>
      <c r="C21" s="131"/>
      <c r="D21" s="132"/>
      <c r="E21" s="116"/>
      <c r="F21" s="133"/>
      <c r="H21" s="20"/>
      <c r="I21" s="134"/>
      <c r="J21" s="134"/>
      <c r="K21" s="135"/>
      <c r="L21" s="136"/>
      <c r="M21" s="137"/>
      <c r="N21" s="137"/>
      <c r="O21" s="138"/>
      <c r="P21" s="110"/>
      <c r="Q21" s="110"/>
      <c r="R21" s="115"/>
      <c r="S21" s="115"/>
      <c r="T21" s="110"/>
      <c r="U21" s="110"/>
      <c r="V21" s="110"/>
      <c r="W21" s="110"/>
      <c r="X21" s="110"/>
      <c r="Y21" s="110"/>
      <c r="Z21" s="110"/>
      <c r="AA21" s="110"/>
      <c r="AB21" s="110"/>
      <c r="AC21" s="110"/>
      <c r="AD21" s="110"/>
      <c r="AE21" s="110"/>
      <c r="AF21" s="110"/>
      <c r="AG21" s="110"/>
      <c r="AH21" s="110"/>
      <c r="AI21" s="110"/>
      <c r="AJ21" s="110"/>
      <c r="AK21" s="110"/>
      <c r="AL21" s="110"/>
      <c r="AM21" s="110"/>
      <c r="AN21" s="110"/>
      <c r="AO21" s="110"/>
      <c r="AP21" s="110"/>
      <c r="AQ21" s="110"/>
      <c r="AR21" s="110"/>
      <c r="AS21" s="110"/>
      <c r="AT21" s="110"/>
      <c r="AU21" s="110"/>
      <c r="AV21" s="110"/>
      <c r="AW21" s="110"/>
      <c r="AX21" s="110"/>
      <c r="AY21" s="110"/>
      <c r="AZ21" s="110"/>
      <c r="BA21" s="110"/>
      <c r="BB21" s="110"/>
      <c r="BC21" s="110"/>
      <c r="BD21" s="110"/>
      <c r="BE21" s="110"/>
      <c r="BF21" s="110"/>
      <c r="BG21" s="110"/>
      <c r="BH21" s="110"/>
      <c r="BI21" s="110"/>
      <c r="BJ21" s="110"/>
      <c r="BK21" s="110"/>
      <c r="BL21" s="110"/>
      <c r="BM21" s="110"/>
      <c r="BN21" s="110"/>
      <c r="BO21" s="110"/>
      <c r="BP21" s="110"/>
      <c r="BQ21" s="110"/>
      <c r="BR21" s="110"/>
      <c r="BS21" s="110"/>
      <c r="BT21" s="110"/>
      <c r="BU21" s="110"/>
      <c r="BV21" s="110"/>
      <c r="BW21" s="110"/>
      <c r="BX21" s="110"/>
      <c r="BY21" s="110"/>
      <c r="BZ21" s="110"/>
      <c r="CA21" s="110"/>
      <c r="CB21" s="110"/>
      <c r="CC21" s="110"/>
      <c r="CD21" s="110"/>
      <c r="CE21" s="110"/>
      <c r="CF21" s="110"/>
      <c r="CG21" s="110"/>
      <c r="CH21" s="110"/>
      <c r="CI21" s="110"/>
      <c r="CJ21" s="110"/>
      <c r="CK21" s="110"/>
      <c r="CL21" s="110"/>
      <c r="CM21" s="110"/>
      <c r="CN21" s="110"/>
      <c r="CO21" s="110"/>
      <c r="CP21" s="110"/>
      <c r="CQ21" s="110"/>
      <c r="CR21" s="110"/>
      <c r="CS21" s="110"/>
      <c r="CT21" s="110"/>
      <c r="CU21" s="110"/>
      <c r="CV21" s="110"/>
      <c r="CW21" s="110"/>
      <c r="CX21" s="110"/>
      <c r="CY21" s="110"/>
      <c r="CZ21" s="110"/>
      <c r="DA21" s="110"/>
      <c r="DB21" s="110"/>
      <c r="DC21" s="110"/>
      <c r="DD21" s="110"/>
      <c r="DE21" s="110"/>
      <c r="DF21" s="110"/>
      <c r="DG21" s="110"/>
      <c r="DH21" s="110"/>
      <c r="DI21" s="110"/>
      <c r="DJ21" s="110"/>
      <c r="DK21" s="110"/>
      <c r="DL21" s="110"/>
      <c r="DM21" s="110"/>
      <c r="DN21" s="110"/>
      <c r="DO21" s="110"/>
      <c r="DP21" s="110"/>
      <c r="DQ21" s="110"/>
      <c r="DR21" s="110"/>
      <c r="DS21" s="110"/>
      <c r="DT21" s="110"/>
      <c r="DU21" s="110"/>
      <c r="DV21" s="110"/>
      <c r="DW21" s="110"/>
      <c r="DX21" s="110"/>
      <c r="DY21" s="110"/>
      <c r="DZ21" s="110"/>
      <c r="EA21" s="110"/>
      <c r="EB21" s="110"/>
      <c r="EC21" s="110"/>
      <c r="ED21" s="110"/>
      <c r="EE21" s="110"/>
      <c r="EF21" s="110"/>
      <c r="EG21" s="110"/>
      <c r="EH21" s="110"/>
      <c r="EI21" s="110"/>
      <c r="EJ21" s="110"/>
      <c r="EK21" s="110"/>
      <c r="EL21" s="110"/>
      <c r="EM21" s="110"/>
      <c r="EN21" s="110"/>
      <c r="EO21" s="110"/>
      <c r="EP21" s="110"/>
      <c r="EQ21" s="110"/>
      <c r="ER21" s="110"/>
      <c r="ES21" s="110"/>
      <c r="ET21" s="110"/>
      <c r="EU21" s="110"/>
      <c r="EV21" s="110"/>
      <c r="EW21" s="110"/>
      <c r="EX21" s="110"/>
      <c r="EY21" s="110"/>
      <c r="EZ21" s="110"/>
      <c r="FA21" s="110"/>
      <c r="FB21" s="110"/>
      <c r="FC21" s="110"/>
      <c r="FD21" s="110"/>
      <c r="FE21" s="110"/>
      <c r="FF21" s="110"/>
      <c r="FG21" s="110"/>
      <c r="FH21" s="110"/>
      <c r="FI21" s="110"/>
      <c r="FJ21" s="110"/>
      <c r="FK21" s="110"/>
      <c r="FL21" s="110"/>
      <c r="FM21" s="110"/>
      <c r="FN21" s="110"/>
      <c r="FO21" s="110"/>
      <c r="FP21" s="110"/>
      <c r="FQ21" s="110"/>
      <c r="FR21" s="110"/>
      <c r="FS21" s="110"/>
      <c r="FT21" s="110"/>
      <c r="FU21" s="110"/>
      <c r="FV21" s="110"/>
      <c r="FW21" s="110"/>
      <c r="FX21" s="110"/>
      <c r="FY21" s="110"/>
      <c r="FZ21" s="110"/>
      <c r="GA21" s="110"/>
      <c r="GB21" s="110"/>
      <c r="GC21" s="110"/>
      <c r="GD21" s="110"/>
      <c r="GE21" s="110"/>
      <c r="GF21" s="110"/>
      <c r="GG21" s="110"/>
      <c r="GH21" s="110"/>
      <c r="GI21" s="110"/>
      <c r="GJ21" s="110"/>
      <c r="GK21" s="110"/>
      <c r="GL21" s="110"/>
      <c r="GM21" s="110"/>
      <c r="GN21" s="110"/>
      <c r="GO21" s="110"/>
      <c r="GP21" s="110"/>
      <c r="GQ21" s="110"/>
      <c r="GR21" s="110"/>
      <c r="GS21" s="110"/>
      <c r="GT21" s="110"/>
      <c r="GU21" s="110"/>
      <c r="GV21" s="110"/>
      <c r="GW21" s="110"/>
      <c r="GX21" s="110"/>
      <c r="GY21" s="110"/>
    </row>
    <row r="22" spans="1:207" s="110" customFormat="1" x14ac:dyDescent="0.25">
      <c r="A22" s="104"/>
      <c r="B22" s="417" t="s">
        <v>179</v>
      </c>
      <c r="C22" s="417"/>
      <c r="D22" s="417"/>
      <c r="E22" s="417"/>
      <c r="F22" s="417"/>
      <c r="G22" s="417"/>
      <c r="H22" s="124">
        <f>SUM(H21:H21)</f>
        <v>0</v>
      </c>
      <c r="I22" s="125"/>
      <c r="J22" s="125"/>
      <c r="K22" s="125"/>
      <c r="L22" s="126"/>
      <c r="M22" s="139"/>
      <c r="N22" s="140"/>
      <c r="O22" s="141"/>
      <c r="P22" s="112"/>
      <c r="Q22" s="113"/>
      <c r="R22" s="115" t="s">
        <v>91</v>
      </c>
      <c r="S22" s="113"/>
      <c r="T22" s="113"/>
      <c r="U22" s="113"/>
    </row>
    <row r="23" spans="1:207" s="110" customFormat="1" x14ac:dyDescent="0.25">
      <c r="A23" s="104"/>
      <c r="B23" s="104"/>
      <c r="C23" s="106"/>
      <c r="D23" s="107"/>
      <c r="E23" s="104"/>
      <c r="F23" s="104"/>
      <c r="G23" s="108"/>
      <c r="H23" s="104"/>
      <c r="I23" s="104"/>
      <c r="J23" s="104"/>
      <c r="K23" s="104"/>
      <c r="L23" s="109"/>
      <c r="M23" s="109"/>
      <c r="N23" s="107"/>
      <c r="O23" s="104"/>
      <c r="P23" s="104"/>
      <c r="R23" s="115" t="s">
        <v>84</v>
      </c>
    </row>
    <row r="24" spans="1:207" s="110" customFormat="1" x14ac:dyDescent="0.25">
      <c r="A24" s="104"/>
      <c r="B24" s="384" t="s">
        <v>102</v>
      </c>
      <c r="C24" s="402"/>
      <c r="D24" s="402"/>
      <c r="E24" s="402"/>
      <c r="F24" s="402"/>
      <c r="G24" s="402"/>
      <c r="H24" s="402"/>
      <c r="I24" s="402"/>
      <c r="J24" s="402"/>
      <c r="K24" s="402"/>
      <c r="L24" s="402"/>
      <c r="M24" s="402"/>
      <c r="N24" s="402"/>
      <c r="O24" s="402"/>
      <c r="P24" s="104"/>
      <c r="R24" s="115" t="s">
        <v>103</v>
      </c>
    </row>
    <row r="25" spans="1:207" s="110" customFormat="1" x14ac:dyDescent="0.25">
      <c r="A25" s="104"/>
      <c r="B25" s="384" t="s">
        <v>64</v>
      </c>
      <c r="C25" s="388" t="s">
        <v>65</v>
      </c>
      <c r="D25" s="388" t="s">
        <v>66</v>
      </c>
      <c r="E25" s="384" t="s">
        <v>178</v>
      </c>
      <c r="F25" s="384" t="s">
        <v>68</v>
      </c>
      <c r="G25" s="420" t="s">
        <v>69</v>
      </c>
      <c r="H25" s="386" t="s">
        <v>70</v>
      </c>
      <c r="I25" s="386"/>
      <c r="J25" s="386"/>
      <c r="K25" s="384" t="s">
        <v>170</v>
      </c>
      <c r="L25" s="385" t="s">
        <v>171</v>
      </c>
      <c r="M25" s="384" t="s">
        <v>73</v>
      </c>
      <c r="N25" s="384"/>
      <c r="O25" s="384" t="s">
        <v>172</v>
      </c>
      <c r="P25" s="104"/>
      <c r="R25" s="115" t="s">
        <v>104</v>
      </c>
    </row>
    <row r="26" spans="1:207" s="110" customFormat="1" ht="41.4" x14ac:dyDescent="0.25">
      <c r="A26" s="104"/>
      <c r="B26" s="413"/>
      <c r="C26" s="418"/>
      <c r="D26" s="418"/>
      <c r="E26" s="419"/>
      <c r="F26" s="413"/>
      <c r="G26" s="421"/>
      <c r="H26" s="285" t="s">
        <v>173</v>
      </c>
      <c r="I26" s="285" t="s">
        <v>77</v>
      </c>
      <c r="J26" s="285" t="s">
        <v>78</v>
      </c>
      <c r="K26" s="413"/>
      <c r="L26" s="419"/>
      <c r="M26" s="128" t="s">
        <v>105</v>
      </c>
      <c r="N26" s="287" t="s">
        <v>80</v>
      </c>
      <c r="O26" s="413"/>
      <c r="P26" s="104"/>
      <c r="R26" s="115" t="s">
        <v>106</v>
      </c>
    </row>
    <row r="27" spans="1:207" s="110" customFormat="1" x14ac:dyDescent="0.25">
      <c r="A27" s="142"/>
      <c r="B27" s="130"/>
      <c r="C27" s="143"/>
      <c r="D27" s="144"/>
      <c r="E27" s="116"/>
      <c r="F27" s="133"/>
      <c r="G27" s="145"/>
      <c r="H27" s="146"/>
      <c r="I27" s="147"/>
      <c r="J27" s="147"/>
      <c r="K27" s="148"/>
      <c r="L27" s="136"/>
      <c r="M27" s="137"/>
      <c r="N27" s="137"/>
      <c r="O27" s="149"/>
      <c r="P27" s="150"/>
      <c r="R27" s="115"/>
      <c r="S27" s="115"/>
    </row>
    <row r="28" spans="1:207" s="110" customFormat="1" x14ac:dyDescent="0.25">
      <c r="A28" s="104"/>
      <c r="B28" s="410" t="s">
        <v>180</v>
      </c>
      <c r="C28" s="410"/>
      <c r="D28" s="410"/>
      <c r="E28" s="410"/>
      <c r="F28" s="410"/>
      <c r="G28" s="410"/>
      <c r="H28" s="151">
        <f>SUM(H27:H27)</f>
        <v>0</v>
      </c>
      <c r="I28" s="141"/>
      <c r="J28" s="141"/>
      <c r="K28" s="141"/>
      <c r="L28" s="139"/>
      <c r="M28" s="139"/>
      <c r="N28" s="140"/>
      <c r="O28" s="122"/>
      <c r="P28" s="152"/>
      <c r="Q28" s="113"/>
      <c r="R28" s="115" t="s">
        <v>91</v>
      </c>
      <c r="S28" s="113"/>
      <c r="T28" s="113"/>
      <c r="U28" s="113"/>
    </row>
    <row r="29" spans="1:207" s="110" customFormat="1" x14ac:dyDescent="0.25">
      <c r="A29" s="104"/>
      <c r="B29" s="153"/>
      <c r="C29" s="154"/>
      <c r="D29" s="154"/>
      <c r="E29" s="155"/>
      <c r="F29" s="155"/>
      <c r="G29" s="156"/>
      <c r="H29" s="155"/>
      <c r="I29" s="155"/>
      <c r="J29" s="155"/>
      <c r="K29" s="155"/>
      <c r="L29" s="157"/>
      <c r="M29" s="157"/>
      <c r="N29" s="154"/>
      <c r="O29" s="155"/>
      <c r="P29" s="104"/>
      <c r="R29" s="115"/>
    </row>
    <row r="30" spans="1:207" s="110" customFormat="1" x14ac:dyDescent="0.25">
      <c r="A30" s="104"/>
      <c r="B30" s="411" t="s">
        <v>110</v>
      </c>
      <c r="C30" s="412"/>
      <c r="D30" s="412"/>
      <c r="E30" s="412"/>
      <c r="F30" s="412"/>
      <c r="G30" s="412"/>
      <c r="H30" s="412"/>
      <c r="I30" s="412"/>
      <c r="J30" s="412"/>
      <c r="K30" s="412"/>
      <c r="L30" s="412"/>
      <c r="M30" s="412"/>
      <c r="N30" s="412"/>
      <c r="O30" s="412"/>
      <c r="P30" s="104"/>
      <c r="R30" s="115" t="s">
        <v>108</v>
      </c>
    </row>
    <row r="31" spans="1:207" s="110" customFormat="1" x14ac:dyDescent="0.25">
      <c r="A31" s="104"/>
      <c r="B31" s="384" t="s">
        <v>64</v>
      </c>
      <c r="C31" s="388" t="s">
        <v>65</v>
      </c>
      <c r="D31" s="413" t="s">
        <v>181</v>
      </c>
      <c r="E31" s="384" t="s">
        <v>178</v>
      </c>
      <c r="F31" s="384" t="s">
        <v>69</v>
      </c>
      <c r="G31" s="386" t="s">
        <v>70</v>
      </c>
      <c r="H31" s="386"/>
      <c r="I31" s="386"/>
      <c r="J31" s="384" t="s">
        <v>170</v>
      </c>
      <c r="K31" s="384" t="s">
        <v>171</v>
      </c>
      <c r="L31" s="384" t="s">
        <v>73</v>
      </c>
      <c r="M31" s="403"/>
      <c r="N31" s="404" t="s">
        <v>172</v>
      </c>
      <c r="O31" s="405"/>
      <c r="P31" s="104"/>
      <c r="R31" s="115" t="s">
        <v>107</v>
      </c>
    </row>
    <row r="32" spans="1:207" s="110" customFormat="1" ht="55.2" x14ac:dyDescent="0.25">
      <c r="A32" s="104"/>
      <c r="B32" s="384"/>
      <c r="C32" s="388"/>
      <c r="D32" s="414"/>
      <c r="E32" s="386"/>
      <c r="F32" s="384"/>
      <c r="G32" s="283" t="s">
        <v>173</v>
      </c>
      <c r="H32" s="281" t="s">
        <v>77</v>
      </c>
      <c r="I32" s="281" t="s">
        <v>78</v>
      </c>
      <c r="J32" s="384"/>
      <c r="K32" s="402"/>
      <c r="L32" s="284" t="s">
        <v>111</v>
      </c>
      <c r="M32" s="158" t="s">
        <v>80</v>
      </c>
      <c r="N32" s="406"/>
      <c r="O32" s="407"/>
      <c r="P32" s="104"/>
      <c r="R32" s="115" t="s">
        <v>182</v>
      </c>
    </row>
    <row r="33" spans="1:21" s="110" customFormat="1" x14ac:dyDescent="0.25">
      <c r="A33" s="142"/>
      <c r="B33" s="116" t="s">
        <v>175</v>
      </c>
      <c r="C33" s="143" t="e">
        <f>+#REF!</f>
        <v>#REF!</v>
      </c>
      <c r="D33" s="145" t="e">
        <f>+#REF!</f>
        <v>#REF!</v>
      </c>
      <c r="E33" s="116" t="s">
        <v>32</v>
      </c>
      <c r="F33" s="145">
        <v>5</v>
      </c>
      <c r="G33" s="146" t="e">
        <f>+#REF!</f>
        <v>#REF!</v>
      </c>
      <c r="H33" s="134">
        <v>0.3</v>
      </c>
      <c r="I33" s="224">
        <f>1-H33</f>
        <v>0.7</v>
      </c>
      <c r="J33" s="148" t="s">
        <v>174</v>
      </c>
      <c r="K33" s="159" t="s">
        <v>183</v>
      </c>
      <c r="L33" s="228" t="e">
        <f>+#REF!</f>
        <v>#REF!</v>
      </c>
      <c r="M33" s="228" t="e">
        <f>+#REF!</f>
        <v>#REF!</v>
      </c>
      <c r="N33" s="408"/>
      <c r="O33" s="409"/>
      <c r="P33" s="104"/>
      <c r="R33" s="115"/>
      <c r="S33" s="115"/>
    </row>
    <row r="34" spans="1:21" s="110" customFormat="1" ht="53.25" customHeight="1" x14ac:dyDescent="0.25">
      <c r="A34" s="142"/>
      <c r="B34" s="116" t="s">
        <v>175</v>
      </c>
      <c r="C34" s="143" t="e">
        <f>+#REF!</f>
        <v>#REF!</v>
      </c>
      <c r="D34" s="145" t="e">
        <f>+#REF!</f>
        <v>#REF!</v>
      </c>
      <c r="E34" s="116" t="s">
        <v>32</v>
      </c>
      <c r="F34" s="145">
        <v>6</v>
      </c>
      <c r="G34" s="146" t="e">
        <f>+#REF!</f>
        <v>#REF!</v>
      </c>
      <c r="H34" s="134">
        <v>0.3</v>
      </c>
      <c r="I34" s="224">
        <f t="shared" ref="I34:I43" si="1">1-H34</f>
        <v>0.7</v>
      </c>
      <c r="J34" s="148" t="s">
        <v>174</v>
      </c>
      <c r="K34" s="159" t="s">
        <v>183</v>
      </c>
      <c r="L34" s="228" t="e">
        <f>+#REF!</f>
        <v>#REF!</v>
      </c>
      <c r="M34" s="228" t="e">
        <f>+#REF!</f>
        <v>#REF!</v>
      </c>
      <c r="N34" s="415"/>
      <c r="O34" s="416"/>
      <c r="P34" s="104"/>
      <c r="R34" s="115"/>
      <c r="S34" s="115"/>
    </row>
    <row r="35" spans="1:21" s="110" customFormat="1" ht="53.25" customHeight="1" x14ac:dyDescent="0.25">
      <c r="A35" s="142"/>
      <c r="B35" s="116" t="s">
        <v>175</v>
      </c>
      <c r="C35" s="143" t="e">
        <f>+#REF!</f>
        <v>#REF!</v>
      </c>
      <c r="D35" s="145" t="e">
        <f>+#REF!</f>
        <v>#REF!</v>
      </c>
      <c r="E35" s="116" t="e">
        <f>+#REF!</f>
        <v>#REF!</v>
      </c>
      <c r="F35" s="145">
        <v>7</v>
      </c>
      <c r="G35" s="146" t="e">
        <f>+#REF!</f>
        <v>#REF!</v>
      </c>
      <c r="H35" s="134">
        <v>0.3</v>
      </c>
      <c r="I35" s="224">
        <f t="shared" ref="I35:I37" si="2">1-H35</f>
        <v>0.7</v>
      </c>
      <c r="J35" s="148" t="s">
        <v>174</v>
      </c>
      <c r="K35" s="159" t="s">
        <v>183</v>
      </c>
      <c r="L35" s="228" t="e">
        <f>+#REF!</f>
        <v>#REF!</v>
      </c>
      <c r="M35" s="228" t="e">
        <f>+#REF!</f>
        <v>#REF!</v>
      </c>
      <c r="N35" s="229"/>
      <c r="O35" s="286"/>
      <c r="P35" s="104"/>
      <c r="R35" s="115"/>
      <c r="S35" s="115"/>
    </row>
    <row r="36" spans="1:21" s="110" customFormat="1" ht="53.25" customHeight="1" x14ac:dyDescent="0.25">
      <c r="A36" s="142"/>
      <c r="B36" s="116" t="s">
        <v>175</v>
      </c>
      <c r="C36" s="143" t="e">
        <f>+#REF!</f>
        <v>#REF!</v>
      </c>
      <c r="D36" s="145" t="e">
        <f>+#REF!</f>
        <v>#REF!</v>
      </c>
      <c r="E36" s="116" t="e">
        <f>+#REF!</f>
        <v>#REF!</v>
      </c>
      <c r="F36" s="145">
        <v>8</v>
      </c>
      <c r="G36" s="146" t="e">
        <f>+#REF!</f>
        <v>#REF!</v>
      </c>
      <c r="H36" s="134">
        <v>0.3</v>
      </c>
      <c r="I36" s="224">
        <f t="shared" si="2"/>
        <v>0.7</v>
      </c>
      <c r="J36" s="148" t="s">
        <v>174</v>
      </c>
      <c r="K36" s="159" t="s">
        <v>183</v>
      </c>
      <c r="L36" s="228" t="e">
        <f>+#REF!</f>
        <v>#REF!</v>
      </c>
      <c r="M36" s="228" t="e">
        <f>+#REF!</f>
        <v>#REF!</v>
      </c>
      <c r="N36" s="229"/>
      <c r="O36" s="286"/>
      <c r="P36" s="104"/>
      <c r="R36" s="115"/>
      <c r="S36" s="115"/>
    </row>
    <row r="37" spans="1:21" s="110" customFormat="1" ht="53.25" customHeight="1" x14ac:dyDescent="0.25">
      <c r="A37" s="142"/>
      <c r="B37" s="116" t="s">
        <v>175</v>
      </c>
      <c r="C37" s="143" t="e">
        <f>+#REF!</f>
        <v>#REF!</v>
      </c>
      <c r="D37" s="145" t="e">
        <f>+#REF!</f>
        <v>#REF!</v>
      </c>
      <c r="E37" s="116" t="e">
        <f>+#REF!</f>
        <v>#REF!</v>
      </c>
      <c r="F37" s="145">
        <v>9</v>
      </c>
      <c r="G37" s="146" t="e">
        <f>+#REF!</f>
        <v>#REF!</v>
      </c>
      <c r="H37" s="134">
        <v>0.3</v>
      </c>
      <c r="I37" s="224">
        <f t="shared" si="2"/>
        <v>0.7</v>
      </c>
      <c r="J37" s="148" t="s">
        <v>174</v>
      </c>
      <c r="K37" s="159" t="s">
        <v>183</v>
      </c>
      <c r="L37" s="228" t="e">
        <f>+#REF!</f>
        <v>#REF!</v>
      </c>
      <c r="M37" s="228" t="e">
        <f>+#REF!</f>
        <v>#REF!</v>
      </c>
      <c r="N37" s="229"/>
      <c r="O37" s="286"/>
      <c r="P37" s="104"/>
      <c r="R37" s="115"/>
      <c r="S37" s="115"/>
    </row>
    <row r="38" spans="1:21" s="110" customFormat="1" ht="27.6" x14ac:dyDescent="0.25">
      <c r="A38" s="142"/>
      <c r="B38" s="116" t="s">
        <v>175</v>
      </c>
      <c r="C38" s="143" t="e">
        <f>+#REF!</f>
        <v>#REF!</v>
      </c>
      <c r="D38" s="145" t="e">
        <f>+#REF!</f>
        <v>#REF!</v>
      </c>
      <c r="E38" s="116" t="e">
        <f>+#REF!</f>
        <v>#REF!</v>
      </c>
      <c r="F38" s="145">
        <v>10</v>
      </c>
      <c r="G38" s="146" t="e">
        <f>+#REF!</f>
        <v>#REF!</v>
      </c>
      <c r="H38" s="134">
        <v>0.3</v>
      </c>
      <c r="I38" s="224">
        <f t="shared" si="1"/>
        <v>0.7</v>
      </c>
      <c r="J38" s="148" t="s">
        <v>22</v>
      </c>
      <c r="K38" s="159" t="s">
        <v>183</v>
      </c>
      <c r="L38" s="228" t="e">
        <f>+#REF!</f>
        <v>#REF!</v>
      </c>
      <c r="M38" s="228" t="e">
        <f>+#REF!</f>
        <v>#REF!</v>
      </c>
      <c r="N38" s="160"/>
      <c r="O38" s="289"/>
      <c r="P38" s="104"/>
      <c r="R38" s="115"/>
      <c r="S38" s="115"/>
    </row>
    <row r="39" spans="1:21" s="110" customFormat="1" x14ac:dyDescent="0.25">
      <c r="A39" s="142"/>
      <c r="B39" s="116" t="s">
        <v>175</v>
      </c>
      <c r="C39" s="143" t="e">
        <f>+#REF!</f>
        <v>#REF!</v>
      </c>
      <c r="D39" s="145" t="e">
        <f>+#REF!</f>
        <v>#REF!</v>
      </c>
      <c r="E39" s="116" t="e">
        <f>+#REF!</f>
        <v>#REF!</v>
      </c>
      <c r="F39" s="145">
        <v>11</v>
      </c>
      <c r="G39" s="146" t="e">
        <f>+#REF!</f>
        <v>#REF!</v>
      </c>
      <c r="H39" s="134">
        <v>0.3</v>
      </c>
      <c r="I39" s="224">
        <f t="shared" si="1"/>
        <v>0.7</v>
      </c>
      <c r="J39" s="148" t="s">
        <v>22</v>
      </c>
      <c r="K39" s="159" t="s">
        <v>183</v>
      </c>
      <c r="L39" s="228" t="e">
        <f>+#REF!</f>
        <v>#REF!</v>
      </c>
      <c r="M39" s="228" t="e">
        <f>+#REF!</f>
        <v>#REF!</v>
      </c>
      <c r="N39" s="160"/>
      <c r="O39" s="289"/>
      <c r="P39" s="104"/>
      <c r="R39" s="115"/>
      <c r="S39" s="115"/>
    </row>
    <row r="40" spans="1:21" s="110" customFormat="1" x14ac:dyDescent="0.25">
      <c r="A40" s="142"/>
      <c r="B40" s="116" t="s">
        <v>175</v>
      </c>
      <c r="C40" s="143" t="e">
        <f>+#REF!</f>
        <v>#REF!</v>
      </c>
      <c r="D40" s="145" t="e">
        <f>+#REF!</f>
        <v>#REF!</v>
      </c>
      <c r="E40" s="116" t="e">
        <f>+#REF!</f>
        <v>#REF!</v>
      </c>
      <c r="F40" s="145">
        <v>12</v>
      </c>
      <c r="G40" s="146" t="e">
        <f>+#REF!</f>
        <v>#REF!</v>
      </c>
      <c r="H40" s="134">
        <v>0.3</v>
      </c>
      <c r="I40" s="224">
        <f t="shared" si="1"/>
        <v>0.7</v>
      </c>
      <c r="J40" s="148" t="s">
        <v>22</v>
      </c>
      <c r="K40" s="159" t="s">
        <v>183</v>
      </c>
      <c r="L40" s="228" t="e">
        <f>+#REF!</f>
        <v>#REF!</v>
      </c>
      <c r="M40" s="228" t="e">
        <f>+#REF!</f>
        <v>#REF!</v>
      </c>
      <c r="N40" s="389"/>
      <c r="O40" s="390"/>
      <c r="P40" s="104"/>
      <c r="R40" s="115"/>
      <c r="S40" s="115"/>
    </row>
    <row r="41" spans="1:21" s="110" customFormat="1" ht="25.5" customHeight="1" x14ac:dyDescent="0.25">
      <c r="A41" s="142"/>
      <c r="B41" s="116" t="s">
        <v>175</v>
      </c>
      <c r="C41" s="143" t="e">
        <f>+#REF!</f>
        <v>#REF!</v>
      </c>
      <c r="D41" s="145" t="e">
        <f>+#REF!</f>
        <v>#REF!</v>
      </c>
      <c r="E41" s="116" t="e">
        <f>+#REF!</f>
        <v>#REF!</v>
      </c>
      <c r="F41" s="145">
        <v>13</v>
      </c>
      <c r="G41" s="146" t="e">
        <f>+#REF!</f>
        <v>#REF!</v>
      </c>
      <c r="H41" s="134">
        <v>0.3</v>
      </c>
      <c r="I41" s="224">
        <f t="shared" si="1"/>
        <v>0.7</v>
      </c>
      <c r="J41" s="148" t="s">
        <v>22</v>
      </c>
      <c r="K41" s="159" t="s">
        <v>183</v>
      </c>
      <c r="L41" s="228" t="e">
        <f>+#REF!</f>
        <v>#REF!</v>
      </c>
      <c r="M41" s="228" t="e">
        <f>+#REF!</f>
        <v>#REF!</v>
      </c>
      <c r="N41" s="389"/>
      <c r="O41" s="390"/>
      <c r="P41" s="104"/>
      <c r="R41" s="115"/>
      <c r="S41" s="115"/>
    </row>
    <row r="42" spans="1:21" s="110" customFormat="1" x14ac:dyDescent="0.25">
      <c r="A42" s="155"/>
      <c r="B42" s="116" t="s">
        <v>175</v>
      </c>
      <c r="C42" s="143" t="e">
        <f>+#REF!</f>
        <v>#REF!</v>
      </c>
      <c r="D42" s="145" t="e">
        <f>+#REF!</f>
        <v>#REF!</v>
      </c>
      <c r="E42" s="116" t="e">
        <f>+#REF!</f>
        <v>#REF!</v>
      </c>
      <c r="F42" s="145">
        <v>14</v>
      </c>
      <c r="G42" s="146" t="e">
        <f>+#REF!</f>
        <v>#REF!</v>
      </c>
      <c r="H42" s="134">
        <v>0.3</v>
      </c>
      <c r="I42" s="224">
        <f t="shared" si="1"/>
        <v>0.7</v>
      </c>
      <c r="J42" s="148" t="s">
        <v>22</v>
      </c>
      <c r="K42" s="159" t="s">
        <v>183</v>
      </c>
      <c r="L42" s="228" t="e">
        <f>+#REF!</f>
        <v>#REF!</v>
      </c>
      <c r="M42" s="228" t="e">
        <f>+#REF!</f>
        <v>#REF!</v>
      </c>
      <c r="N42" s="389"/>
      <c r="O42" s="390"/>
      <c r="P42" s="104"/>
      <c r="R42" s="115"/>
      <c r="S42" s="115"/>
    </row>
    <row r="43" spans="1:21" s="110" customFormat="1" x14ac:dyDescent="0.25">
      <c r="A43" s="155"/>
      <c r="B43" s="116" t="s">
        <v>175</v>
      </c>
      <c r="C43" s="143" t="e">
        <f>+#REF!</f>
        <v>#REF!</v>
      </c>
      <c r="D43" s="145" t="e">
        <f>+#REF!</f>
        <v>#REF!</v>
      </c>
      <c r="E43" s="116" t="e">
        <f>+#REF!</f>
        <v>#REF!</v>
      </c>
      <c r="F43" s="145">
        <v>15</v>
      </c>
      <c r="G43" s="146" t="e">
        <f>+#REF!</f>
        <v>#REF!</v>
      </c>
      <c r="H43" s="134">
        <v>0.3</v>
      </c>
      <c r="I43" s="224">
        <f t="shared" si="1"/>
        <v>0.7</v>
      </c>
      <c r="J43" s="148" t="s">
        <v>22</v>
      </c>
      <c r="K43" s="159" t="s">
        <v>183</v>
      </c>
      <c r="L43" s="228" t="e">
        <f>+#REF!</f>
        <v>#REF!</v>
      </c>
      <c r="M43" s="228" t="e">
        <f>+#REF!</f>
        <v>#REF!</v>
      </c>
      <c r="N43" s="389"/>
      <c r="O43" s="390"/>
      <c r="P43" s="104"/>
      <c r="R43" s="115"/>
      <c r="S43" s="115"/>
    </row>
    <row r="44" spans="1:21" s="110" customFormat="1" x14ac:dyDescent="0.25">
      <c r="A44" s="155"/>
      <c r="B44" s="116" t="s">
        <v>175</v>
      </c>
      <c r="C44" s="143" t="e">
        <f>+#REF!</f>
        <v>#REF!</v>
      </c>
      <c r="D44" s="145" t="e">
        <f>+#REF!</f>
        <v>#REF!</v>
      </c>
      <c r="E44" s="116" t="e">
        <f>+#REF!</f>
        <v>#REF!</v>
      </c>
      <c r="F44" s="145">
        <v>16</v>
      </c>
      <c r="G44" s="146" t="e">
        <f>+#REF!</f>
        <v>#REF!</v>
      </c>
      <c r="H44" s="134">
        <v>0.3</v>
      </c>
      <c r="I44" s="224">
        <f t="shared" ref="I44" si="3">1-H44</f>
        <v>0.7</v>
      </c>
      <c r="J44" s="148" t="s">
        <v>22</v>
      </c>
      <c r="K44" s="159" t="s">
        <v>183</v>
      </c>
      <c r="L44" s="228" t="e">
        <f>+#REF!</f>
        <v>#REF!</v>
      </c>
      <c r="M44" s="228" t="e">
        <f>+#REF!</f>
        <v>#REF!</v>
      </c>
      <c r="N44" s="389"/>
      <c r="O44" s="390"/>
      <c r="P44" s="104"/>
      <c r="R44" s="115"/>
      <c r="S44" s="115"/>
    </row>
    <row r="45" spans="1:21" s="110" customFormat="1" x14ac:dyDescent="0.25">
      <c r="A45" s="155"/>
      <c r="B45" s="116" t="s">
        <v>175</v>
      </c>
      <c r="C45" s="143" t="e">
        <f>+#REF!</f>
        <v>#REF!</v>
      </c>
      <c r="D45" s="110" t="e">
        <f>+#REF!</f>
        <v>#REF!</v>
      </c>
      <c r="E45" s="145" t="e">
        <f>+#REF!</f>
        <v>#REF!</v>
      </c>
      <c r="F45" s="145">
        <v>17</v>
      </c>
      <c r="G45" s="146" t="e">
        <f>+#REF!</f>
        <v>#REF!</v>
      </c>
      <c r="H45" s="134">
        <v>0.3</v>
      </c>
      <c r="I45" s="224">
        <f t="shared" ref="I45:I46" si="4">1-H45</f>
        <v>0.7</v>
      </c>
      <c r="J45" s="148" t="s">
        <v>22</v>
      </c>
      <c r="K45" s="159" t="s">
        <v>183</v>
      </c>
      <c r="L45" s="230" t="e">
        <f>+#REF!</f>
        <v>#REF!</v>
      </c>
      <c r="M45" s="230" t="e">
        <f>+#REF!</f>
        <v>#REF!</v>
      </c>
      <c r="N45" s="389"/>
      <c r="O45" s="390"/>
      <c r="P45" s="104"/>
      <c r="R45" s="115"/>
      <c r="S45" s="115"/>
    </row>
    <row r="46" spans="1:21" s="110" customFormat="1" x14ac:dyDescent="0.25">
      <c r="A46" s="155"/>
      <c r="B46" s="116" t="s">
        <v>175</v>
      </c>
      <c r="C46" s="143" t="e">
        <f>+#REF!</f>
        <v>#REF!</v>
      </c>
      <c r="D46" s="145" t="e">
        <f>+#REF!</f>
        <v>#REF!</v>
      </c>
      <c r="E46" s="116" t="e">
        <f>+#REF!</f>
        <v>#REF!</v>
      </c>
      <c r="F46" s="145">
        <v>18</v>
      </c>
      <c r="G46" s="146" t="e">
        <f>+#REF!</f>
        <v>#REF!</v>
      </c>
      <c r="H46" s="134">
        <v>0.3</v>
      </c>
      <c r="I46" s="224">
        <f t="shared" si="4"/>
        <v>0.7</v>
      </c>
      <c r="J46" s="148" t="s">
        <v>22</v>
      </c>
      <c r="K46" s="159" t="s">
        <v>183</v>
      </c>
      <c r="L46" s="230" t="e">
        <f>+#REF!</f>
        <v>#REF!</v>
      </c>
      <c r="M46" s="230" t="e">
        <f>+#REF!</f>
        <v>#REF!</v>
      </c>
      <c r="N46" s="389"/>
      <c r="O46" s="390"/>
      <c r="P46" s="104"/>
      <c r="R46" s="115"/>
      <c r="S46" s="115"/>
    </row>
    <row r="47" spans="1:21" s="110" customFormat="1" x14ac:dyDescent="0.25">
      <c r="A47" s="104"/>
      <c r="B47" s="387" t="s">
        <v>184</v>
      </c>
      <c r="C47" s="387"/>
      <c r="D47" s="387"/>
      <c r="E47" s="387"/>
      <c r="F47" s="387"/>
      <c r="G47" s="166" t="e">
        <f>SUM(G33:G46)</f>
        <v>#REF!</v>
      </c>
      <c r="H47" s="167"/>
      <c r="I47" s="167"/>
      <c r="J47" s="167"/>
      <c r="K47" s="167"/>
      <c r="L47" s="168"/>
      <c r="M47" s="288"/>
      <c r="N47" s="400"/>
      <c r="O47" s="401"/>
      <c r="P47" s="112"/>
      <c r="Q47" s="113"/>
      <c r="R47" s="115" t="s">
        <v>91</v>
      </c>
      <c r="S47" s="113"/>
      <c r="T47" s="113"/>
      <c r="U47" s="113"/>
    </row>
    <row r="48" spans="1:21" x14ac:dyDescent="0.25">
      <c r="A48" s="155"/>
      <c r="B48" s="153"/>
      <c r="C48" s="169"/>
      <c r="D48" s="170"/>
      <c r="E48" s="155"/>
      <c r="F48" s="155"/>
      <c r="G48" s="156"/>
      <c r="H48" s="171"/>
      <c r="I48" s="171"/>
      <c r="J48" s="155"/>
      <c r="K48" s="155"/>
      <c r="L48" s="157"/>
      <c r="M48" s="172"/>
      <c r="O48" s="173"/>
      <c r="R48" s="115"/>
      <c r="S48" s="115"/>
    </row>
    <row r="49" spans="1:207" x14ac:dyDescent="0.25">
      <c r="B49" s="384" t="s">
        <v>131</v>
      </c>
      <c r="C49" s="402"/>
      <c r="D49" s="402"/>
      <c r="E49" s="402"/>
      <c r="F49" s="402"/>
      <c r="G49" s="402"/>
      <c r="H49" s="402"/>
      <c r="I49" s="402"/>
      <c r="J49" s="402"/>
      <c r="K49" s="402"/>
      <c r="L49" s="402"/>
      <c r="M49" s="402"/>
      <c r="N49" s="402"/>
      <c r="O49" s="402"/>
      <c r="R49" s="115" t="s">
        <v>132</v>
      </c>
      <c r="S49" s="115" t="s">
        <v>127</v>
      </c>
    </row>
    <row r="50" spans="1:207" x14ac:dyDescent="0.25">
      <c r="B50" s="384" t="s">
        <v>64</v>
      </c>
      <c r="C50" s="388" t="s">
        <v>65</v>
      </c>
      <c r="D50" s="388" t="s">
        <v>66</v>
      </c>
      <c r="E50" s="384" t="s">
        <v>178</v>
      </c>
      <c r="F50" s="384" t="s">
        <v>69</v>
      </c>
      <c r="G50" s="386" t="s">
        <v>70</v>
      </c>
      <c r="H50" s="386"/>
      <c r="I50" s="386"/>
      <c r="J50" s="384" t="s">
        <v>185</v>
      </c>
      <c r="K50" s="384" t="s">
        <v>170</v>
      </c>
      <c r="L50" s="385" t="s">
        <v>171</v>
      </c>
      <c r="M50" s="384" t="s">
        <v>73</v>
      </c>
      <c r="N50" s="384"/>
      <c r="O50" s="384" t="s">
        <v>172</v>
      </c>
      <c r="R50" s="115" t="s">
        <v>126</v>
      </c>
      <c r="S50" s="115" t="s">
        <v>134</v>
      </c>
    </row>
    <row r="51" spans="1:207" ht="41.4" x14ac:dyDescent="0.25">
      <c r="B51" s="384"/>
      <c r="C51" s="388"/>
      <c r="D51" s="388"/>
      <c r="E51" s="386"/>
      <c r="F51" s="384"/>
      <c r="G51" s="283" t="s">
        <v>173</v>
      </c>
      <c r="H51" s="281" t="s">
        <v>77</v>
      </c>
      <c r="I51" s="281" t="s">
        <v>78</v>
      </c>
      <c r="J51" s="384"/>
      <c r="K51" s="384"/>
      <c r="L51" s="386"/>
      <c r="M51" s="284" t="s">
        <v>186</v>
      </c>
      <c r="N51" s="281" t="s">
        <v>136</v>
      </c>
      <c r="O51" s="384"/>
      <c r="R51" s="115" t="s">
        <v>130</v>
      </c>
      <c r="S51" s="115" t="s">
        <v>134</v>
      </c>
    </row>
    <row r="52" spans="1:207" x14ac:dyDescent="0.25">
      <c r="B52" s="161"/>
      <c r="C52" s="162"/>
      <c r="D52" s="145"/>
      <c r="E52" s="163"/>
      <c r="F52" s="174"/>
      <c r="G52" s="164"/>
      <c r="H52" s="175"/>
      <c r="I52" s="176"/>
      <c r="J52" s="177"/>
      <c r="K52" s="178"/>
      <c r="L52" s="179"/>
      <c r="M52" s="180"/>
      <c r="N52" s="180"/>
      <c r="O52" s="119"/>
      <c r="R52" s="115"/>
      <c r="S52" s="115"/>
    </row>
    <row r="53" spans="1:207" s="182" customFormat="1" x14ac:dyDescent="0.25">
      <c r="A53" s="104"/>
      <c r="B53" s="161"/>
      <c r="C53" s="162"/>
      <c r="D53" s="145"/>
      <c r="E53" s="163"/>
      <c r="F53" s="174"/>
      <c r="G53" s="164"/>
      <c r="H53" s="175"/>
      <c r="I53" s="176"/>
      <c r="J53" s="177"/>
      <c r="K53" s="177"/>
      <c r="L53" s="181"/>
      <c r="M53" s="165"/>
      <c r="N53" s="165"/>
      <c r="O53" s="119"/>
      <c r="P53" s="104"/>
      <c r="Q53" s="110"/>
      <c r="R53" s="115"/>
      <c r="S53" s="115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110"/>
      <c r="AG53" s="110"/>
      <c r="AH53" s="110"/>
      <c r="AI53" s="110"/>
      <c r="AJ53" s="110"/>
      <c r="AK53" s="110"/>
      <c r="AL53" s="110"/>
      <c r="AM53" s="110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110"/>
      <c r="BM53" s="110"/>
      <c r="BN53" s="110"/>
      <c r="BO53" s="110"/>
      <c r="BP53" s="110"/>
      <c r="BQ53" s="110"/>
      <c r="BR53" s="110"/>
      <c r="BS53" s="110"/>
      <c r="BT53" s="110"/>
      <c r="BU53" s="110"/>
      <c r="BV53" s="110"/>
      <c r="BW53" s="110"/>
      <c r="BX53" s="110"/>
      <c r="BY53" s="110"/>
      <c r="BZ53" s="110"/>
      <c r="CA53" s="110"/>
      <c r="CB53" s="110"/>
      <c r="CC53" s="110"/>
      <c r="CD53" s="110"/>
      <c r="CE53" s="110"/>
      <c r="CF53" s="110"/>
      <c r="CG53" s="110"/>
      <c r="CH53" s="110"/>
      <c r="CI53" s="110"/>
      <c r="CJ53" s="110"/>
      <c r="CK53" s="110"/>
      <c r="CL53" s="110"/>
      <c r="CM53" s="110"/>
      <c r="CN53" s="110"/>
      <c r="CO53" s="110"/>
      <c r="CP53" s="110"/>
      <c r="CQ53" s="110"/>
      <c r="CR53" s="110"/>
      <c r="CS53" s="110"/>
      <c r="CT53" s="110"/>
      <c r="CU53" s="110"/>
      <c r="CV53" s="110"/>
      <c r="CW53" s="110"/>
      <c r="CX53" s="110"/>
      <c r="CY53" s="110"/>
      <c r="CZ53" s="110"/>
      <c r="DA53" s="110"/>
      <c r="DB53" s="110"/>
      <c r="DC53" s="110"/>
      <c r="DD53" s="110"/>
      <c r="DE53" s="110"/>
      <c r="DF53" s="110"/>
      <c r="DG53" s="110"/>
      <c r="DH53" s="110"/>
      <c r="DI53" s="110"/>
      <c r="DJ53" s="110"/>
      <c r="DK53" s="110"/>
      <c r="DL53" s="110"/>
      <c r="DM53" s="110"/>
      <c r="DN53" s="110"/>
      <c r="DO53" s="110"/>
      <c r="DP53" s="110"/>
      <c r="DQ53" s="110"/>
      <c r="DR53" s="110"/>
      <c r="DS53" s="110"/>
      <c r="DT53" s="110"/>
      <c r="DU53" s="110"/>
      <c r="DV53" s="110"/>
      <c r="DW53" s="110"/>
      <c r="DX53" s="110"/>
      <c r="DY53" s="110"/>
      <c r="DZ53" s="110"/>
      <c r="EA53" s="110"/>
      <c r="EB53" s="110"/>
      <c r="EC53" s="110"/>
      <c r="ED53" s="110"/>
      <c r="EE53" s="110"/>
      <c r="EF53" s="110"/>
      <c r="EG53" s="110"/>
      <c r="EH53" s="110"/>
      <c r="EI53" s="110"/>
      <c r="EJ53" s="110"/>
      <c r="EK53" s="110"/>
      <c r="EL53" s="110"/>
      <c r="EM53" s="110"/>
      <c r="EN53" s="110"/>
      <c r="EO53" s="110"/>
      <c r="EP53" s="110"/>
      <c r="EQ53" s="110"/>
      <c r="ER53" s="110"/>
      <c r="ES53" s="110"/>
      <c r="ET53" s="110"/>
      <c r="EU53" s="110"/>
      <c r="EV53" s="110"/>
      <c r="EW53" s="110"/>
      <c r="EX53" s="110"/>
      <c r="EY53" s="110"/>
      <c r="EZ53" s="110"/>
      <c r="FA53" s="110"/>
      <c r="FB53" s="110"/>
      <c r="FC53" s="110"/>
      <c r="FD53" s="110"/>
      <c r="FE53" s="110"/>
      <c r="FF53" s="110"/>
      <c r="FG53" s="110"/>
      <c r="FH53" s="110"/>
      <c r="FI53" s="110"/>
      <c r="FJ53" s="110"/>
      <c r="FK53" s="110"/>
      <c r="FL53" s="110"/>
      <c r="FM53" s="110"/>
      <c r="FN53" s="110"/>
      <c r="FO53" s="110"/>
      <c r="FP53" s="110"/>
      <c r="FQ53" s="110"/>
      <c r="FR53" s="110"/>
      <c r="FS53" s="110"/>
      <c r="FT53" s="110"/>
      <c r="FU53" s="110"/>
      <c r="FV53" s="110"/>
      <c r="FW53" s="110"/>
      <c r="FX53" s="110"/>
      <c r="FY53" s="110"/>
      <c r="FZ53" s="110"/>
      <c r="GA53" s="110"/>
      <c r="GB53" s="110"/>
      <c r="GC53" s="110"/>
      <c r="GD53" s="110"/>
      <c r="GE53" s="110"/>
      <c r="GF53" s="110"/>
      <c r="GG53" s="110"/>
      <c r="GH53" s="110"/>
      <c r="GI53" s="110"/>
      <c r="GJ53" s="110"/>
      <c r="GK53" s="110"/>
      <c r="GL53" s="110"/>
      <c r="GM53" s="110"/>
      <c r="GN53" s="110"/>
      <c r="GO53" s="110"/>
      <c r="GP53" s="110"/>
      <c r="GQ53" s="110"/>
      <c r="GR53" s="110"/>
      <c r="GS53" s="110"/>
      <c r="GT53" s="110"/>
      <c r="GU53" s="110"/>
      <c r="GV53" s="110"/>
      <c r="GW53" s="110"/>
      <c r="GX53" s="110"/>
      <c r="GY53" s="110"/>
    </row>
    <row r="54" spans="1:207" x14ac:dyDescent="0.25">
      <c r="B54" s="387" t="s">
        <v>187</v>
      </c>
      <c r="C54" s="387"/>
      <c r="D54" s="387"/>
      <c r="E54" s="387"/>
      <c r="F54" s="387"/>
      <c r="G54" s="166">
        <f>SUM(G52:G53)</f>
        <v>0</v>
      </c>
      <c r="H54" s="167"/>
      <c r="I54" s="167"/>
      <c r="J54" s="167"/>
      <c r="K54" s="167"/>
      <c r="L54" s="168"/>
      <c r="M54" s="168"/>
      <c r="N54" s="168"/>
      <c r="O54" s="168"/>
      <c r="R54" s="115" t="s">
        <v>139</v>
      </c>
      <c r="S54" s="115" t="s">
        <v>138</v>
      </c>
    </row>
    <row r="55" spans="1:207" x14ac:dyDescent="0.25">
      <c r="B55" s="173"/>
      <c r="C55" s="183"/>
      <c r="D55" s="184"/>
      <c r="E55" s="173"/>
      <c r="F55" s="173"/>
      <c r="G55" s="19"/>
      <c r="H55" s="173"/>
      <c r="I55" s="173"/>
      <c r="J55" s="173"/>
      <c r="K55" s="173"/>
      <c r="L55" s="185"/>
      <c r="M55" s="185"/>
      <c r="N55" s="184"/>
      <c r="O55" s="173"/>
      <c r="R55" s="115" t="s">
        <v>141</v>
      </c>
      <c r="S55" s="115" t="s">
        <v>140</v>
      </c>
    </row>
    <row r="56" spans="1:207" x14ac:dyDescent="0.25">
      <c r="B56" s="383" t="s">
        <v>188</v>
      </c>
      <c r="C56" s="383"/>
      <c r="D56" s="383"/>
      <c r="E56" s="383"/>
      <c r="F56" s="383"/>
      <c r="G56" s="383"/>
      <c r="H56" s="383"/>
      <c r="I56" s="383"/>
      <c r="J56" s="383"/>
      <c r="K56" s="383"/>
      <c r="L56" s="383"/>
      <c r="M56" s="383"/>
      <c r="N56" s="383"/>
      <c r="O56" s="383"/>
      <c r="R56" s="115" t="s">
        <v>145</v>
      </c>
      <c r="S56" s="115" t="s">
        <v>140</v>
      </c>
    </row>
    <row r="57" spans="1:207" x14ac:dyDescent="0.25">
      <c r="B57" s="383" t="s">
        <v>64</v>
      </c>
      <c r="C57" s="397" t="s">
        <v>65</v>
      </c>
      <c r="D57" s="397" t="s">
        <v>66</v>
      </c>
      <c r="E57" s="383" t="s">
        <v>178</v>
      </c>
      <c r="F57" s="383" t="s">
        <v>69</v>
      </c>
      <c r="G57" s="398" t="s">
        <v>70</v>
      </c>
      <c r="H57" s="398"/>
      <c r="I57" s="398"/>
      <c r="J57" s="383" t="s">
        <v>170</v>
      </c>
      <c r="K57" s="383" t="s">
        <v>171</v>
      </c>
      <c r="L57" s="383" t="s">
        <v>73</v>
      </c>
      <c r="M57" s="383"/>
      <c r="N57" s="383" t="s">
        <v>172</v>
      </c>
      <c r="O57" s="383"/>
      <c r="R57" s="115"/>
      <c r="S57" s="115" t="s">
        <v>189</v>
      </c>
    </row>
    <row r="58" spans="1:207" ht="41.4" x14ac:dyDescent="0.25">
      <c r="B58" s="383"/>
      <c r="C58" s="397"/>
      <c r="D58" s="397"/>
      <c r="E58" s="398"/>
      <c r="F58" s="383"/>
      <c r="G58" s="186" t="s">
        <v>173</v>
      </c>
      <c r="H58" s="290" t="s">
        <v>77</v>
      </c>
      <c r="I58" s="290" t="s">
        <v>78</v>
      </c>
      <c r="J58" s="383"/>
      <c r="K58" s="399"/>
      <c r="L58" s="284" t="s">
        <v>111</v>
      </c>
      <c r="M58" s="158" t="s">
        <v>80</v>
      </c>
      <c r="N58" s="383"/>
      <c r="O58" s="383"/>
      <c r="R58" s="115"/>
      <c r="S58" s="115" t="s">
        <v>189</v>
      </c>
    </row>
    <row r="59" spans="1:207" s="110" customFormat="1" ht="41.4" x14ac:dyDescent="0.25">
      <c r="A59" s="187"/>
      <c r="B59" s="116" t="s">
        <v>175</v>
      </c>
      <c r="C59" s="131" t="e">
        <f>+#REF!</f>
        <v>#REF!</v>
      </c>
      <c r="D59" s="188" t="e">
        <f>+#REF!</f>
        <v>#REF!</v>
      </c>
      <c r="E59" s="189"/>
      <c r="F59" s="145">
        <v>19</v>
      </c>
      <c r="G59" s="190" t="e">
        <f>+#REF!</f>
        <v>#REF!</v>
      </c>
      <c r="H59" s="191">
        <v>0.7</v>
      </c>
      <c r="I59" s="192">
        <v>0.3</v>
      </c>
      <c r="J59" s="148" t="s">
        <v>174</v>
      </c>
      <c r="K59" s="159" t="s">
        <v>183</v>
      </c>
      <c r="L59" s="193" t="s">
        <v>190</v>
      </c>
      <c r="M59" s="193" t="s">
        <v>191</v>
      </c>
      <c r="N59" s="394"/>
      <c r="O59" s="395"/>
      <c r="P59" s="129"/>
      <c r="R59" s="115"/>
      <c r="S59" s="115"/>
    </row>
    <row r="60" spans="1:207" s="110" customFormat="1" ht="41.4" x14ac:dyDescent="0.25">
      <c r="A60" s="187"/>
      <c r="B60" s="116" t="s">
        <v>175</v>
      </c>
      <c r="C60" s="131" t="e">
        <f>+#REF!</f>
        <v>#REF!</v>
      </c>
      <c r="D60" s="188" t="e">
        <f>+#REF!</f>
        <v>#REF!</v>
      </c>
      <c r="E60" s="189"/>
      <c r="F60" s="225">
        <v>20</v>
      </c>
      <c r="G60" s="190" t="e">
        <f>+#REF!</f>
        <v>#REF!</v>
      </c>
      <c r="H60" s="191">
        <v>0.7</v>
      </c>
      <c r="I60" s="192">
        <v>0.3</v>
      </c>
      <c r="J60" s="148" t="s">
        <v>174</v>
      </c>
      <c r="K60" s="152"/>
      <c r="L60" s="193"/>
      <c r="M60" s="193"/>
      <c r="N60" s="293"/>
      <c r="O60" s="294"/>
      <c r="P60" s="129"/>
      <c r="R60" s="115"/>
      <c r="S60" s="115"/>
    </row>
    <row r="61" spans="1:207" s="110" customFormat="1" x14ac:dyDescent="0.25">
      <c r="A61" s="187"/>
      <c r="B61" s="116" t="s">
        <v>175</v>
      </c>
      <c r="C61" s="131" t="e">
        <f>+#REF!</f>
        <v>#REF!</v>
      </c>
      <c r="D61" s="188" t="e">
        <f>+#REF!</f>
        <v>#REF!</v>
      </c>
      <c r="E61" s="189"/>
      <c r="F61" s="145">
        <v>21</v>
      </c>
      <c r="G61" s="190" t="e">
        <f>+#REF!</f>
        <v>#REF!</v>
      </c>
      <c r="H61" s="191">
        <v>0.7</v>
      </c>
      <c r="I61" s="192">
        <v>0.3</v>
      </c>
      <c r="J61" s="148" t="s">
        <v>22</v>
      </c>
      <c r="K61" s="193"/>
      <c r="L61" s="193"/>
      <c r="M61" s="193"/>
      <c r="N61" s="293"/>
      <c r="O61" s="294"/>
      <c r="P61" s="129"/>
      <c r="R61" s="115"/>
      <c r="S61" s="115"/>
    </row>
    <row r="62" spans="1:207" s="110" customFormat="1" x14ac:dyDescent="0.25">
      <c r="A62" s="187"/>
      <c r="B62" s="116" t="s">
        <v>175</v>
      </c>
      <c r="C62" s="131" t="e">
        <f>+#REF!</f>
        <v>#REF!</v>
      </c>
      <c r="D62" s="226" t="e">
        <f>+#REF!</f>
        <v>#REF!</v>
      </c>
      <c r="E62" s="189"/>
      <c r="F62" s="225">
        <v>22</v>
      </c>
      <c r="G62" s="190" t="e">
        <f>+#REF!</f>
        <v>#REF!</v>
      </c>
      <c r="H62" s="191"/>
      <c r="I62" s="192">
        <v>1</v>
      </c>
      <c r="J62" s="148" t="s">
        <v>22</v>
      </c>
      <c r="K62" s="193"/>
      <c r="L62" s="193"/>
      <c r="M62" s="193"/>
      <c r="N62" s="293"/>
      <c r="O62" s="294"/>
      <c r="P62" s="129"/>
      <c r="R62" s="115"/>
      <c r="S62" s="115"/>
    </row>
    <row r="63" spans="1:207" s="110" customFormat="1" x14ac:dyDescent="0.25">
      <c r="A63" s="187"/>
      <c r="B63" s="116" t="s">
        <v>175</v>
      </c>
      <c r="C63" s="131" t="e">
        <f>+#REF!</f>
        <v>#REF!</v>
      </c>
      <c r="D63" s="226" t="e">
        <f>+#REF!</f>
        <v>#REF!</v>
      </c>
      <c r="E63" s="189"/>
      <c r="F63" s="145">
        <v>23</v>
      </c>
      <c r="G63" s="190" t="e">
        <f>+#REF!</f>
        <v>#REF!</v>
      </c>
      <c r="H63" s="191"/>
      <c r="I63" s="192">
        <v>1</v>
      </c>
      <c r="J63" s="148" t="s">
        <v>22</v>
      </c>
      <c r="K63" s="193"/>
      <c r="L63" s="193"/>
      <c r="M63" s="193"/>
      <c r="N63" s="293"/>
      <c r="O63" s="294"/>
      <c r="P63" s="129"/>
      <c r="R63" s="115"/>
      <c r="S63" s="115"/>
    </row>
    <row r="64" spans="1:207" s="110" customFormat="1" x14ac:dyDescent="0.25">
      <c r="A64" s="187"/>
      <c r="B64" s="116" t="s">
        <v>175</v>
      </c>
      <c r="C64" s="131" t="e">
        <f>+#REF!</f>
        <v>#REF!</v>
      </c>
      <c r="D64" s="226" t="e">
        <f>+#REF!</f>
        <v>#REF!</v>
      </c>
      <c r="E64" s="189"/>
      <c r="F64" s="225">
        <v>24</v>
      </c>
      <c r="G64" s="190" t="e">
        <f>+#REF!</f>
        <v>#REF!</v>
      </c>
      <c r="H64" s="191">
        <v>0.7</v>
      </c>
      <c r="I64" s="192">
        <v>0.3</v>
      </c>
      <c r="J64" s="148" t="s">
        <v>174</v>
      </c>
      <c r="K64" s="152"/>
      <c r="L64" s="193"/>
      <c r="M64" s="193"/>
      <c r="N64" s="293"/>
      <c r="O64" s="294"/>
      <c r="P64" s="129"/>
      <c r="R64" s="115"/>
      <c r="S64" s="115"/>
    </row>
    <row r="65" spans="1:207" x14ac:dyDescent="0.25">
      <c r="A65" s="194"/>
      <c r="B65" s="392" t="s">
        <v>192</v>
      </c>
      <c r="C65" s="392"/>
      <c r="D65" s="392"/>
      <c r="E65" s="392"/>
      <c r="F65" s="392"/>
      <c r="G65" s="195" t="e">
        <f>SUM(G59:G64)</f>
        <v>#REF!</v>
      </c>
      <c r="H65" s="196"/>
      <c r="I65" s="196"/>
      <c r="J65" s="196"/>
      <c r="K65" s="196"/>
      <c r="L65" s="292"/>
      <c r="M65" s="292"/>
      <c r="N65" s="396"/>
      <c r="O65" s="396"/>
      <c r="R65" s="115" t="s">
        <v>193</v>
      </c>
      <c r="S65" s="115" t="s">
        <v>127</v>
      </c>
    </row>
    <row r="66" spans="1:207" x14ac:dyDescent="0.25">
      <c r="B66" s="173"/>
      <c r="C66" s="183"/>
      <c r="D66" s="184"/>
      <c r="E66" s="173"/>
      <c r="F66" s="173"/>
      <c r="G66" s="19"/>
      <c r="H66" s="173"/>
      <c r="I66" s="173"/>
      <c r="J66" s="173"/>
      <c r="K66" s="173"/>
      <c r="L66" s="185"/>
      <c r="M66" s="185"/>
      <c r="N66" s="184"/>
      <c r="O66" s="173"/>
      <c r="R66" s="115" t="s">
        <v>194</v>
      </c>
      <c r="S66" s="115" t="s">
        <v>127</v>
      </c>
    </row>
    <row r="67" spans="1:207" x14ac:dyDescent="0.25">
      <c r="B67" s="383" t="s">
        <v>195</v>
      </c>
      <c r="C67" s="383"/>
      <c r="D67" s="383"/>
      <c r="E67" s="383"/>
      <c r="F67" s="383"/>
      <c r="G67" s="383"/>
      <c r="H67" s="383"/>
      <c r="I67" s="383"/>
      <c r="J67" s="383"/>
      <c r="K67" s="383"/>
      <c r="L67" s="383"/>
      <c r="M67" s="383"/>
      <c r="N67" s="383"/>
      <c r="O67" s="383"/>
      <c r="R67" s="115" t="s">
        <v>196</v>
      </c>
      <c r="S67" s="115" t="s">
        <v>127</v>
      </c>
    </row>
    <row r="68" spans="1:207" ht="41.4" x14ac:dyDescent="0.25">
      <c r="B68" s="383" t="s">
        <v>64</v>
      </c>
      <c r="C68" s="397" t="s">
        <v>197</v>
      </c>
      <c r="D68" s="397" t="s">
        <v>66</v>
      </c>
      <c r="E68" s="383" t="s">
        <v>69</v>
      </c>
      <c r="F68" s="383"/>
      <c r="G68" s="398" t="s">
        <v>70</v>
      </c>
      <c r="H68" s="398"/>
      <c r="I68" s="398"/>
      <c r="J68" s="383" t="s">
        <v>170</v>
      </c>
      <c r="K68" s="290" t="s">
        <v>198</v>
      </c>
      <c r="L68" s="383" t="s">
        <v>73</v>
      </c>
      <c r="M68" s="383"/>
      <c r="N68" s="391" t="s">
        <v>172</v>
      </c>
      <c r="O68" s="391"/>
      <c r="R68" s="115" t="s">
        <v>199</v>
      </c>
      <c r="S68" s="115" t="s">
        <v>127</v>
      </c>
    </row>
    <row r="69" spans="1:207" s="197" customFormat="1" ht="55.2" x14ac:dyDescent="0.25">
      <c r="A69" s="104"/>
      <c r="B69" s="383"/>
      <c r="C69" s="397"/>
      <c r="D69" s="397"/>
      <c r="E69" s="383"/>
      <c r="F69" s="383"/>
      <c r="G69" s="290" t="s">
        <v>173</v>
      </c>
      <c r="H69" s="186" t="s">
        <v>77</v>
      </c>
      <c r="I69" s="290" t="s">
        <v>78</v>
      </c>
      <c r="J69" s="383"/>
      <c r="K69" s="290"/>
      <c r="L69" s="290" t="s">
        <v>200</v>
      </c>
      <c r="M69" s="291" t="s">
        <v>201</v>
      </c>
      <c r="N69" s="391"/>
      <c r="O69" s="391"/>
      <c r="Q69" s="110"/>
      <c r="R69" s="114"/>
      <c r="S69" s="114"/>
      <c r="T69" s="110"/>
      <c r="U69" s="110"/>
      <c r="V69" s="110"/>
      <c r="W69" s="110"/>
      <c r="X69" s="110"/>
      <c r="Y69" s="110"/>
      <c r="Z69" s="110"/>
      <c r="AA69" s="110"/>
      <c r="AB69" s="110"/>
      <c r="AC69" s="110"/>
      <c r="AD69" s="110"/>
      <c r="AE69" s="110"/>
      <c r="AF69" s="110"/>
      <c r="AG69" s="110"/>
      <c r="AH69" s="110"/>
      <c r="AI69" s="110"/>
      <c r="AJ69" s="110"/>
      <c r="AK69" s="110"/>
      <c r="AL69" s="110"/>
      <c r="AM69" s="110"/>
      <c r="AN69" s="110"/>
      <c r="AO69" s="110"/>
      <c r="AP69" s="110"/>
      <c r="AQ69" s="110"/>
      <c r="AR69" s="110"/>
      <c r="AS69" s="110"/>
      <c r="AT69" s="110"/>
      <c r="AU69" s="110"/>
      <c r="AV69" s="110"/>
      <c r="AW69" s="110"/>
      <c r="AX69" s="110"/>
      <c r="AY69" s="110"/>
      <c r="AZ69" s="110"/>
      <c r="BA69" s="110"/>
      <c r="BB69" s="110"/>
      <c r="BC69" s="110"/>
      <c r="BD69" s="110"/>
      <c r="BE69" s="110"/>
      <c r="BF69" s="110"/>
      <c r="BG69" s="110"/>
      <c r="BH69" s="110"/>
      <c r="BI69" s="110"/>
      <c r="BJ69" s="110"/>
      <c r="BK69" s="110"/>
      <c r="BL69" s="110"/>
      <c r="BM69" s="110"/>
      <c r="BN69" s="110"/>
      <c r="BO69" s="110"/>
      <c r="BP69" s="110"/>
      <c r="BQ69" s="110"/>
      <c r="BR69" s="110"/>
      <c r="BS69" s="110"/>
      <c r="BT69" s="110"/>
      <c r="BU69" s="110"/>
      <c r="BV69" s="110"/>
      <c r="BW69" s="110"/>
      <c r="BX69" s="110"/>
      <c r="BY69" s="110"/>
      <c r="BZ69" s="110"/>
      <c r="CA69" s="110"/>
      <c r="CB69" s="110"/>
      <c r="CC69" s="110"/>
      <c r="CD69" s="110"/>
      <c r="CE69" s="110"/>
      <c r="CF69" s="110"/>
      <c r="CG69" s="110"/>
      <c r="CH69" s="110"/>
      <c r="CI69" s="110"/>
      <c r="CJ69" s="110"/>
      <c r="CK69" s="110"/>
      <c r="CL69" s="110"/>
      <c r="CM69" s="110"/>
      <c r="CN69" s="110"/>
      <c r="CO69" s="110"/>
      <c r="CP69" s="110"/>
      <c r="CQ69" s="110"/>
      <c r="CR69" s="110"/>
      <c r="CS69" s="110"/>
      <c r="CT69" s="110"/>
      <c r="CU69" s="110"/>
      <c r="CV69" s="110"/>
      <c r="CW69" s="110"/>
      <c r="CX69" s="110"/>
      <c r="CY69" s="110"/>
      <c r="CZ69" s="110"/>
      <c r="DA69" s="110"/>
      <c r="DB69" s="110"/>
      <c r="DC69" s="110"/>
      <c r="DD69" s="110"/>
      <c r="DE69" s="110"/>
      <c r="DF69" s="110"/>
      <c r="DG69" s="110"/>
      <c r="DH69" s="110"/>
      <c r="DI69" s="110"/>
      <c r="DJ69" s="110"/>
      <c r="DK69" s="110"/>
      <c r="DL69" s="110"/>
      <c r="DM69" s="110"/>
      <c r="DN69" s="110"/>
      <c r="DO69" s="110"/>
      <c r="DP69" s="110"/>
      <c r="DQ69" s="110"/>
      <c r="DR69" s="110"/>
      <c r="DS69" s="110"/>
      <c r="DT69" s="110"/>
      <c r="DU69" s="110"/>
      <c r="DV69" s="110"/>
      <c r="DW69" s="110"/>
      <c r="DX69" s="110"/>
      <c r="DY69" s="110"/>
      <c r="DZ69" s="110"/>
      <c r="EA69" s="110"/>
      <c r="EB69" s="110"/>
      <c r="EC69" s="110"/>
      <c r="ED69" s="110"/>
      <c r="EE69" s="110"/>
      <c r="EF69" s="110"/>
      <c r="EG69" s="110"/>
      <c r="EH69" s="110"/>
      <c r="EI69" s="110"/>
      <c r="EJ69" s="110"/>
      <c r="EK69" s="110"/>
      <c r="EL69" s="110"/>
      <c r="EM69" s="110"/>
      <c r="EN69" s="110"/>
      <c r="EO69" s="110"/>
      <c r="EP69" s="110"/>
      <c r="EQ69" s="110"/>
      <c r="ER69" s="110"/>
      <c r="ES69" s="110"/>
      <c r="ET69" s="110"/>
      <c r="EU69" s="110"/>
      <c r="EV69" s="110"/>
      <c r="EW69" s="110"/>
      <c r="EX69" s="110"/>
      <c r="EY69" s="110"/>
      <c r="EZ69" s="110"/>
      <c r="FA69" s="110"/>
      <c r="FB69" s="110"/>
      <c r="FC69" s="110"/>
      <c r="FD69" s="110"/>
      <c r="FE69" s="110"/>
      <c r="FF69" s="110"/>
      <c r="FG69" s="110"/>
      <c r="FH69" s="110"/>
      <c r="FI69" s="110"/>
      <c r="FJ69" s="110"/>
      <c r="FK69" s="110"/>
      <c r="FL69" s="110"/>
      <c r="FM69" s="110"/>
      <c r="FN69" s="110"/>
      <c r="FO69" s="110"/>
      <c r="FP69" s="110"/>
      <c r="FQ69" s="110"/>
      <c r="FR69" s="110"/>
      <c r="FS69" s="110"/>
      <c r="FT69" s="110"/>
      <c r="FU69" s="110"/>
      <c r="FV69" s="110"/>
      <c r="FW69" s="110"/>
      <c r="FX69" s="110"/>
      <c r="FY69" s="110"/>
      <c r="FZ69" s="110"/>
      <c r="GA69" s="110"/>
      <c r="GB69" s="110"/>
      <c r="GC69" s="110"/>
      <c r="GD69" s="110"/>
      <c r="GE69" s="110"/>
      <c r="GF69" s="110"/>
      <c r="GG69" s="110"/>
      <c r="GH69" s="110"/>
      <c r="GI69" s="110"/>
      <c r="GJ69" s="110"/>
      <c r="GK69" s="110"/>
      <c r="GL69" s="110"/>
      <c r="GM69" s="110"/>
      <c r="GN69" s="110"/>
      <c r="GO69" s="110"/>
      <c r="GP69" s="110"/>
      <c r="GQ69" s="110"/>
      <c r="GR69" s="110"/>
      <c r="GS69" s="110"/>
      <c r="GT69" s="110"/>
      <c r="GU69" s="110"/>
      <c r="GV69" s="110"/>
      <c r="GW69" s="110"/>
      <c r="GX69" s="110"/>
      <c r="GY69" s="110"/>
    </row>
    <row r="70" spans="1:207" s="129" customFormat="1" x14ac:dyDescent="0.25">
      <c r="B70" s="198"/>
      <c r="C70" s="131"/>
      <c r="D70" s="189"/>
      <c r="E70" s="199"/>
      <c r="F70" s="200"/>
      <c r="G70" s="201"/>
      <c r="H70" s="202"/>
      <c r="I70" s="203"/>
      <c r="J70" s="204"/>
      <c r="K70" s="205"/>
      <c r="L70" s="206"/>
      <c r="M70" s="206"/>
      <c r="N70" s="207"/>
      <c r="O70" s="208"/>
      <c r="P70" s="110"/>
      <c r="Q70" s="110"/>
      <c r="R70" s="115"/>
      <c r="S70" s="115"/>
      <c r="T70" s="110"/>
      <c r="U70" s="110"/>
      <c r="V70" s="110"/>
      <c r="W70" s="110"/>
      <c r="X70" s="110"/>
      <c r="Y70" s="110"/>
      <c r="Z70" s="110"/>
      <c r="AA70" s="110"/>
      <c r="AB70" s="110"/>
      <c r="AC70" s="110"/>
      <c r="AD70" s="110"/>
      <c r="AE70" s="110"/>
      <c r="AF70" s="110"/>
      <c r="AG70" s="110"/>
      <c r="AH70" s="110"/>
      <c r="AI70" s="110"/>
      <c r="AJ70" s="110"/>
      <c r="AK70" s="110"/>
      <c r="AL70" s="110"/>
      <c r="AM70" s="110"/>
      <c r="AN70" s="110"/>
      <c r="AO70" s="110"/>
      <c r="AP70" s="110"/>
      <c r="AQ70" s="110"/>
      <c r="AR70" s="110"/>
      <c r="AS70" s="110"/>
      <c r="AT70" s="110"/>
      <c r="AU70" s="110"/>
      <c r="AV70" s="110"/>
      <c r="AW70" s="110"/>
      <c r="AX70" s="110"/>
      <c r="AY70" s="110"/>
      <c r="AZ70" s="110"/>
      <c r="BA70" s="110"/>
      <c r="BB70" s="110"/>
      <c r="BC70" s="110"/>
      <c r="BD70" s="110"/>
      <c r="BE70" s="110"/>
      <c r="BF70" s="110"/>
      <c r="BG70" s="110"/>
      <c r="BH70" s="110"/>
      <c r="BI70" s="110"/>
      <c r="BJ70" s="110"/>
      <c r="BK70" s="110"/>
      <c r="BL70" s="110"/>
      <c r="BM70" s="110"/>
      <c r="BN70" s="110"/>
      <c r="BO70" s="110"/>
      <c r="BP70" s="110"/>
      <c r="BQ70" s="110"/>
      <c r="BR70" s="110"/>
      <c r="BS70" s="110"/>
      <c r="BT70" s="110"/>
      <c r="BU70" s="110"/>
      <c r="BV70" s="110"/>
      <c r="BW70" s="110"/>
      <c r="BX70" s="110"/>
      <c r="BY70" s="110"/>
      <c r="BZ70" s="110"/>
      <c r="CA70" s="110"/>
      <c r="CB70" s="110"/>
      <c r="CC70" s="110"/>
      <c r="CD70" s="110"/>
      <c r="CE70" s="110"/>
      <c r="CF70" s="110"/>
      <c r="CG70" s="110"/>
      <c r="CH70" s="110"/>
      <c r="CI70" s="110"/>
      <c r="CJ70" s="110"/>
      <c r="CK70" s="110"/>
      <c r="CL70" s="110"/>
      <c r="CM70" s="110"/>
      <c r="CN70" s="110"/>
      <c r="CO70" s="110"/>
      <c r="CP70" s="110"/>
      <c r="CQ70" s="110"/>
      <c r="CR70" s="110"/>
      <c r="CS70" s="110"/>
      <c r="CT70" s="110"/>
      <c r="CU70" s="110"/>
      <c r="CV70" s="110"/>
      <c r="CW70" s="110"/>
      <c r="CX70" s="110"/>
      <c r="CY70" s="110"/>
      <c r="CZ70" s="110"/>
      <c r="DA70" s="110"/>
      <c r="DB70" s="110"/>
      <c r="DC70" s="110"/>
      <c r="DD70" s="110"/>
      <c r="DE70" s="110"/>
      <c r="DF70" s="110"/>
      <c r="DG70" s="110"/>
      <c r="DH70" s="110"/>
      <c r="DI70" s="110"/>
      <c r="DJ70" s="110"/>
      <c r="DK70" s="110"/>
      <c r="DL70" s="110"/>
      <c r="DM70" s="110"/>
      <c r="DN70" s="110"/>
      <c r="DO70" s="110"/>
      <c r="DP70" s="110"/>
      <c r="DQ70" s="110"/>
      <c r="DR70" s="110"/>
      <c r="DS70" s="110"/>
      <c r="DT70" s="110"/>
      <c r="DU70" s="110"/>
      <c r="DV70" s="110"/>
      <c r="DW70" s="110"/>
      <c r="DX70" s="110"/>
      <c r="DY70" s="110"/>
      <c r="DZ70" s="110"/>
      <c r="EA70" s="110"/>
      <c r="EB70" s="110"/>
      <c r="EC70" s="110"/>
      <c r="ED70" s="110"/>
      <c r="EE70" s="110"/>
      <c r="EF70" s="110"/>
      <c r="EG70" s="110"/>
      <c r="EH70" s="110"/>
      <c r="EI70" s="110"/>
      <c r="EJ70" s="110"/>
      <c r="EK70" s="110"/>
      <c r="EL70" s="110"/>
      <c r="EM70" s="110"/>
      <c r="EN70" s="110"/>
      <c r="EO70" s="110"/>
      <c r="EP70" s="110"/>
      <c r="EQ70" s="110"/>
      <c r="ER70" s="110"/>
      <c r="ES70" s="110"/>
      <c r="ET70" s="110"/>
      <c r="EU70" s="110"/>
      <c r="EV70" s="110"/>
      <c r="EW70" s="110"/>
      <c r="EX70" s="110"/>
      <c r="EY70" s="110"/>
      <c r="EZ70" s="110"/>
      <c r="FA70" s="110"/>
      <c r="FB70" s="110"/>
      <c r="FC70" s="110"/>
      <c r="FD70" s="110"/>
      <c r="FE70" s="110"/>
      <c r="FF70" s="110"/>
      <c r="FG70" s="110"/>
      <c r="FH70" s="110"/>
      <c r="FI70" s="110"/>
      <c r="FJ70" s="110"/>
      <c r="FK70" s="110"/>
      <c r="FL70" s="110"/>
      <c r="FM70" s="110"/>
      <c r="FN70" s="110"/>
      <c r="FO70" s="110"/>
      <c r="FP70" s="110"/>
      <c r="FQ70" s="110"/>
      <c r="FR70" s="110"/>
      <c r="FS70" s="110"/>
      <c r="FT70" s="110"/>
      <c r="FU70" s="110"/>
      <c r="FV70" s="110"/>
      <c r="FW70" s="110"/>
      <c r="FX70" s="110"/>
      <c r="FY70" s="110"/>
      <c r="FZ70" s="110"/>
      <c r="GA70" s="110"/>
      <c r="GB70" s="110"/>
      <c r="GC70" s="110"/>
      <c r="GD70" s="110"/>
      <c r="GE70" s="110"/>
      <c r="GF70" s="110"/>
      <c r="GG70" s="110"/>
      <c r="GH70" s="110"/>
      <c r="GI70" s="110"/>
      <c r="GJ70" s="110"/>
      <c r="GK70" s="110"/>
      <c r="GL70" s="110"/>
      <c r="GM70" s="110"/>
      <c r="GN70" s="110"/>
      <c r="GO70" s="110"/>
      <c r="GP70" s="110"/>
      <c r="GQ70" s="110"/>
      <c r="GR70" s="110"/>
      <c r="GS70" s="110"/>
      <c r="GT70" s="110"/>
      <c r="GU70" s="110"/>
      <c r="GV70" s="110"/>
      <c r="GW70" s="110"/>
      <c r="GX70" s="110"/>
      <c r="GY70" s="110"/>
    </row>
    <row r="71" spans="1:207" x14ac:dyDescent="0.25">
      <c r="B71" s="392" t="s">
        <v>202</v>
      </c>
      <c r="C71" s="392"/>
      <c r="D71" s="392"/>
      <c r="E71" s="392"/>
      <c r="F71" s="392"/>
      <c r="G71" s="209">
        <f>SUM(G70:G70)</f>
        <v>0</v>
      </c>
      <c r="H71" s="196"/>
      <c r="I71" s="196"/>
      <c r="J71" s="196"/>
      <c r="K71" s="196"/>
      <c r="L71" s="292"/>
      <c r="M71" s="292"/>
      <c r="N71" s="393"/>
      <c r="O71" s="393"/>
      <c r="R71" s="114"/>
      <c r="S71" s="115"/>
    </row>
    <row r="72" spans="1:207" x14ac:dyDescent="0.25">
      <c r="R72" s="114"/>
      <c r="S72" s="114"/>
    </row>
    <row r="73" spans="1:207" x14ac:dyDescent="0.25">
      <c r="L73" s="104"/>
      <c r="M73" s="104"/>
      <c r="N73" s="104"/>
      <c r="Q73" s="104"/>
      <c r="R73" s="104"/>
      <c r="S73" s="104"/>
      <c r="T73" s="104"/>
      <c r="U73" s="104"/>
      <c r="V73" s="104"/>
      <c r="W73" s="104"/>
      <c r="X73" s="104"/>
      <c r="Y73" s="104"/>
    </row>
    <row r="74" spans="1:207" x14ac:dyDescent="0.25">
      <c r="L74" s="104"/>
      <c r="M74" s="104"/>
      <c r="N74" s="104"/>
      <c r="Q74" s="104"/>
      <c r="R74" s="104"/>
      <c r="S74" s="104"/>
      <c r="T74" s="104"/>
      <c r="U74" s="104"/>
      <c r="V74" s="104"/>
      <c r="W74" s="104"/>
      <c r="X74" s="104"/>
      <c r="Y74" s="104"/>
    </row>
    <row r="75" spans="1:207" s="110" customFormat="1" x14ac:dyDescent="0.25">
      <c r="A75" s="104"/>
      <c r="C75" s="106"/>
      <c r="D75" s="382" t="s">
        <v>176</v>
      </c>
      <c r="E75" s="382"/>
      <c r="F75" s="382"/>
      <c r="G75" s="210" t="e">
        <f>H16</f>
        <v>#REF!</v>
      </c>
      <c r="H75" s="211" t="e">
        <f t="shared" ref="H75:H81" si="5">G75/$G$82</f>
        <v>#REF!</v>
      </c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4"/>
    </row>
    <row r="76" spans="1:207" s="110" customFormat="1" x14ac:dyDescent="0.25">
      <c r="A76" s="104"/>
      <c r="C76" s="106"/>
      <c r="D76" s="382" t="s">
        <v>179</v>
      </c>
      <c r="E76" s="382"/>
      <c r="F76" s="382"/>
      <c r="G76" s="210">
        <f>H22</f>
        <v>0</v>
      </c>
      <c r="H76" s="211" t="e">
        <f t="shared" si="5"/>
        <v>#REF!</v>
      </c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4"/>
    </row>
    <row r="77" spans="1:207" s="110" customFormat="1" ht="12.75" customHeight="1" x14ac:dyDescent="0.25">
      <c r="A77" s="104"/>
      <c r="C77" s="106"/>
      <c r="D77" s="382" t="s">
        <v>180</v>
      </c>
      <c r="E77" s="382"/>
      <c r="F77" s="382"/>
      <c r="G77" s="210">
        <f>H28</f>
        <v>0</v>
      </c>
      <c r="H77" s="211" t="e">
        <f t="shared" si="5"/>
        <v>#REF!</v>
      </c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</row>
    <row r="78" spans="1:207" s="110" customFormat="1" x14ac:dyDescent="0.25">
      <c r="A78" s="104"/>
      <c r="C78" s="106"/>
      <c r="D78" s="382" t="s">
        <v>184</v>
      </c>
      <c r="E78" s="382"/>
      <c r="F78" s="382"/>
      <c r="G78" s="210" t="e">
        <f>G47</f>
        <v>#REF!</v>
      </c>
      <c r="H78" s="211" t="e">
        <f t="shared" si="5"/>
        <v>#REF!</v>
      </c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4"/>
    </row>
    <row r="79" spans="1:207" x14ac:dyDescent="0.25">
      <c r="D79" s="382" t="s">
        <v>187</v>
      </c>
      <c r="E79" s="382"/>
      <c r="F79" s="382"/>
      <c r="G79" s="210">
        <f>G54</f>
        <v>0</v>
      </c>
      <c r="H79" s="211" t="e">
        <f t="shared" si="5"/>
        <v>#REF!</v>
      </c>
      <c r="L79" s="104"/>
      <c r="M79" s="104"/>
      <c r="N79" s="104"/>
      <c r="Q79" s="104"/>
      <c r="R79" s="104"/>
      <c r="S79" s="104"/>
      <c r="T79" s="104"/>
      <c r="U79" s="104"/>
      <c r="V79" s="104"/>
      <c r="W79" s="104"/>
      <c r="X79" s="104"/>
      <c r="Y79" s="104"/>
    </row>
    <row r="80" spans="1:207" x14ac:dyDescent="0.25">
      <c r="A80" s="194"/>
      <c r="D80" s="382" t="s">
        <v>203</v>
      </c>
      <c r="E80" s="382"/>
      <c r="F80" s="382"/>
      <c r="G80" s="210"/>
      <c r="H80" s="211" t="e">
        <f t="shared" si="5"/>
        <v>#REF!</v>
      </c>
      <c r="L80" s="104"/>
      <c r="M80" s="104"/>
      <c r="N80" s="104"/>
      <c r="Q80" s="104"/>
      <c r="R80" s="104"/>
      <c r="S80" s="104"/>
      <c r="T80" s="104"/>
      <c r="U80" s="104"/>
      <c r="V80" s="104"/>
      <c r="W80" s="104"/>
      <c r="X80" s="104"/>
      <c r="Y80" s="104"/>
    </row>
    <row r="81" spans="4:25" x14ac:dyDescent="0.25">
      <c r="D81" s="382" t="s">
        <v>204</v>
      </c>
      <c r="E81" s="382"/>
      <c r="F81" s="382"/>
      <c r="G81" s="210" t="e">
        <f>+G65</f>
        <v>#REF!</v>
      </c>
      <c r="H81" s="211" t="e">
        <f t="shared" si="5"/>
        <v>#REF!</v>
      </c>
      <c r="L81" s="104"/>
      <c r="M81" s="104"/>
      <c r="N81" s="104"/>
      <c r="Q81" s="104"/>
      <c r="R81" s="104"/>
      <c r="S81" s="104"/>
      <c r="T81" s="104"/>
      <c r="U81" s="104"/>
      <c r="V81" s="104"/>
      <c r="W81" s="104"/>
      <c r="X81" s="104"/>
      <c r="Y81" s="104"/>
    </row>
    <row r="82" spans="4:25" x14ac:dyDescent="0.25">
      <c r="D82" s="381"/>
      <c r="E82" s="381"/>
      <c r="F82" s="381"/>
      <c r="G82" s="212" t="e">
        <f>SUM(G75:G81)</f>
        <v>#REF!</v>
      </c>
      <c r="H82" s="213" t="e">
        <f>SUM(H75:H81)</f>
        <v>#REF!</v>
      </c>
      <c r="L82" s="104"/>
      <c r="M82" s="104"/>
      <c r="N82" s="104"/>
      <c r="Q82" s="104"/>
      <c r="R82" s="104"/>
      <c r="S82" s="104"/>
      <c r="T82" s="104"/>
      <c r="U82" s="104"/>
      <c r="V82" s="104"/>
      <c r="W82" s="104"/>
      <c r="X82" s="104"/>
      <c r="Y82" s="104"/>
    </row>
  </sheetData>
  <mergeCells count="109">
    <mergeCell ref="B8:O8"/>
    <mergeCell ref="B9:O9"/>
    <mergeCell ref="B10:B11"/>
    <mergeCell ref="C10:C11"/>
    <mergeCell ref="D10:D11"/>
    <mergeCell ref="E10:E11"/>
    <mergeCell ref="F10:F11"/>
    <mergeCell ref="G10:G11"/>
    <mergeCell ref="H10:J10"/>
    <mergeCell ref="K10:K11"/>
    <mergeCell ref="G19:G20"/>
    <mergeCell ref="H19:J19"/>
    <mergeCell ref="K19:K20"/>
    <mergeCell ref="L19:L20"/>
    <mergeCell ref="M19:N19"/>
    <mergeCell ref="O19:O20"/>
    <mergeCell ref="L10:L11"/>
    <mergeCell ref="M10:N10"/>
    <mergeCell ref="O10:O11"/>
    <mergeCell ref="B16:G16"/>
    <mergeCell ref="B18:O18"/>
    <mergeCell ref="B19:B20"/>
    <mergeCell ref="C19:C20"/>
    <mergeCell ref="D19:D20"/>
    <mergeCell ref="E19:E20"/>
    <mergeCell ref="F19:F20"/>
    <mergeCell ref="B28:G28"/>
    <mergeCell ref="B30:O30"/>
    <mergeCell ref="B31:B32"/>
    <mergeCell ref="C31:C32"/>
    <mergeCell ref="D31:D32"/>
    <mergeCell ref="E31:E32"/>
    <mergeCell ref="F31:F32"/>
    <mergeCell ref="N34:O34"/>
    <mergeCell ref="B22:G22"/>
    <mergeCell ref="B24:O24"/>
    <mergeCell ref="B25:B26"/>
    <mergeCell ref="C25:C26"/>
    <mergeCell ref="D25:D26"/>
    <mergeCell ref="E25:E26"/>
    <mergeCell ref="F25:F26"/>
    <mergeCell ref="G25:G26"/>
    <mergeCell ref="H25:J25"/>
    <mergeCell ref="K25:K26"/>
    <mergeCell ref="L25:L26"/>
    <mergeCell ref="M25:N25"/>
    <mergeCell ref="O25:O26"/>
    <mergeCell ref="N47:O47"/>
    <mergeCell ref="B49:O49"/>
    <mergeCell ref="G31:I31"/>
    <mergeCell ref="J31:J32"/>
    <mergeCell ref="K31:K32"/>
    <mergeCell ref="L31:M31"/>
    <mergeCell ref="N31:O32"/>
    <mergeCell ref="N33:O33"/>
    <mergeCell ref="N41:O41"/>
    <mergeCell ref="N42:O42"/>
    <mergeCell ref="N43:O43"/>
    <mergeCell ref="N44:O44"/>
    <mergeCell ref="N45:O45"/>
    <mergeCell ref="N46:O46"/>
    <mergeCell ref="L68:M68"/>
    <mergeCell ref="N68:O69"/>
    <mergeCell ref="B71:F71"/>
    <mergeCell ref="N71:O71"/>
    <mergeCell ref="D75:F75"/>
    <mergeCell ref="N57:O58"/>
    <mergeCell ref="N59:O59"/>
    <mergeCell ref="B65:F65"/>
    <mergeCell ref="N65:O65"/>
    <mergeCell ref="B67:O67"/>
    <mergeCell ref="B68:B69"/>
    <mergeCell ref="C68:C69"/>
    <mergeCell ref="D68:D69"/>
    <mergeCell ref="E68:F69"/>
    <mergeCell ref="G68:I68"/>
    <mergeCell ref="B57:B58"/>
    <mergeCell ref="C57:C58"/>
    <mergeCell ref="D57:D58"/>
    <mergeCell ref="E57:E58"/>
    <mergeCell ref="F57:F58"/>
    <mergeCell ref="G57:I57"/>
    <mergeCell ref="J57:J58"/>
    <mergeCell ref="K57:K58"/>
    <mergeCell ref="L57:M57"/>
    <mergeCell ref="C4:D4"/>
    <mergeCell ref="D82:F82"/>
    <mergeCell ref="D76:F76"/>
    <mergeCell ref="D77:F77"/>
    <mergeCell ref="D78:F78"/>
    <mergeCell ref="D79:F79"/>
    <mergeCell ref="D80:F80"/>
    <mergeCell ref="D81:F81"/>
    <mergeCell ref="J68:J69"/>
    <mergeCell ref="B56:O56"/>
    <mergeCell ref="J50:J51"/>
    <mergeCell ref="K50:K51"/>
    <mergeCell ref="L50:L51"/>
    <mergeCell ref="M50:N50"/>
    <mergeCell ref="O50:O51"/>
    <mergeCell ref="B54:F54"/>
    <mergeCell ref="B50:B51"/>
    <mergeCell ref="C50:C51"/>
    <mergeCell ref="D50:D51"/>
    <mergeCell ref="E50:E51"/>
    <mergeCell ref="F50:F51"/>
    <mergeCell ref="G50:I50"/>
    <mergeCell ref="N40:O40"/>
    <mergeCell ref="B47:F47"/>
  </mergeCells>
  <dataValidations disablePrompts="1" count="4">
    <dataValidation type="list" allowBlank="1" showInputMessage="1" showErrorMessage="1" sqref="E29 E12:E15" xr:uid="{00000000-0002-0000-0900-000000000000}">
      <formula1>$R$21:$R$26</formula1>
    </dataValidation>
    <dataValidation type="list" allowBlank="1" showInputMessage="1" showErrorMessage="1" sqref="E48" xr:uid="{00000000-0002-0000-0900-000001000000}">
      <formula1>$R$29:$R$32</formula1>
    </dataValidation>
    <dataValidation type="list" allowBlank="1" showInputMessage="1" showErrorMessage="1" sqref="L54 K65 K48 L47 L22 L28:L29 L12:L16" xr:uid="{00000000-0002-0000-0900-000002000000}">
      <formula1>$R$10:$R$11</formula1>
    </dataValidation>
    <dataValidation type="list" allowBlank="1" showInputMessage="1" showErrorMessage="1" sqref="E52:E53" xr:uid="{00000000-0002-0000-0900-000003000000}">
      <formula1>#REF!</formula1>
    </dataValidation>
  </dataValidations>
  <pageMargins left="0.7" right="0.7" top="0.75" bottom="0.75" header="0.3" footer="0.3"/>
  <pageSetup scale="1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AA53"/>
  <sheetViews>
    <sheetView showGridLines="0" topLeftCell="A23" zoomScale="85" zoomScaleNormal="85" workbookViewId="0">
      <selection activeCell="B52" sqref="B52"/>
    </sheetView>
  </sheetViews>
  <sheetFormatPr defaultColWidth="9.21875" defaultRowHeight="12" x14ac:dyDescent="0.25"/>
  <cols>
    <col min="1" max="1" width="8.44140625" style="21" customWidth="1"/>
    <col min="2" max="2" width="14.44140625" style="31" customWidth="1"/>
    <col min="3" max="3" width="15.44140625" style="29" customWidth="1"/>
    <col min="4" max="4" width="16.44140625" style="29" customWidth="1"/>
    <col min="5" max="5" width="16.21875" style="29" customWidth="1"/>
    <col min="6" max="6" width="13.77734375" style="21" customWidth="1"/>
    <col min="7" max="7" width="18.77734375" style="21" customWidth="1"/>
    <col min="8" max="8" width="15.77734375" style="26" customWidth="1"/>
    <col min="9" max="10" width="16.5546875" style="21" customWidth="1"/>
    <col min="11" max="11" width="13.21875" style="21" bestFit="1" customWidth="1"/>
    <col min="12" max="12" width="13.44140625" style="21" customWidth="1"/>
    <col min="13" max="13" width="14.77734375" style="21" customWidth="1"/>
    <col min="14" max="14" width="14.77734375" style="21" bestFit="1" customWidth="1"/>
    <col min="15" max="19" width="14.44140625" style="21" customWidth="1"/>
    <col min="20" max="20" width="14.77734375" style="21" bestFit="1" customWidth="1"/>
    <col min="21" max="21" width="10.77734375" style="21" bestFit="1" customWidth="1"/>
    <col min="22" max="22" width="9.21875" style="21"/>
    <col min="23" max="23" width="10.21875" style="21" bestFit="1" customWidth="1"/>
    <col min="24" max="26" width="9.21875" style="21"/>
    <col min="27" max="27" width="10" style="21" bestFit="1" customWidth="1"/>
    <col min="28" max="256" width="9.21875" style="21"/>
    <col min="257" max="257" width="8.44140625" style="21" customWidth="1"/>
    <col min="258" max="258" width="14.44140625" style="21" customWidth="1"/>
    <col min="259" max="259" width="15.44140625" style="21" customWidth="1"/>
    <col min="260" max="260" width="16.44140625" style="21" customWidth="1"/>
    <col min="261" max="261" width="16.21875" style="21" customWidth="1"/>
    <col min="262" max="262" width="13.77734375" style="21" customWidth="1"/>
    <col min="263" max="263" width="18.77734375" style="21" customWidth="1"/>
    <col min="264" max="264" width="15.77734375" style="21" customWidth="1"/>
    <col min="265" max="266" width="16.5546875" style="21" customWidth="1"/>
    <col min="267" max="267" width="13.21875" style="21" bestFit="1" customWidth="1"/>
    <col min="268" max="268" width="13.44140625" style="21" customWidth="1"/>
    <col min="269" max="269" width="14.77734375" style="21" customWidth="1"/>
    <col min="270" max="270" width="14.77734375" style="21" bestFit="1" customWidth="1"/>
    <col min="271" max="275" width="14.44140625" style="21" customWidth="1"/>
    <col min="276" max="276" width="14.77734375" style="21" bestFit="1" customWidth="1"/>
    <col min="277" max="277" width="10.77734375" style="21" bestFit="1" customWidth="1"/>
    <col min="278" max="512" width="9.21875" style="21"/>
    <col min="513" max="513" width="8.44140625" style="21" customWidth="1"/>
    <col min="514" max="514" width="14.44140625" style="21" customWidth="1"/>
    <col min="515" max="515" width="15.44140625" style="21" customWidth="1"/>
    <col min="516" max="516" width="16.44140625" style="21" customWidth="1"/>
    <col min="517" max="517" width="16.21875" style="21" customWidth="1"/>
    <col min="518" max="518" width="13.77734375" style="21" customWidth="1"/>
    <col min="519" max="519" width="18.77734375" style="21" customWidth="1"/>
    <col min="520" max="520" width="15.77734375" style="21" customWidth="1"/>
    <col min="521" max="522" width="16.5546875" style="21" customWidth="1"/>
    <col min="523" max="523" width="13.21875" style="21" bestFit="1" customWidth="1"/>
    <col min="524" max="524" width="13.44140625" style="21" customWidth="1"/>
    <col min="525" max="525" width="14.77734375" style="21" customWidth="1"/>
    <col min="526" max="526" width="14.77734375" style="21" bestFit="1" customWidth="1"/>
    <col min="527" max="531" width="14.44140625" style="21" customWidth="1"/>
    <col min="532" max="532" width="14.77734375" style="21" bestFit="1" customWidth="1"/>
    <col min="533" max="533" width="10.77734375" style="21" bestFit="1" customWidth="1"/>
    <col min="534" max="768" width="9.21875" style="21"/>
    <col min="769" max="769" width="8.44140625" style="21" customWidth="1"/>
    <col min="770" max="770" width="14.44140625" style="21" customWidth="1"/>
    <col min="771" max="771" width="15.44140625" style="21" customWidth="1"/>
    <col min="772" max="772" width="16.44140625" style="21" customWidth="1"/>
    <col min="773" max="773" width="16.21875" style="21" customWidth="1"/>
    <col min="774" max="774" width="13.77734375" style="21" customWidth="1"/>
    <col min="775" max="775" width="18.77734375" style="21" customWidth="1"/>
    <col min="776" max="776" width="15.77734375" style="21" customWidth="1"/>
    <col min="777" max="778" width="16.5546875" style="21" customWidth="1"/>
    <col min="779" max="779" width="13.21875" style="21" bestFit="1" customWidth="1"/>
    <col min="780" max="780" width="13.44140625" style="21" customWidth="1"/>
    <col min="781" max="781" width="14.77734375" style="21" customWidth="1"/>
    <col min="782" max="782" width="14.77734375" style="21" bestFit="1" customWidth="1"/>
    <col min="783" max="787" width="14.44140625" style="21" customWidth="1"/>
    <col min="788" max="788" width="14.77734375" style="21" bestFit="1" customWidth="1"/>
    <col min="789" max="789" width="10.77734375" style="21" bestFit="1" customWidth="1"/>
    <col min="790" max="1024" width="9.21875" style="21"/>
    <col min="1025" max="1025" width="8.44140625" style="21" customWidth="1"/>
    <col min="1026" max="1026" width="14.44140625" style="21" customWidth="1"/>
    <col min="1027" max="1027" width="15.44140625" style="21" customWidth="1"/>
    <col min="1028" max="1028" width="16.44140625" style="21" customWidth="1"/>
    <col min="1029" max="1029" width="16.21875" style="21" customWidth="1"/>
    <col min="1030" max="1030" width="13.77734375" style="21" customWidth="1"/>
    <col min="1031" max="1031" width="18.77734375" style="21" customWidth="1"/>
    <col min="1032" max="1032" width="15.77734375" style="21" customWidth="1"/>
    <col min="1033" max="1034" width="16.5546875" style="21" customWidth="1"/>
    <col min="1035" max="1035" width="13.21875" style="21" bestFit="1" customWidth="1"/>
    <col min="1036" max="1036" width="13.44140625" style="21" customWidth="1"/>
    <col min="1037" max="1037" width="14.77734375" style="21" customWidth="1"/>
    <col min="1038" max="1038" width="14.77734375" style="21" bestFit="1" customWidth="1"/>
    <col min="1039" max="1043" width="14.44140625" style="21" customWidth="1"/>
    <col min="1044" max="1044" width="14.77734375" style="21" bestFit="1" customWidth="1"/>
    <col min="1045" max="1045" width="10.77734375" style="21" bestFit="1" customWidth="1"/>
    <col min="1046" max="1280" width="9.21875" style="21"/>
    <col min="1281" max="1281" width="8.44140625" style="21" customWidth="1"/>
    <col min="1282" max="1282" width="14.44140625" style="21" customWidth="1"/>
    <col min="1283" max="1283" width="15.44140625" style="21" customWidth="1"/>
    <col min="1284" max="1284" width="16.44140625" style="21" customWidth="1"/>
    <col min="1285" max="1285" width="16.21875" style="21" customWidth="1"/>
    <col min="1286" max="1286" width="13.77734375" style="21" customWidth="1"/>
    <col min="1287" max="1287" width="18.77734375" style="21" customWidth="1"/>
    <col min="1288" max="1288" width="15.77734375" style="21" customWidth="1"/>
    <col min="1289" max="1290" width="16.5546875" style="21" customWidth="1"/>
    <col min="1291" max="1291" width="13.21875" style="21" bestFit="1" customWidth="1"/>
    <col min="1292" max="1292" width="13.44140625" style="21" customWidth="1"/>
    <col min="1293" max="1293" width="14.77734375" style="21" customWidth="1"/>
    <col min="1294" max="1294" width="14.77734375" style="21" bestFit="1" customWidth="1"/>
    <col min="1295" max="1299" width="14.44140625" style="21" customWidth="1"/>
    <col min="1300" max="1300" width="14.77734375" style="21" bestFit="1" customWidth="1"/>
    <col min="1301" max="1301" width="10.77734375" style="21" bestFit="1" customWidth="1"/>
    <col min="1302" max="1536" width="9.21875" style="21"/>
    <col min="1537" max="1537" width="8.44140625" style="21" customWidth="1"/>
    <col min="1538" max="1538" width="14.44140625" style="21" customWidth="1"/>
    <col min="1539" max="1539" width="15.44140625" style="21" customWidth="1"/>
    <col min="1540" max="1540" width="16.44140625" style="21" customWidth="1"/>
    <col min="1541" max="1541" width="16.21875" style="21" customWidth="1"/>
    <col min="1542" max="1542" width="13.77734375" style="21" customWidth="1"/>
    <col min="1543" max="1543" width="18.77734375" style="21" customWidth="1"/>
    <col min="1544" max="1544" width="15.77734375" style="21" customWidth="1"/>
    <col min="1545" max="1546" width="16.5546875" style="21" customWidth="1"/>
    <col min="1547" max="1547" width="13.21875" style="21" bestFit="1" customWidth="1"/>
    <col min="1548" max="1548" width="13.44140625" style="21" customWidth="1"/>
    <col min="1549" max="1549" width="14.77734375" style="21" customWidth="1"/>
    <col min="1550" max="1550" width="14.77734375" style="21" bestFit="1" customWidth="1"/>
    <col min="1551" max="1555" width="14.44140625" style="21" customWidth="1"/>
    <col min="1556" max="1556" width="14.77734375" style="21" bestFit="1" customWidth="1"/>
    <col min="1557" max="1557" width="10.77734375" style="21" bestFit="1" customWidth="1"/>
    <col min="1558" max="1792" width="9.21875" style="21"/>
    <col min="1793" max="1793" width="8.44140625" style="21" customWidth="1"/>
    <col min="1794" max="1794" width="14.44140625" style="21" customWidth="1"/>
    <col min="1795" max="1795" width="15.44140625" style="21" customWidth="1"/>
    <col min="1796" max="1796" width="16.44140625" style="21" customWidth="1"/>
    <col min="1797" max="1797" width="16.21875" style="21" customWidth="1"/>
    <col min="1798" max="1798" width="13.77734375" style="21" customWidth="1"/>
    <col min="1799" max="1799" width="18.77734375" style="21" customWidth="1"/>
    <col min="1800" max="1800" width="15.77734375" style="21" customWidth="1"/>
    <col min="1801" max="1802" width="16.5546875" style="21" customWidth="1"/>
    <col min="1803" max="1803" width="13.21875" style="21" bestFit="1" customWidth="1"/>
    <col min="1804" max="1804" width="13.44140625" style="21" customWidth="1"/>
    <col min="1805" max="1805" width="14.77734375" style="21" customWidth="1"/>
    <col min="1806" max="1806" width="14.77734375" style="21" bestFit="1" customWidth="1"/>
    <col min="1807" max="1811" width="14.44140625" style="21" customWidth="1"/>
    <col min="1812" max="1812" width="14.77734375" style="21" bestFit="1" customWidth="1"/>
    <col min="1813" max="1813" width="10.77734375" style="21" bestFit="1" customWidth="1"/>
    <col min="1814" max="2048" width="9.21875" style="21"/>
    <col min="2049" max="2049" width="8.44140625" style="21" customWidth="1"/>
    <col min="2050" max="2050" width="14.44140625" style="21" customWidth="1"/>
    <col min="2051" max="2051" width="15.44140625" style="21" customWidth="1"/>
    <col min="2052" max="2052" width="16.44140625" style="21" customWidth="1"/>
    <col min="2053" max="2053" width="16.21875" style="21" customWidth="1"/>
    <col min="2054" max="2054" width="13.77734375" style="21" customWidth="1"/>
    <col min="2055" max="2055" width="18.77734375" style="21" customWidth="1"/>
    <col min="2056" max="2056" width="15.77734375" style="21" customWidth="1"/>
    <col min="2057" max="2058" width="16.5546875" style="21" customWidth="1"/>
    <col min="2059" max="2059" width="13.21875" style="21" bestFit="1" customWidth="1"/>
    <col min="2060" max="2060" width="13.44140625" style="21" customWidth="1"/>
    <col min="2061" max="2061" width="14.77734375" style="21" customWidth="1"/>
    <col min="2062" max="2062" width="14.77734375" style="21" bestFit="1" customWidth="1"/>
    <col min="2063" max="2067" width="14.44140625" style="21" customWidth="1"/>
    <col min="2068" max="2068" width="14.77734375" style="21" bestFit="1" customWidth="1"/>
    <col min="2069" max="2069" width="10.77734375" style="21" bestFit="1" customWidth="1"/>
    <col min="2070" max="2304" width="9.21875" style="21"/>
    <col min="2305" max="2305" width="8.44140625" style="21" customWidth="1"/>
    <col min="2306" max="2306" width="14.44140625" style="21" customWidth="1"/>
    <col min="2307" max="2307" width="15.44140625" style="21" customWidth="1"/>
    <col min="2308" max="2308" width="16.44140625" style="21" customWidth="1"/>
    <col min="2309" max="2309" width="16.21875" style="21" customWidth="1"/>
    <col min="2310" max="2310" width="13.77734375" style="21" customWidth="1"/>
    <col min="2311" max="2311" width="18.77734375" style="21" customWidth="1"/>
    <col min="2312" max="2312" width="15.77734375" style="21" customWidth="1"/>
    <col min="2313" max="2314" width="16.5546875" style="21" customWidth="1"/>
    <col min="2315" max="2315" width="13.21875" style="21" bestFit="1" customWidth="1"/>
    <col min="2316" max="2316" width="13.44140625" style="21" customWidth="1"/>
    <col min="2317" max="2317" width="14.77734375" style="21" customWidth="1"/>
    <col min="2318" max="2318" width="14.77734375" style="21" bestFit="1" customWidth="1"/>
    <col min="2319" max="2323" width="14.44140625" style="21" customWidth="1"/>
    <col min="2324" max="2324" width="14.77734375" style="21" bestFit="1" customWidth="1"/>
    <col min="2325" max="2325" width="10.77734375" style="21" bestFit="1" customWidth="1"/>
    <col min="2326" max="2560" width="9.21875" style="21"/>
    <col min="2561" max="2561" width="8.44140625" style="21" customWidth="1"/>
    <col min="2562" max="2562" width="14.44140625" style="21" customWidth="1"/>
    <col min="2563" max="2563" width="15.44140625" style="21" customWidth="1"/>
    <col min="2564" max="2564" width="16.44140625" style="21" customWidth="1"/>
    <col min="2565" max="2565" width="16.21875" style="21" customWidth="1"/>
    <col min="2566" max="2566" width="13.77734375" style="21" customWidth="1"/>
    <col min="2567" max="2567" width="18.77734375" style="21" customWidth="1"/>
    <col min="2568" max="2568" width="15.77734375" style="21" customWidth="1"/>
    <col min="2569" max="2570" width="16.5546875" style="21" customWidth="1"/>
    <col min="2571" max="2571" width="13.21875" style="21" bestFit="1" customWidth="1"/>
    <col min="2572" max="2572" width="13.44140625" style="21" customWidth="1"/>
    <col min="2573" max="2573" width="14.77734375" style="21" customWidth="1"/>
    <col min="2574" max="2574" width="14.77734375" style="21" bestFit="1" customWidth="1"/>
    <col min="2575" max="2579" width="14.44140625" style="21" customWidth="1"/>
    <col min="2580" max="2580" width="14.77734375" style="21" bestFit="1" customWidth="1"/>
    <col min="2581" max="2581" width="10.77734375" style="21" bestFit="1" customWidth="1"/>
    <col min="2582" max="2816" width="9.21875" style="21"/>
    <col min="2817" max="2817" width="8.44140625" style="21" customWidth="1"/>
    <col min="2818" max="2818" width="14.44140625" style="21" customWidth="1"/>
    <col min="2819" max="2819" width="15.44140625" style="21" customWidth="1"/>
    <col min="2820" max="2820" width="16.44140625" style="21" customWidth="1"/>
    <col min="2821" max="2821" width="16.21875" style="21" customWidth="1"/>
    <col min="2822" max="2822" width="13.77734375" style="21" customWidth="1"/>
    <col min="2823" max="2823" width="18.77734375" style="21" customWidth="1"/>
    <col min="2824" max="2824" width="15.77734375" style="21" customWidth="1"/>
    <col min="2825" max="2826" width="16.5546875" style="21" customWidth="1"/>
    <col min="2827" max="2827" width="13.21875" style="21" bestFit="1" customWidth="1"/>
    <col min="2828" max="2828" width="13.44140625" style="21" customWidth="1"/>
    <col min="2829" max="2829" width="14.77734375" style="21" customWidth="1"/>
    <col min="2830" max="2830" width="14.77734375" style="21" bestFit="1" customWidth="1"/>
    <col min="2831" max="2835" width="14.44140625" style="21" customWidth="1"/>
    <col min="2836" max="2836" width="14.77734375" style="21" bestFit="1" customWidth="1"/>
    <col min="2837" max="2837" width="10.77734375" style="21" bestFit="1" customWidth="1"/>
    <col min="2838" max="3072" width="9.21875" style="21"/>
    <col min="3073" max="3073" width="8.44140625" style="21" customWidth="1"/>
    <col min="3074" max="3074" width="14.44140625" style="21" customWidth="1"/>
    <col min="3075" max="3075" width="15.44140625" style="21" customWidth="1"/>
    <col min="3076" max="3076" width="16.44140625" style="21" customWidth="1"/>
    <col min="3077" max="3077" width="16.21875" style="21" customWidth="1"/>
    <col min="3078" max="3078" width="13.77734375" style="21" customWidth="1"/>
    <col min="3079" max="3079" width="18.77734375" style="21" customWidth="1"/>
    <col min="3080" max="3080" width="15.77734375" style="21" customWidth="1"/>
    <col min="3081" max="3082" width="16.5546875" style="21" customWidth="1"/>
    <col min="3083" max="3083" width="13.21875" style="21" bestFit="1" customWidth="1"/>
    <col min="3084" max="3084" width="13.44140625" style="21" customWidth="1"/>
    <col min="3085" max="3085" width="14.77734375" style="21" customWidth="1"/>
    <col min="3086" max="3086" width="14.77734375" style="21" bestFit="1" customWidth="1"/>
    <col min="3087" max="3091" width="14.44140625" style="21" customWidth="1"/>
    <col min="3092" max="3092" width="14.77734375" style="21" bestFit="1" customWidth="1"/>
    <col min="3093" max="3093" width="10.77734375" style="21" bestFit="1" customWidth="1"/>
    <col min="3094" max="3328" width="9.21875" style="21"/>
    <col min="3329" max="3329" width="8.44140625" style="21" customWidth="1"/>
    <col min="3330" max="3330" width="14.44140625" style="21" customWidth="1"/>
    <col min="3331" max="3331" width="15.44140625" style="21" customWidth="1"/>
    <col min="3332" max="3332" width="16.44140625" style="21" customWidth="1"/>
    <col min="3333" max="3333" width="16.21875" style="21" customWidth="1"/>
    <col min="3334" max="3334" width="13.77734375" style="21" customWidth="1"/>
    <col min="3335" max="3335" width="18.77734375" style="21" customWidth="1"/>
    <col min="3336" max="3336" width="15.77734375" style="21" customWidth="1"/>
    <col min="3337" max="3338" width="16.5546875" style="21" customWidth="1"/>
    <col min="3339" max="3339" width="13.21875" style="21" bestFit="1" customWidth="1"/>
    <col min="3340" max="3340" width="13.44140625" style="21" customWidth="1"/>
    <col min="3341" max="3341" width="14.77734375" style="21" customWidth="1"/>
    <col min="3342" max="3342" width="14.77734375" style="21" bestFit="1" customWidth="1"/>
    <col min="3343" max="3347" width="14.44140625" style="21" customWidth="1"/>
    <col min="3348" max="3348" width="14.77734375" style="21" bestFit="1" customWidth="1"/>
    <col min="3349" max="3349" width="10.77734375" style="21" bestFit="1" customWidth="1"/>
    <col min="3350" max="3584" width="9.21875" style="21"/>
    <col min="3585" max="3585" width="8.44140625" style="21" customWidth="1"/>
    <col min="3586" max="3586" width="14.44140625" style="21" customWidth="1"/>
    <col min="3587" max="3587" width="15.44140625" style="21" customWidth="1"/>
    <col min="3588" max="3588" width="16.44140625" style="21" customWidth="1"/>
    <col min="3589" max="3589" width="16.21875" style="21" customWidth="1"/>
    <col min="3590" max="3590" width="13.77734375" style="21" customWidth="1"/>
    <col min="3591" max="3591" width="18.77734375" style="21" customWidth="1"/>
    <col min="3592" max="3592" width="15.77734375" style="21" customWidth="1"/>
    <col min="3593" max="3594" width="16.5546875" style="21" customWidth="1"/>
    <col min="3595" max="3595" width="13.21875" style="21" bestFit="1" customWidth="1"/>
    <col min="3596" max="3596" width="13.44140625" style="21" customWidth="1"/>
    <col min="3597" max="3597" width="14.77734375" style="21" customWidth="1"/>
    <col min="3598" max="3598" width="14.77734375" style="21" bestFit="1" customWidth="1"/>
    <col min="3599" max="3603" width="14.44140625" style="21" customWidth="1"/>
    <col min="3604" max="3604" width="14.77734375" style="21" bestFit="1" customWidth="1"/>
    <col min="3605" max="3605" width="10.77734375" style="21" bestFit="1" customWidth="1"/>
    <col min="3606" max="3840" width="9.21875" style="21"/>
    <col min="3841" max="3841" width="8.44140625" style="21" customWidth="1"/>
    <col min="3842" max="3842" width="14.44140625" style="21" customWidth="1"/>
    <col min="3843" max="3843" width="15.44140625" style="21" customWidth="1"/>
    <col min="3844" max="3844" width="16.44140625" style="21" customWidth="1"/>
    <col min="3845" max="3845" width="16.21875" style="21" customWidth="1"/>
    <col min="3846" max="3846" width="13.77734375" style="21" customWidth="1"/>
    <col min="3847" max="3847" width="18.77734375" style="21" customWidth="1"/>
    <col min="3848" max="3848" width="15.77734375" style="21" customWidth="1"/>
    <col min="3849" max="3850" width="16.5546875" style="21" customWidth="1"/>
    <col min="3851" max="3851" width="13.21875" style="21" bestFit="1" customWidth="1"/>
    <col min="3852" max="3852" width="13.44140625" style="21" customWidth="1"/>
    <col min="3853" max="3853" width="14.77734375" style="21" customWidth="1"/>
    <col min="3854" max="3854" width="14.77734375" style="21" bestFit="1" customWidth="1"/>
    <col min="3855" max="3859" width="14.44140625" style="21" customWidth="1"/>
    <col min="3860" max="3860" width="14.77734375" style="21" bestFit="1" customWidth="1"/>
    <col min="3861" max="3861" width="10.77734375" style="21" bestFit="1" customWidth="1"/>
    <col min="3862" max="4096" width="9.21875" style="21"/>
    <col min="4097" max="4097" width="8.44140625" style="21" customWidth="1"/>
    <col min="4098" max="4098" width="14.44140625" style="21" customWidth="1"/>
    <col min="4099" max="4099" width="15.44140625" style="21" customWidth="1"/>
    <col min="4100" max="4100" width="16.44140625" style="21" customWidth="1"/>
    <col min="4101" max="4101" width="16.21875" style="21" customWidth="1"/>
    <col min="4102" max="4102" width="13.77734375" style="21" customWidth="1"/>
    <col min="4103" max="4103" width="18.77734375" style="21" customWidth="1"/>
    <col min="4104" max="4104" width="15.77734375" style="21" customWidth="1"/>
    <col min="4105" max="4106" width="16.5546875" style="21" customWidth="1"/>
    <col min="4107" max="4107" width="13.21875" style="21" bestFit="1" customWidth="1"/>
    <col min="4108" max="4108" width="13.44140625" style="21" customWidth="1"/>
    <col min="4109" max="4109" width="14.77734375" style="21" customWidth="1"/>
    <col min="4110" max="4110" width="14.77734375" style="21" bestFit="1" customWidth="1"/>
    <col min="4111" max="4115" width="14.44140625" style="21" customWidth="1"/>
    <col min="4116" max="4116" width="14.77734375" style="21" bestFit="1" customWidth="1"/>
    <col min="4117" max="4117" width="10.77734375" style="21" bestFit="1" customWidth="1"/>
    <col min="4118" max="4352" width="9.21875" style="21"/>
    <col min="4353" max="4353" width="8.44140625" style="21" customWidth="1"/>
    <col min="4354" max="4354" width="14.44140625" style="21" customWidth="1"/>
    <col min="4355" max="4355" width="15.44140625" style="21" customWidth="1"/>
    <col min="4356" max="4356" width="16.44140625" style="21" customWidth="1"/>
    <col min="4357" max="4357" width="16.21875" style="21" customWidth="1"/>
    <col min="4358" max="4358" width="13.77734375" style="21" customWidth="1"/>
    <col min="4359" max="4359" width="18.77734375" style="21" customWidth="1"/>
    <col min="4360" max="4360" width="15.77734375" style="21" customWidth="1"/>
    <col min="4361" max="4362" width="16.5546875" style="21" customWidth="1"/>
    <col min="4363" max="4363" width="13.21875" style="21" bestFit="1" customWidth="1"/>
    <col min="4364" max="4364" width="13.44140625" style="21" customWidth="1"/>
    <col min="4365" max="4365" width="14.77734375" style="21" customWidth="1"/>
    <col min="4366" max="4366" width="14.77734375" style="21" bestFit="1" customWidth="1"/>
    <col min="4367" max="4371" width="14.44140625" style="21" customWidth="1"/>
    <col min="4372" max="4372" width="14.77734375" style="21" bestFit="1" customWidth="1"/>
    <col min="4373" max="4373" width="10.77734375" style="21" bestFit="1" customWidth="1"/>
    <col min="4374" max="4608" width="9.21875" style="21"/>
    <col min="4609" max="4609" width="8.44140625" style="21" customWidth="1"/>
    <col min="4610" max="4610" width="14.44140625" style="21" customWidth="1"/>
    <col min="4611" max="4611" width="15.44140625" style="21" customWidth="1"/>
    <col min="4612" max="4612" width="16.44140625" style="21" customWidth="1"/>
    <col min="4613" max="4613" width="16.21875" style="21" customWidth="1"/>
    <col min="4614" max="4614" width="13.77734375" style="21" customWidth="1"/>
    <col min="4615" max="4615" width="18.77734375" style="21" customWidth="1"/>
    <col min="4616" max="4616" width="15.77734375" style="21" customWidth="1"/>
    <col min="4617" max="4618" width="16.5546875" style="21" customWidth="1"/>
    <col min="4619" max="4619" width="13.21875" style="21" bestFit="1" customWidth="1"/>
    <col min="4620" max="4620" width="13.44140625" style="21" customWidth="1"/>
    <col min="4621" max="4621" width="14.77734375" style="21" customWidth="1"/>
    <col min="4622" max="4622" width="14.77734375" style="21" bestFit="1" customWidth="1"/>
    <col min="4623" max="4627" width="14.44140625" style="21" customWidth="1"/>
    <col min="4628" max="4628" width="14.77734375" style="21" bestFit="1" customWidth="1"/>
    <col min="4629" max="4629" width="10.77734375" style="21" bestFit="1" customWidth="1"/>
    <col min="4630" max="4864" width="9.21875" style="21"/>
    <col min="4865" max="4865" width="8.44140625" style="21" customWidth="1"/>
    <col min="4866" max="4866" width="14.44140625" style="21" customWidth="1"/>
    <col min="4867" max="4867" width="15.44140625" style="21" customWidth="1"/>
    <col min="4868" max="4868" width="16.44140625" style="21" customWidth="1"/>
    <col min="4869" max="4869" width="16.21875" style="21" customWidth="1"/>
    <col min="4870" max="4870" width="13.77734375" style="21" customWidth="1"/>
    <col min="4871" max="4871" width="18.77734375" style="21" customWidth="1"/>
    <col min="4872" max="4872" width="15.77734375" style="21" customWidth="1"/>
    <col min="4873" max="4874" width="16.5546875" style="21" customWidth="1"/>
    <col min="4875" max="4875" width="13.21875" style="21" bestFit="1" customWidth="1"/>
    <col min="4876" max="4876" width="13.44140625" style="21" customWidth="1"/>
    <col min="4877" max="4877" width="14.77734375" style="21" customWidth="1"/>
    <col min="4878" max="4878" width="14.77734375" style="21" bestFit="1" customWidth="1"/>
    <col min="4879" max="4883" width="14.44140625" style="21" customWidth="1"/>
    <col min="4884" max="4884" width="14.77734375" style="21" bestFit="1" customWidth="1"/>
    <col min="4885" max="4885" width="10.77734375" style="21" bestFit="1" customWidth="1"/>
    <col min="4886" max="5120" width="9.21875" style="21"/>
    <col min="5121" max="5121" width="8.44140625" style="21" customWidth="1"/>
    <col min="5122" max="5122" width="14.44140625" style="21" customWidth="1"/>
    <col min="5123" max="5123" width="15.44140625" style="21" customWidth="1"/>
    <col min="5124" max="5124" width="16.44140625" style="21" customWidth="1"/>
    <col min="5125" max="5125" width="16.21875" style="21" customWidth="1"/>
    <col min="5126" max="5126" width="13.77734375" style="21" customWidth="1"/>
    <col min="5127" max="5127" width="18.77734375" style="21" customWidth="1"/>
    <col min="5128" max="5128" width="15.77734375" style="21" customWidth="1"/>
    <col min="5129" max="5130" width="16.5546875" style="21" customWidth="1"/>
    <col min="5131" max="5131" width="13.21875" style="21" bestFit="1" customWidth="1"/>
    <col min="5132" max="5132" width="13.44140625" style="21" customWidth="1"/>
    <col min="5133" max="5133" width="14.77734375" style="21" customWidth="1"/>
    <col min="5134" max="5134" width="14.77734375" style="21" bestFit="1" customWidth="1"/>
    <col min="5135" max="5139" width="14.44140625" style="21" customWidth="1"/>
    <col min="5140" max="5140" width="14.77734375" style="21" bestFit="1" customWidth="1"/>
    <col min="5141" max="5141" width="10.77734375" style="21" bestFit="1" customWidth="1"/>
    <col min="5142" max="5376" width="9.21875" style="21"/>
    <col min="5377" max="5377" width="8.44140625" style="21" customWidth="1"/>
    <col min="5378" max="5378" width="14.44140625" style="21" customWidth="1"/>
    <col min="5379" max="5379" width="15.44140625" style="21" customWidth="1"/>
    <col min="5380" max="5380" width="16.44140625" style="21" customWidth="1"/>
    <col min="5381" max="5381" width="16.21875" style="21" customWidth="1"/>
    <col min="5382" max="5382" width="13.77734375" style="21" customWidth="1"/>
    <col min="5383" max="5383" width="18.77734375" style="21" customWidth="1"/>
    <col min="5384" max="5384" width="15.77734375" style="21" customWidth="1"/>
    <col min="5385" max="5386" width="16.5546875" style="21" customWidth="1"/>
    <col min="5387" max="5387" width="13.21875" style="21" bestFit="1" customWidth="1"/>
    <col min="5388" max="5388" width="13.44140625" style="21" customWidth="1"/>
    <col min="5389" max="5389" width="14.77734375" style="21" customWidth="1"/>
    <col min="5390" max="5390" width="14.77734375" style="21" bestFit="1" customWidth="1"/>
    <col min="5391" max="5395" width="14.44140625" style="21" customWidth="1"/>
    <col min="5396" max="5396" width="14.77734375" style="21" bestFit="1" customWidth="1"/>
    <col min="5397" max="5397" width="10.77734375" style="21" bestFit="1" customWidth="1"/>
    <col min="5398" max="5632" width="9.21875" style="21"/>
    <col min="5633" max="5633" width="8.44140625" style="21" customWidth="1"/>
    <col min="5634" max="5634" width="14.44140625" style="21" customWidth="1"/>
    <col min="5635" max="5635" width="15.44140625" style="21" customWidth="1"/>
    <col min="5636" max="5636" width="16.44140625" style="21" customWidth="1"/>
    <col min="5637" max="5637" width="16.21875" style="21" customWidth="1"/>
    <col min="5638" max="5638" width="13.77734375" style="21" customWidth="1"/>
    <col min="5639" max="5639" width="18.77734375" style="21" customWidth="1"/>
    <col min="5640" max="5640" width="15.77734375" style="21" customWidth="1"/>
    <col min="5641" max="5642" width="16.5546875" style="21" customWidth="1"/>
    <col min="5643" max="5643" width="13.21875" style="21" bestFit="1" customWidth="1"/>
    <col min="5644" max="5644" width="13.44140625" style="21" customWidth="1"/>
    <col min="5645" max="5645" width="14.77734375" style="21" customWidth="1"/>
    <col min="5646" max="5646" width="14.77734375" style="21" bestFit="1" customWidth="1"/>
    <col min="5647" max="5651" width="14.44140625" style="21" customWidth="1"/>
    <col min="5652" max="5652" width="14.77734375" style="21" bestFit="1" customWidth="1"/>
    <col min="5653" max="5653" width="10.77734375" style="21" bestFit="1" customWidth="1"/>
    <col min="5654" max="5888" width="9.21875" style="21"/>
    <col min="5889" max="5889" width="8.44140625" style="21" customWidth="1"/>
    <col min="5890" max="5890" width="14.44140625" style="21" customWidth="1"/>
    <col min="5891" max="5891" width="15.44140625" style="21" customWidth="1"/>
    <col min="5892" max="5892" width="16.44140625" style="21" customWidth="1"/>
    <col min="5893" max="5893" width="16.21875" style="21" customWidth="1"/>
    <col min="5894" max="5894" width="13.77734375" style="21" customWidth="1"/>
    <col min="5895" max="5895" width="18.77734375" style="21" customWidth="1"/>
    <col min="5896" max="5896" width="15.77734375" style="21" customWidth="1"/>
    <col min="5897" max="5898" width="16.5546875" style="21" customWidth="1"/>
    <col min="5899" max="5899" width="13.21875" style="21" bestFit="1" customWidth="1"/>
    <col min="5900" max="5900" width="13.44140625" style="21" customWidth="1"/>
    <col min="5901" max="5901" width="14.77734375" style="21" customWidth="1"/>
    <col min="5902" max="5902" width="14.77734375" style="21" bestFit="1" customWidth="1"/>
    <col min="5903" max="5907" width="14.44140625" style="21" customWidth="1"/>
    <col min="5908" max="5908" width="14.77734375" style="21" bestFit="1" customWidth="1"/>
    <col min="5909" max="5909" width="10.77734375" style="21" bestFit="1" customWidth="1"/>
    <col min="5910" max="6144" width="9.21875" style="21"/>
    <col min="6145" max="6145" width="8.44140625" style="21" customWidth="1"/>
    <col min="6146" max="6146" width="14.44140625" style="21" customWidth="1"/>
    <col min="6147" max="6147" width="15.44140625" style="21" customWidth="1"/>
    <col min="6148" max="6148" width="16.44140625" style="21" customWidth="1"/>
    <col min="6149" max="6149" width="16.21875" style="21" customWidth="1"/>
    <col min="6150" max="6150" width="13.77734375" style="21" customWidth="1"/>
    <col min="6151" max="6151" width="18.77734375" style="21" customWidth="1"/>
    <col min="6152" max="6152" width="15.77734375" style="21" customWidth="1"/>
    <col min="6153" max="6154" width="16.5546875" style="21" customWidth="1"/>
    <col min="6155" max="6155" width="13.21875" style="21" bestFit="1" customWidth="1"/>
    <col min="6156" max="6156" width="13.44140625" style="21" customWidth="1"/>
    <col min="6157" max="6157" width="14.77734375" style="21" customWidth="1"/>
    <col min="6158" max="6158" width="14.77734375" style="21" bestFit="1" customWidth="1"/>
    <col min="6159" max="6163" width="14.44140625" style="21" customWidth="1"/>
    <col min="6164" max="6164" width="14.77734375" style="21" bestFit="1" customWidth="1"/>
    <col min="6165" max="6165" width="10.77734375" style="21" bestFit="1" customWidth="1"/>
    <col min="6166" max="6400" width="9.21875" style="21"/>
    <col min="6401" max="6401" width="8.44140625" style="21" customWidth="1"/>
    <col min="6402" max="6402" width="14.44140625" style="21" customWidth="1"/>
    <col min="6403" max="6403" width="15.44140625" style="21" customWidth="1"/>
    <col min="6404" max="6404" width="16.44140625" style="21" customWidth="1"/>
    <col min="6405" max="6405" width="16.21875" style="21" customWidth="1"/>
    <col min="6406" max="6406" width="13.77734375" style="21" customWidth="1"/>
    <col min="6407" max="6407" width="18.77734375" style="21" customWidth="1"/>
    <col min="6408" max="6408" width="15.77734375" style="21" customWidth="1"/>
    <col min="6409" max="6410" width="16.5546875" style="21" customWidth="1"/>
    <col min="6411" max="6411" width="13.21875" style="21" bestFit="1" customWidth="1"/>
    <col min="6412" max="6412" width="13.44140625" style="21" customWidth="1"/>
    <col min="6413" max="6413" width="14.77734375" style="21" customWidth="1"/>
    <col min="6414" max="6414" width="14.77734375" style="21" bestFit="1" customWidth="1"/>
    <col min="6415" max="6419" width="14.44140625" style="21" customWidth="1"/>
    <col min="6420" max="6420" width="14.77734375" style="21" bestFit="1" customWidth="1"/>
    <col min="6421" max="6421" width="10.77734375" style="21" bestFit="1" customWidth="1"/>
    <col min="6422" max="6656" width="9.21875" style="21"/>
    <col min="6657" max="6657" width="8.44140625" style="21" customWidth="1"/>
    <col min="6658" max="6658" width="14.44140625" style="21" customWidth="1"/>
    <col min="6659" max="6659" width="15.44140625" style="21" customWidth="1"/>
    <col min="6660" max="6660" width="16.44140625" style="21" customWidth="1"/>
    <col min="6661" max="6661" width="16.21875" style="21" customWidth="1"/>
    <col min="6662" max="6662" width="13.77734375" style="21" customWidth="1"/>
    <col min="6663" max="6663" width="18.77734375" style="21" customWidth="1"/>
    <col min="6664" max="6664" width="15.77734375" style="21" customWidth="1"/>
    <col min="6665" max="6666" width="16.5546875" style="21" customWidth="1"/>
    <col min="6667" max="6667" width="13.21875" style="21" bestFit="1" customWidth="1"/>
    <col min="6668" max="6668" width="13.44140625" style="21" customWidth="1"/>
    <col min="6669" max="6669" width="14.77734375" style="21" customWidth="1"/>
    <col min="6670" max="6670" width="14.77734375" style="21" bestFit="1" customWidth="1"/>
    <col min="6671" max="6675" width="14.44140625" style="21" customWidth="1"/>
    <col min="6676" max="6676" width="14.77734375" style="21" bestFit="1" customWidth="1"/>
    <col min="6677" max="6677" width="10.77734375" style="21" bestFit="1" customWidth="1"/>
    <col min="6678" max="6912" width="9.21875" style="21"/>
    <col min="6913" max="6913" width="8.44140625" style="21" customWidth="1"/>
    <col min="6914" max="6914" width="14.44140625" style="21" customWidth="1"/>
    <col min="6915" max="6915" width="15.44140625" style="21" customWidth="1"/>
    <col min="6916" max="6916" width="16.44140625" style="21" customWidth="1"/>
    <col min="6917" max="6917" width="16.21875" style="21" customWidth="1"/>
    <col min="6918" max="6918" width="13.77734375" style="21" customWidth="1"/>
    <col min="6919" max="6919" width="18.77734375" style="21" customWidth="1"/>
    <col min="6920" max="6920" width="15.77734375" style="21" customWidth="1"/>
    <col min="6921" max="6922" width="16.5546875" style="21" customWidth="1"/>
    <col min="6923" max="6923" width="13.21875" style="21" bestFit="1" customWidth="1"/>
    <col min="6924" max="6924" width="13.44140625" style="21" customWidth="1"/>
    <col min="6925" max="6925" width="14.77734375" style="21" customWidth="1"/>
    <col min="6926" max="6926" width="14.77734375" style="21" bestFit="1" customWidth="1"/>
    <col min="6927" max="6931" width="14.44140625" style="21" customWidth="1"/>
    <col min="6932" max="6932" width="14.77734375" style="21" bestFit="1" customWidth="1"/>
    <col min="6933" max="6933" width="10.77734375" style="21" bestFit="1" customWidth="1"/>
    <col min="6934" max="7168" width="9.21875" style="21"/>
    <col min="7169" max="7169" width="8.44140625" style="21" customWidth="1"/>
    <col min="7170" max="7170" width="14.44140625" style="21" customWidth="1"/>
    <col min="7171" max="7171" width="15.44140625" style="21" customWidth="1"/>
    <col min="7172" max="7172" width="16.44140625" style="21" customWidth="1"/>
    <col min="7173" max="7173" width="16.21875" style="21" customWidth="1"/>
    <col min="7174" max="7174" width="13.77734375" style="21" customWidth="1"/>
    <col min="7175" max="7175" width="18.77734375" style="21" customWidth="1"/>
    <col min="7176" max="7176" width="15.77734375" style="21" customWidth="1"/>
    <col min="7177" max="7178" width="16.5546875" style="21" customWidth="1"/>
    <col min="7179" max="7179" width="13.21875" style="21" bestFit="1" customWidth="1"/>
    <col min="7180" max="7180" width="13.44140625" style="21" customWidth="1"/>
    <col min="7181" max="7181" width="14.77734375" style="21" customWidth="1"/>
    <col min="7182" max="7182" width="14.77734375" style="21" bestFit="1" customWidth="1"/>
    <col min="7183" max="7187" width="14.44140625" style="21" customWidth="1"/>
    <col min="7188" max="7188" width="14.77734375" style="21" bestFit="1" customWidth="1"/>
    <col min="7189" max="7189" width="10.77734375" style="21" bestFit="1" customWidth="1"/>
    <col min="7190" max="7424" width="9.21875" style="21"/>
    <col min="7425" max="7425" width="8.44140625" style="21" customWidth="1"/>
    <col min="7426" max="7426" width="14.44140625" style="21" customWidth="1"/>
    <col min="7427" max="7427" width="15.44140625" style="21" customWidth="1"/>
    <col min="7428" max="7428" width="16.44140625" style="21" customWidth="1"/>
    <col min="7429" max="7429" width="16.21875" style="21" customWidth="1"/>
    <col min="7430" max="7430" width="13.77734375" style="21" customWidth="1"/>
    <col min="7431" max="7431" width="18.77734375" style="21" customWidth="1"/>
    <col min="7432" max="7432" width="15.77734375" style="21" customWidth="1"/>
    <col min="7433" max="7434" width="16.5546875" style="21" customWidth="1"/>
    <col min="7435" max="7435" width="13.21875" style="21" bestFit="1" customWidth="1"/>
    <col min="7436" max="7436" width="13.44140625" style="21" customWidth="1"/>
    <col min="7437" max="7437" width="14.77734375" style="21" customWidth="1"/>
    <col min="7438" max="7438" width="14.77734375" style="21" bestFit="1" customWidth="1"/>
    <col min="7439" max="7443" width="14.44140625" style="21" customWidth="1"/>
    <col min="7444" max="7444" width="14.77734375" style="21" bestFit="1" customWidth="1"/>
    <col min="7445" max="7445" width="10.77734375" style="21" bestFit="1" customWidth="1"/>
    <col min="7446" max="7680" width="9.21875" style="21"/>
    <col min="7681" max="7681" width="8.44140625" style="21" customWidth="1"/>
    <col min="7682" max="7682" width="14.44140625" style="21" customWidth="1"/>
    <col min="7683" max="7683" width="15.44140625" style="21" customWidth="1"/>
    <col min="7684" max="7684" width="16.44140625" style="21" customWidth="1"/>
    <col min="7685" max="7685" width="16.21875" style="21" customWidth="1"/>
    <col min="7686" max="7686" width="13.77734375" style="21" customWidth="1"/>
    <col min="7687" max="7687" width="18.77734375" style="21" customWidth="1"/>
    <col min="7688" max="7688" width="15.77734375" style="21" customWidth="1"/>
    <col min="7689" max="7690" width="16.5546875" style="21" customWidth="1"/>
    <col min="7691" max="7691" width="13.21875" style="21" bestFit="1" customWidth="1"/>
    <col min="7692" max="7692" width="13.44140625" style="21" customWidth="1"/>
    <col min="7693" max="7693" width="14.77734375" style="21" customWidth="1"/>
    <col min="7694" max="7694" width="14.77734375" style="21" bestFit="1" customWidth="1"/>
    <col min="7695" max="7699" width="14.44140625" style="21" customWidth="1"/>
    <col min="7700" max="7700" width="14.77734375" style="21" bestFit="1" customWidth="1"/>
    <col min="7701" max="7701" width="10.77734375" style="21" bestFit="1" customWidth="1"/>
    <col min="7702" max="7936" width="9.21875" style="21"/>
    <col min="7937" max="7937" width="8.44140625" style="21" customWidth="1"/>
    <col min="7938" max="7938" width="14.44140625" style="21" customWidth="1"/>
    <col min="7939" max="7939" width="15.44140625" style="21" customWidth="1"/>
    <col min="7940" max="7940" width="16.44140625" style="21" customWidth="1"/>
    <col min="7941" max="7941" width="16.21875" style="21" customWidth="1"/>
    <col min="7942" max="7942" width="13.77734375" style="21" customWidth="1"/>
    <col min="7943" max="7943" width="18.77734375" style="21" customWidth="1"/>
    <col min="7944" max="7944" width="15.77734375" style="21" customWidth="1"/>
    <col min="7945" max="7946" width="16.5546875" style="21" customWidth="1"/>
    <col min="7947" max="7947" width="13.21875" style="21" bestFit="1" customWidth="1"/>
    <col min="7948" max="7948" width="13.44140625" style="21" customWidth="1"/>
    <col min="7949" max="7949" width="14.77734375" style="21" customWidth="1"/>
    <col min="7950" max="7950" width="14.77734375" style="21" bestFit="1" customWidth="1"/>
    <col min="7951" max="7955" width="14.44140625" style="21" customWidth="1"/>
    <col min="7956" max="7956" width="14.77734375" style="21" bestFit="1" customWidth="1"/>
    <col min="7957" max="7957" width="10.77734375" style="21" bestFit="1" customWidth="1"/>
    <col min="7958" max="8192" width="9.21875" style="21"/>
    <col min="8193" max="8193" width="8.44140625" style="21" customWidth="1"/>
    <col min="8194" max="8194" width="14.44140625" style="21" customWidth="1"/>
    <col min="8195" max="8195" width="15.44140625" style="21" customWidth="1"/>
    <col min="8196" max="8196" width="16.44140625" style="21" customWidth="1"/>
    <col min="8197" max="8197" width="16.21875" style="21" customWidth="1"/>
    <col min="8198" max="8198" width="13.77734375" style="21" customWidth="1"/>
    <col min="8199" max="8199" width="18.77734375" style="21" customWidth="1"/>
    <col min="8200" max="8200" width="15.77734375" style="21" customWidth="1"/>
    <col min="8201" max="8202" width="16.5546875" style="21" customWidth="1"/>
    <col min="8203" max="8203" width="13.21875" style="21" bestFit="1" customWidth="1"/>
    <col min="8204" max="8204" width="13.44140625" style="21" customWidth="1"/>
    <col min="8205" max="8205" width="14.77734375" style="21" customWidth="1"/>
    <col min="8206" max="8206" width="14.77734375" style="21" bestFit="1" customWidth="1"/>
    <col min="8207" max="8211" width="14.44140625" style="21" customWidth="1"/>
    <col min="8212" max="8212" width="14.77734375" style="21" bestFit="1" customWidth="1"/>
    <col min="8213" max="8213" width="10.77734375" style="21" bestFit="1" customWidth="1"/>
    <col min="8214" max="8448" width="9.21875" style="21"/>
    <col min="8449" max="8449" width="8.44140625" style="21" customWidth="1"/>
    <col min="8450" max="8450" width="14.44140625" style="21" customWidth="1"/>
    <col min="8451" max="8451" width="15.44140625" style="21" customWidth="1"/>
    <col min="8452" max="8452" width="16.44140625" style="21" customWidth="1"/>
    <col min="8453" max="8453" width="16.21875" style="21" customWidth="1"/>
    <col min="8454" max="8454" width="13.77734375" style="21" customWidth="1"/>
    <col min="8455" max="8455" width="18.77734375" style="21" customWidth="1"/>
    <col min="8456" max="8456" width="15.77734375" style="21" customWidth="1"/>
    <col min="8457" max="8458" width="16.5546875" style="21" customWidth="1"/>
    <col min="8459" max="8459" width="13.21875" style="21" bestFit="1" customWidth="1"/>
    <col min="8460" max="8460" width="13.44140625" style="21" customWidth="1"/>
    <col min="8461" max="8461" width="14.77734375" style="21" customWidth="1"/>
    <col min="8462" max="8462" width="14.77734375" style="21" bestFit="1" customWidth="1"/>
    <col min="8463" max="8467" width="14.44140625" style="21" customWidth="1"/>
    <col min="8468" max="8468" width="14.77734375" style="21" bestFit="1" customWidth="1"/>
    <col min="8469" max="8469" width="10.77734375" style="21" bestFit="1" customWidth="1"/>
    <col min="8470" max="8704" width="9.21875" style="21"/>
    <col min="8705" max="8705" width="8.44140625" style="21" customWidth="1"/>
    <col min="8706" max="8706" width="14.44140625" style="21" customWidth="1"/>
    <col min="8707" max="8707" width="15.44140625" style="21" customWidth="1"/>
    <col min="8708" max="8708" width="16.44140625" style="21" customWidth="1"/>
    <col min="8709" max="8709" width="16.21875" style="21" customWidth="1"/>
    <col min="8710" max="8710" width="13.77734375" style="21" customWidth="1"/>
    <col min="8711" max="8711" width="18.77734375" style="21" customWidth="1"/>
    <col min="8712" max="8712" width="15.77734375" style="21" customWidth="1"/>
    <col min="8713" max="8714" width="16.5546875" style="21" customWidth="1"/>
    <col min="8715" max="8715" width="13.21875" style="21" bestFit="1" customWidth="1"/>
    <col min="8716" max="8716" width="13.44140625" style="21" customWidth="1"/>
    <col min="8717" max="8717" width="14.77734375" style="21" customWidth="1"/>
    <col min="8718" max="8718" width="14.77734375" style="21" bestFit="1" customWidth="1"/>
    <col min="8719" max="8723" width="14.44140625" style="21" customWidth="1"/>
    <col min="8724" max="8724" width="14.77734375" style="21" bestFit="1" customWidth="1"/>
    <col min="8725" max="8725" width="10.77734375" style="21" bestFit="1" customWidth="1"/>
    <col min="8726" max="8960" width="9.21875" style="21"/>
    <col min="8961" max="8961" width="8.44140625" style="21" customWidth="1"/>
    <col min="8962" max="8962" width="14.44140625" style="21" customWidth="1"/>
    <col min="8963" max="8963" width="15.44140625" style="21" customWidth="1"/>
    <col min="8964" max="8964" width="16.44140625" style="21" customWidth="1"/>
    <col min="8965" max="8965" width="16.21875" style="21" customWidth="1"/>
    <col min="8966" max="8966" width="13.77734375" style="21" customWidth="1"/>
    <col min="8967" max="8967" width="18.77734375" style="21" customWidth="1"/>
    <col min="8968" max="8968" width="15.77734375" style="21" customWidth="1"/>
    <col min="8969" max="8970" width="16.5546875" style="21" customWidth="1"/>
    <col min="8971" max="8971" width="13.21875" style="21" bestFit="1" customWidth="1"/>
    <col min="8972" max="8972" width="13.44140625" style="21" customWidth="1"/>
    <col min="8973" max="8973" width="14.77734375" style="21" customWidth="1"/>
    <col min="8974" max="8974" width="14.77734375" style="21" bestFit="1" customWidth="1"/>
    <col min="8975" max="8979" width="14.44140625" style="21" customWidth="1"/>
    <col min="8980" max="8980" width="14.77734375" style="21" bestFit="1" customWidth="1"/>
    <col min="8981" max="8981" width="10.77734375" style="21" bestFit="1" customWidth="1"/>
    <col min="8982" max="9216" width="9.21875" style="21"/>
    <col min="9217" max="9217" width="8.44140625" style="21" customWidth="1"/>
    <col min="9218" max="9218" width="14.44140625" style="21" customWidth="1"/>
    <col min="9219" max="9219" width="15.44140625" style="21" customWidth="1"/>
    <col min="9220" max="9220" width="16.44140625" style="21" customWidth="1"/>
    <col min="9221" max="9221" width="16.21875" style="21" customWidth="1"/>
    <col min="9222" max="9222" width="13.77734375" style="21" customWidth="1"/>
    <col min="9223" max="9223" width="18.77734375" style="21" customWidth="1"/>
    <col min="9224" max="9224" width="15.77734375" style="21" customWidth="1"/>
    <col min="9225" max="9226" width="16.5546875" style="21" customWidth="1"/>
    <col min="9227" max="9227" width="13.21875" style="21" bestFit="1" customWidth="1"/>
    <col min="9228" max="9228" width="13.44140625" style="21" customWidth="1"/>
    <col min="9229" max="9229" width="14.77734375" style="21" customWidth="1"/>
    <col min="9230" max="9230" width="14.77734375" style="21" bestFit="1" customWidth="1"/>
    <col min="9231" max="9235" width="14.44140625" style="21" customWidth="1"/>
    <col min="9236" max="9236" width="14.77734375" style="21" bestFit="1" customWidth="1"/>
    <col min="9237" max="9237" width="10.77734375" style="21" bestFit="1" customWidth="1"/>
    <col min="9238" max="9472" width="9.21875" style="21"/>
    <col min="9473" max="9473" width="8.44140625" style="21" customWidth="1"/>
    <col min="9474" max="9474" width="14.44140625" style="21" customWidth="1"/>
    <col min="9475" max="9475" width="15.44140625" style="21" customWidth="1"/>
    <col min="9476" max="9476" width="16.44140625" style="21" customWidth="1"/>
    <col min="9477" max="9477" width="16.21875" style="21" customWidth="1"/>
    <col min="9478" max="9478" width="13.77734375" style="21" customWidth="1"/>
    <col min="9479" max="9479" width="18.77734375" style="21" customWidth="1"/>
    <col min="9480" max="9480" width="15.77734375" style="21" customWidth="1"/>
    <col min="9481" max="9482" width="16.5546875" style="21" customWidth="1"/>
    <col min="9483" max="9483" width="13.21875" style="21" bestFit="1" customWidth="1"/>
    <col min="9484" max="9484" width="13.44140625" style="21" customWidth="1"/>
    <col min="9485" max="9485" width="14.77734375" style="21" customWidth="1"/>
    <col min="9486" max="9486" width="14.77734375" style="21" bestFit="1" customWidth="1"/>
    <col min="9487" max="9491" width="14.44140625" style="21" customWidth="1"/>
    <col min="9492" max="9492" width="14.77734375" style="21" bestFit="1" customWidth="1"/>
    <col min="9493" max="9493" width="10.77734375" style="21" bestFit="1" customWidth="1"/>
    <col min="9494" max="9728" width="9.21875" style="21"/>
    <col min="9729" max="9729" width="8.44140625" style="21" customWidth="1"/>
    <col min="9730" max="9730" width="14.44140625" style="21" customWidth="1"/>
    <col min="9731" max="9731" width="15.44140625" style="21" customWidth="1"/>
    <col min="9732" max="9732" width="16.44140625" style="21" customWidth="1"/>
    <col min="9733" max="9733" width="16.21875" style="21" customWidth="1"/>
    <col min="9734" max="9734" width="13.77734375" style="21" customWidth="1"/>
    <col min="9735" max="9735" width="18.77734375" style="21" customWidth="1"/>
    <col min="9736" max="9736" width="15.77734375" style="21" customWidth="1"/>
    <col min="9737" max="9738" width="16.5546875" style="21" customWidth="1"/>
    <col min="9739" max="9739" width="13.21875" style="21" bestFit="1" customWidth="1"/>
    <col min="9740" max="9740" width="13.44140625" style="21" customWidth="1"/>
    <col min="9741" max="9741" width="14.77734375" style="21" customWidth="1"/>
    <col min="9742" max="9742" width="14.77734375" style="21" bestFit="1" customWidth="1"/>
    <col min="9743" max="9747" width="14.44140625" style="21" customWidth="1"/>
    <col min="9748" max="9748" width="14.77734375" style="21" bestFit="1" customWidth="1"/>
    <col min="9749" max="9749" width="10.77734375" style="21" bestFit="1" customWidth="1"/>
    <col min="9750" max="9984" width="9.21875" style="21"/>
    <col min="9985" max="9985" width="8.44140625" style="21" customWidth="1"/>
    <col min="9986" max="9986" width="14.44140625" style="21" customWidth="1"/>
    <col min="9987" max="9987" width="15.44140625" style="21" customWidth="1"/>
    <col min="9988" max="9988" width="16.44140625" style="21" customWidth="1"/>
    <col min="9989" max="9989" width="16.21875" style="21" customWidth="1"/>
    <col min="9990" max="9990" width="13.77734375" style="21" customWidth="1"/>
    <col min="9991" max="9991" width="18.77734375" style="21" customWidth="1"/>
    <col min="9992" max="9992" width="15.77734375" style="21" customWidth="1"/>
    <col min="9993" max="9994" width="16.5546875" style="21" customWidth="1"/>
    <col min="9995" max="9995" width="13.21875" style="21" bestFit="1" customWidth="1"/>
    <col min="9996" max="9996" width="13.44140625" style="21" customWidth="1"/>
    <col min="9997" max="9997" width="14.77734375" style="21" customWidth="1"/>
    <col min="9998" max="9998" width="14.77734375" style="21" bestFit="1" customWidth="1"/>
    <col min="9999" max="10003" width="14.44140625" style="21" customWidth="1"/>
    <col min="10004" max="10004" width="14.77734375" style="21" bestFit="1" customWidth="1"/>
    <col min="10005" max="10005" width="10.77734375" style="21" bestFit="1" customWidth="1"/>
    <col min="10006" max="10240" width="9.21875" style="21"/>
    <col min="10241" max="10241" width="8.44140625" style="21" customWidth="1"/>
    <col min="10242" max="10242" width="14.44140625" style="21" customWidth="1"/>
    <col min="10243" max="10243" width="15.44140625" style="21" customWidth="1"/>
    <col min="10244" max="10244" width="16.44140625" style="21" customWidth="1"/>
    <col min="10245" max="10245" width="16.21875" style="21" customWidth="1"/>
    <col min="10246" max="10246" width="13.77734375" style="21" customWidth="1"/>
    <col min="10247" max="10247" width="18.77734375" style="21" customWidth="1"/>
    <col min="10248" max="10248" width="15.77734375" style="21" customWidth="1"/>
    <col min="10249" max="10250" width="16.5546875" style="21" customWidth="1"/>
    <col min="10251" max="10251" width="13.21875" style="21" bestFit="1" customWidth="1"/>
    <col min="10252" max="10252" width="13.44140625" style="21" customWidth="1"/>
    <col min="10253" max="10253" width="14.77734375" style="21" customWidth="1"/>
    <col min="10254" max="10254" width="14.77734375" style="21" bestFit="1" customWidth="1"/>
    <col min="10255" max="10259" width="14.44140625" style="21" customWidth="1"/>
    <col min="10260" max="10260" width="14.77734375" style="21" bestFit="1" customWidth="1"/>
    <col min="10261" max="10261" width="10.77734375" style="21" bestFit="1" customWidth="1"/>
    <col min="10262" max="10496" width="9.21875" style="21"/>
    <col min="10497" max="10497" width="8.44140625" style="21" customWidth="1"/>
    <col min="10498" max="10498" width="14.44140625" style="21" customWidth="1"/>
    <col min="10499" max="10499" width="15.44140625" style="21" customWidth="1"/>
    <col min="10500" max="10500" width="16.44140625" style="21" customWidth="1"/>
    <col min="10501" max="10501" width="16.21875" style="21" customWidth="1"/>
    <col min="10502" max="10502" width="13.77734375" style="21" customWidth="1"/>
    <col min="10503" max="10503" width="18.77734375" style="21" customWidth="1"/>
    <col min="10504" max="10504" width="15.77734375" style="21" customWidth="1"/>
    <col min="10505" max="10506" width="16.5546875" style="21" customWidth="1"/>
    <col min="10507" max="10507" width="13.21875" style="21" bestFit="1" customWidth="1"/>
    <col min="10508" max="10508" width="13.44140625" style="21" customWidth="1"/>
    <col min="10509" max="10509" width="14.77734375" style="21" customWidth="1"/>
    <col min="10510" max="10510" width="14.77734375" style="21" bestFit="1" customWidth="1"/>
    <col min="10511" max="10515" width="14.44140625" style="21" customWidth="1"/>
    <col min="10516" max="10516" width="14.77734375" style="21" bestFit="1" customWidth="1"/>
    <col min="10517" max="10517" width="10.77734375" style="21" bestFit="1" customWidth="1"/>
    <col min="10518" max="10752" width="9.21875" style="21"/>
    <col min="10753" max="10753" width="8.44140625" style="21" customWidth="1"/>
    <col min="10754" max="10754" width="14.44140625" style="21" customWidth="1"/>
    <col min="10755" max="10755" width="15.44140625" style="21" customWidth="1"/>
    <col min="10756" max="10756" width="16.44140625" style="21" customWidth="1"/>
    <col min="10757" max="10757" width="16.21875" style="21" customWidth="1"/>
    <col min="10758" max="10758" width="13.77734375" style="21" customWidth="1"/>
    <col min="10759" max="10759" width="18.77734375" style="21" customWidth="1"/>
    <col min="10760" max="10760" width="15.77734375" style="21" customWidth="1"/>
    <col min="10761" max="10762" width="16.5546875" style="21" customWidth="1"/>
    <col min="10763" max="10763" width="13.21875" style="21" bestFit="1" customWidth="1"/>
    <col min="10764" max="10764" width="13.44140625" style="21" customWidth="1"/>
    <col min="10765" max="10765" width="14.77734375" style="21" customWidth="1"/>
    <col min="10766" max="10766" width="14.77734375" style="21" bestFit="1" customWidth="1"/>
    <col min="10767" max="10771" width="14.44140625" style="21" customWidth="1"/>
    <col min="10772" max="10772" width="14.77734375" style="21" bestFit="1" customWidth="1"/>
    <col min="10773" max="10773" width="10.77734375" style="21" bestFit="1" customWidth="1"/>
    <col min="10774" max="11008" width="9.21875" style="21"/>
    <col min="11009" max="11009" width="8.44140625" style="21" customWidth="1"/>
    <col min="11010" max="11010" width="14.44140625" style="21" customWidth="1"/>
    <col min="11011" max="11011" width="15.44140625" style="21" customWidth="1"/>
    <col min="11012" max="11012" width="16.44140625" style="21" customWidth="1"/>
    <col min="11013" max="11013" width="16.21875" style="21" customWidth="1"/>
    <col min="11014" max="11014" width="13.77734375" style="21" customWidth="1"/>
    <col min="11015" max="11015" width="18.77734375" style="21" customWidth="1"/>
    <col min="11016" max="11016" width="15.77734375" style="21" customWidth="1"/>
    <col min="11017" max="11018" width="16.5546875" style="21" customWidth="1"/>
    <col min="11019" max="11019" width="13.21875" style="21" bestFit="1" customWidth="1"/>
    <col min="11020" max="11020" width="13.44140625" style="21" customWidth="1"/>
    <col min="11021" max="11021" width="14.77734375" style="21" customWidth="1"/>
    <col min="11022" max="11022" width="14.77734375" style="21" bestFit="1" customWidth="1"/>
    <col min="11023" max="11027" width="14.44140625" style="21" customWidth="1"/>
    <col min="11028" max="11028" width="14.77734375" style="21" bestFit="1" customWidth="1"/>
    <col min="11029" max="11029" width="10.77734375" style="21" bestFit="1" customWidth="1"/>
    <col min="11030" max="11264" width="9.21875" style="21"/>
    <col min="11265" max="11265" width="8.44140625" style="21" customWidth="1"/>
    <col min="11266" max="11266" width="14.44140625" style="21" customWidth="1"/>
    <col min="11267" max="11267" width="15.44140625" style="21" customWidth="1"/>
    <col min="11268" max="11268" width="16.44140625" style="21" customWidth="1"/>
    <col min="11269" max="11269" width="16.21875" style="21" customWidth="1"/>
    <col min="11270" max="11270" width="13.77734375" style="21" customWidth="1"/>
    <col min="11271" max="11271" width="18.77734375" style="21" customWidth="1"/>
    <col min="11272" max="11272" width="15.77734375" style="21" customWidth="1"/>
    <col min="11273" max="11274" width="16.5546875" style="21" customWidth="1"/>
    <col min="11275" max="11275" width="13.21875" style="21" bestFit="1" customWidth="1"/>
    <col min="11276" max="11276" width="13.44140625" style="21" customWidth="1"/>
    <col min="11277" max="11277" width="14.77734375" style="21" customWidth="1"/>
    <col min="11278" max="11278" width="14.77734375" style="21" bestFit="1" customWidth="1"/>
    <col min="11279" max="11283" width="14.44140625" style="21" customWidth="1"/>
    <col min="11284" max="11284" width="14.77734375" style="21" bestFit="1" customWidth="1"/>
    <col min="11285" max="11285" width="10.77734375" style="21" bestFit="1" customWidth="1"/>
    <col min="11286" max="11520" width="9.21875" style="21"/>
    <col min="11521" max="11521" width="8.44140625" style="21" customWidth="1"/>
    <col min="11522" max="11522" width="14.44140625" style="21" customWidth="1"/>
    <col min="11523" max="11523" width="15.44140625" style="21" customWidth="1"/>
    <col min="11524" max="11524" width="16.44140625" style="21" customWidth="1"/>
    <col min="11525" max="11525" width="16.21875" style="21" customWidth="1"/>
    <col min="11526" max="11526" width="13.77734375" style="21" customWidth="1"/>
    <col min="11527" max="11527" width="18.77734375" style="21" customWidth="1"/>
    <col min="11528" max="11528" width="15.77734375" style="21" customWidth="1"/>
    <col min="11529" max="11530" width="16.5546875" style="21" customWidth="1"/>
    <col min="11531" max="11531" width="13.21875" style="21" bestFit="1" customWidth="1"/>
    <col min="11532" max="11532" width="13.44140625" style="21" customWidth="1"/>
    <col min="11533" max="11533" width="14.77734375" style="21" customWidth="1"/>
    <col min="11534" max="11534" width="14.77734375" style="21" bestFit="1" customWidth="1"/>
    <col min="11535" max="11539" width="14.44140625" style="21" customWidth="1"/>
    <col min="11540" max="11540" width="14.77734375" style="21" bestFit="1" customWidth="1"/>
    <col min="11541" max="11541" width="10.77734375" style="21" bestFit="1" customWidth="1"/>
    <col min="11542" max="11776" width="9.21875" style="21"/>
    <col min="11777" max="11777" width="8.44140625" style="21" customWidth="1"/>
    <col min="11778" max="11778" width="14.44140625" style="21" customWidth="1"/>
    <col min="11779" max="11779" width="15.44140625" style="21" customWidth="1"/>
    <col min="11780" max="11780" width="16.44140625" style="21" customWidth="1"/>
    <col min="11781" max="11781" width="16.21875" style="21" customWidth="1"/>
    <col min="11782" max="11782" width="13.77734375" style="21" customWidth="1"/>
    <col min="11783" max="11783" width="18.77734375" style="21" customWidth="1"/>
    <col min="11784" max="11784" width="15.77734375" style="21" customWidth="1"/>
    <col min="11785" max="11786" width="16.5546875" style="21" customWidth="1"/>
    <col min="11787" max="11787" width="13.21875" style="21" bestFit="1" customWidth="1"/>
    <col min="11788" max="11788" width="13.44140625" style="21" customWidth="1"/>
    <col min="11789" max="11789" width="14.77734375" style="21" customWidth="1"/>
    <col min="11790" max="11790" width="14.77734375" style="21" bestFit="1" customWidth="1"/>
    <col min="11791" max="11795" width="14.44140625" style="21" customWidth="1"/>
    <col min="11796" max="11796" width="14.77734375" style="21" bestFit="1" customWidth="1"/>
    <col min="11797" max="11797" width="10.77734375" style="21" bestFit="1" customWidth="1"/>
    <col min="11798" max="12032" width="9.21875" style="21"/>
    <col min="12033" max="12033" width="8.44140625" style="21" customWidth="1"/>
    <col min="12034" max="12034" width="14.44140625" style="21" customWidth="1"/>
    <col min="12035" max="12035" width="15.44140625" style="21" customWidth="1"/>
    <col min="12036" max="12036" width="16.44140625" style="21" customWidth="1"/>
    <col min="12037" max="12037" width="16.21875" style="21" customWidth="1"/>
    <col min="12038" max="12038" width="13.77734375" style="21" customWidth="1"/>
    <col min="12039" max="12039" width="18.77734375" style="21" customWidth="1"/>
    <col min="12040" max="12040" width="15.77734375" style="21" customWidth="1"/>
    <col min="12041" max="12042" width="16.5546875" style="21" customWidth="1"/>
    <col min="12043" max="12043" width="13.21875" style="21" bestFit="1" customWidth="1"/>
    <col min="12044" max="12044" width="13.44140625" style="21" customWidth="1"/>
    <col min="12045" max="12045" width="14.77734375" style="21" customWidth="1"/>
    <col min="12046" max="12046" width="14.77734375" style="21" bestFit="1" customWidth="1"/>
    <col min="12047" max="12051" width="14.44140625" style="21" customWidth="1"/>
    <col min="12052" max="12052" width="14.77734375" style="21" bestFit="1" customWidth="1"/>
    <col min="12053" max="12053" width="10.77734375" style="21" bestFit="1" customWidth="1"/>
    <col min="12054" max="12288" width="9.21875" style="21"/>
    <col min="12289" max="12289" width="8.44140625" style="21" customWidth="1"/>
    <col min="12290" max="12290" width="14.44140625" style="21" customWidth="1"/>
    <col min="12291" max="12291" width="15.44140625" style="21" customWidth="1"/>
    <col min="12292" max="12292" width="16.44140625" style="21" customWidth="1"/>
    <col min="12293" max="12293" width="16.21875" style="21" customWidth="1"/>
    <col min="12294" max="12294" width="13.77734375" style="21" customWidth="1"/>
    <col min="12295" max="12295" width="18.77734375" style="21" customWidth="1"/>
    <col min="12296" max="12296" width="15.77734375" style="21" customWidth="1"/>
    <col min="12297" max="12298" width="16.5546875" style="21" customWidth="1"/>
    <col min="12299" max="12299" width="13.21875" style="21" bestFit="1" customWidth="1"/>
    <col min="12300" max="12300" width="13.44140625" style="21" customWidth="1"/>
    <col min="12301" max="12301" width="14.77734375" style="21" customWidth="1"/>
    <col min="12302" max="12302" width="14.77734375" style="21" bestFit="1" customWidth="1"/>
    <col min="12303" max="12307" width="14.44140625" style="21" customWidth="1"/>
    <col min="12308" max="12308" width="14.77734375" style="21" bestFit="1" customWidth="1"/>
    <col min="12309" max="12309" width="10.77734375" style="21" bestFit="1" customWidth="1"/>
    <col min="12310" max="12544" width="9.21875" style="21"/>
    <col min="12545" max="12545" width="8.44140625" style="21" customWidth="1"/>
    <col min="12546" max="12546" width="14.44140625" style="21" customWidth="1"/>
    <col min="12547" max="12547" width="15.44140625" style="21" customWidth="1"/>
    <col min="12548" max="12548" width="16.44140625" style="21" customWidth="1"/>
    <col min="12549" max="12549" width="16.21875" style="21" customWidth="1"/>
    <col min="12550" max="12550" width="13.77734375" style="21" customWidth="1"/>
    <col min="12551" max="12551" width="18.77734375" style="21" customWidth="1"/>
    <col min="12552" max="12552" width="15.77734375" style="21" customWidth="1"/>
    <col min="12553" max="12554" width="16.5546875" style="21" customWidth="1"/>
    <col min="12555" max="12555" width="13.21875" style="21" bestFit="1" customWidth="1"/>
    <col min="12556" max="12556" width="13.44140625" style="21" customWidth="1"/>
    <col min="12557" max="12557" width="14.77734375" style="21" customWidth="1"/>
    <col min="12558" max="12558" width="14.77734375" style="21" bestFit="1" customWidth="1"/>
    <col min="12559" max="12563" width="14.44140625" style="21" customWidth="1"/>
    <col min="12564" max="12564" width="14.77734375" style="21" bestFit="1" customWidth="1"/>
    <col min="12565" max="12565" width="10.77734375" style="21" bestFit="1" customWidth="1"/>
    <col min="12566" max="12800" width="9.21875" style="21"/>
    <col min="12801" max="12801" width="8.44140625" style="21" customWidth="1"/>
    <col min="12802" max="12802" width="14.44140625" style="21" customWidth="1"/>
    <col min="12803" max="12803" width="15.44140625" style="21" customWidth="1"/>
    <col min="12804" max="12804" width="16.44140625" style="21" customWidth="1"/>
    <col min="12805" max="12805" width="16.21875" style="21" customWidth="1"/>
    <col min="12806" max="12806" width="13.77734375" style="21" customWidth="1"/>
    <col min="12807" max="12807" width="18.77734375" style="21" customWidth="1"/>
    <col min="12808" max="12808" width="15.77734375" style="21" customWidth="1"/>
    <col min="12809" max="12810" width="16.5546875" style="21" customWidth="1"/>
    <col min="12811" max="12811" width="13.21875" style="21" bestFit="1" customWidth="1"/>
    <col min="12812" max="12812" width="13.44140625" style="21" customWidth="1"/>
    <col min="12813" max="12813" width="14.77734375" style="21" customWidth="1"/>
    <col min="12814" max="12814" width="14.77734375" style="21" bestFit="1" customWidth="1"/>
    <col min="12815" max="12819" width="14.44140625" style="21" customWidth="1"/>
    <col min="12820" max="12820" width="14.77734375" style="21" bestFit="1" customWidth="1"/>
    <col min="12821" max="12821" width="10.77734375" style="21" bestFit="1" customWidth="1"/>
    <col min="12822" max="13056" width="9.21875" style="21"/>
    <col min="13057" max="13057" width="8.44140625" style="21" customWidth="1"/>
    <col min="13058" max="13058" width="14.44140625" style="21" customWidth="1"/>
    <col min="13059" max="13059" width="15.44140625" style="21" customWidth="1"/>
    <col min="13060" max="13060" width="16.44140625" style="21" customWidth="1"/>
    <col min="13061" max="13061" width="16.21875" style="21" customWidth="1"/>
    <col min="13062" max="13062" width="13.77734375" style="21" customWidth="1"/>
    <col min="13063" max="13063" width="18.77734375" style="21" customWidth="1"/>
    <col min="13064" max="13064" width="15.77734375" style="21" customWidth="1"/>
    <col min="13065" max="13066" width="16.5546875" style="21" customWidth="1"/>
    <col min="13067" max="13067" width="13.21875" style="21" bestFit="1" customWidth="1"/>
    <col min="13068" max="13068" width="13.44140625" style="21" customWidth="1"/>
    <col min="13069" max="13069" width="14.77734375" style="21" customWidth="1"/>
    <col min="13070" max="13070" width="14.77734375" style="21" bestFit="1" customWidth="1"/>
    <col min="13071" max="13075" width="14.44140625" style="21" customWidth="1"/>
    <col min="13076" max="13076" width="14.77734375" style="21" bestFit="1" customWidth="1"/>
    <col min="13077" max="13077" width="10.77734375" style="21" bestFit="1" customWidth="1"/>
    <col min="13078" max="13312" width="9.21875" style="21"/>
    <col min="13313" max="13313" width="8.44140625" style="21" customWidth="1"/>
    <col min="13314" max="13314" width="14.44140625" style="21" customWidth="1"/>
    <col min="13315" max="13315" width="15.44140625" style="21" customWidth="1"/>
    <col min="13316" max="13316" width="16.44140625" style="21" customWidth="1"/>
    <col min="13317" max="13317" width="16.21875" style="21" customWidth="1"/>
    <col min="13318" max="13318" width="13.77734375" style="21" customWidth="1"/>
    <col min="13319" max="13319" width="18.77734375" style="21" customWidth="1"/>
    <col min="13320" max="13320" width="15.77734375" style="21" customWidth="1"/>
    <col min="13321" max="13322" width="16.5546875" style="21" customWidth="1"/>
    <col min="13323" max="13323" width="13.21875" style="21" bestFit="1" customWidth="1"/>
    <col min="13324" max="13324" width="13.44140625" style="21" customWidth="1"/>
    <col min="13325" max="13325" width="14.77734375" style="21" customWidth="1"/>
    <col min="13326" max="13326" width="14.77734375" style="21" bestFit="1" customWidth="1"/>
    <col min="13327" max="13331" width="14.44140625" style="21" customWidth="1"/>
    <col min="13332" max="13332" width="14.77734375" style="21" bestFit="1" customWidth="1"/>
    <col min="13333" max="13333" width="10.77734375" style="21" bestFit="1" customWidth="1"/>
    <col min="13334" max="13568" width="9.21875" style="21"/>
    <col min="13569" max="13569" width="8.44140625" style="21" customWidth="1"/>
    <col min="13570" max="13570" width="14.44140625" style="21" customWidth="1"/>
    <col min="13571" max="13571" width="15.44140625" style="21" customWidth="1"/>
    <col min="13572" max="13572" width="16.44140625" style="21" customWidth="1"/>
    <col min="13573" max="13573" width="16.21875" style="21" customWidth="1"/>
    <col min="13574" max="13574" width="13.77734375" style="21" customWidth="1"/>
    <col min="13575" max="13575" width="18.77734375" style="21" customWidth="1"/>
    <col min="13576" max="13576" width="15.77734375" style="21" customWidth="1"/>
    <col min="13577" max="13578" width="16.5546875" style="21" customWidth="1"/>
    <col min="13579" max="13579" width="13.21875" style="21" bestFit="1" customWidth="1"/>
    <col min="13580" max="13580" width="13.44140625" style="21" customWidth="1"/>
    <col min="13581" max="13581" width="14.77734375" style="21" customWidth="1"/>
    <col min="13582" max="13582" width="14.77734375" style="21" bestFit="1" customWidth="1"/>
    <col min="13583" max="13587" width="14.44140625" style="21" customWidth="1"/>
    <col min="13588" max="13588" width="14.77734375" style="21" bestFit="1" customWidth="1"/>
    <col min="13589" max="13589" width="10.77734375" style="21" bestFit="1" customWidth="1"/>
    <col min="13590" max="13824" width="9.21875" style="21"/>
    <col min="13825" max="13825" width="8.44140625" style="21" customWidth="1"/>
    <col min="13826" max="13826" width="14.44140625" style="21" customWidth="1"/>
    <col min="13827" max="13827" width="15.44140625" style="21" customWidth="1"/>
    <col min="13828" max="13828" width="16.44140625" style="21" customWidth="1"/>
    <col min="13829" max="13829" width="16.21875" style="21" customWidth="1"/>
    <col min="13830" max="13830" width="13.77734375" style="21" customWidth="1"/>
    <col min="13831" max="13831" width="18.77734375" style="21" customWidth="1"/>
    <col min="13832" max="13832" width="15.77734375" style="21" customWidth="1"/>
    <col min="13833" max="13834" width="16.5546875" style="21" customWidth="1"/>
    <col min="13835" max="13835" width="13.21875" style="21" bestFit="1" customWidth="1"/>
    <col min="13836" max="13836" width="13.44140625" style="21" customWidth="1"/>
    <col min="13837" max="13837" width="14.77734375" style="21" customWidth="1"/>
    <col min="13838" max="13838" width="14.77734375" style="21" bestFit="1" customWidth="1"/>
    <col min="13839" max="13843" width="14.44140625" style="21" customWidth="1"/>
    <col min="13844" max="13844" width="14.77734375" style="21" bestFit="1" customWidth="1"/>
    <col min="13845" max="13845" width="10.77734375" style="21" bestFit="1" customWidth="1"/>
    <col min="13846" max="14080" width="9.21875" style="21"/>
    <col min="14081" max="14081" width="8.44140625" style="21" customWidth="1"/>
    <col min="14082" max="14082" width="14.44140625" style="21" customWidth="1"/>
    <col min="14083" max="14083" width="15.44140625" style="21" customWidth="1"/>
    <col min="14084" max="14084" width="16.44140625" style="21" customWidth="1"/>
    <col min="14085" max="14085" width="16.21875" style="21" customWidth="1"/>
    <col min="14086" max="14086" width="13.77734375" style="21" customWidth="1"/>
    <col min="14087" max="14087" width="18.77734375" style="21" customWidth="1"/>
    <col min="14088" max="14088" width="15.77734375" style="21" customWidth="1"/>
    <col min="14089" max="14090" width="16.5546875" style="21" customWidth="1"/>
    <col min="14091" max="14091" width="13.21875" style="21" bestFit="1" customWidth="1"/>
    <col min="14092" max="14092" width="13.44140625" style="21" customWidth="1"/>
    <col min="14093" max="14093" width="14.77734375" style="21" customWidth="1"/>
    <col min="14094" max="14094" width="14.77734375" style="21" bestFit="1" customWidth="1"/>
    <col min="14095" max="14099" width="14.44140625" style="21" customWidth="1"/>
    <col min="14100" max="14100" width="14.77734375" style="21" bestFit="1" customWidth="1"/>
    <col min="14101" max="14101" width="10.77734375" style="21" bestFit="1" customWidth="1"/>
    <col min="14102" max="14336" width="9.21875" style="21"/>
    <col min="14337" max="14337" width="8.44140625" style="21" customWidth="1"/>
    <col min="14338" max="14338" width="14.44140625" style="21" customWidth="1"/>
    <col min="14339" max="14339" width="15.44140625" style="21" customWidth="1"/>
    <col min="14340" max="14340" width="16.44140625" style="21" customWidth="1"/>
    <col min="14341" max="14341" width="16.21875" style="21" customWidth="1"/>
    <col min="14342" max="14342" width="13.77734375" style="21" customWidth="1"/>
    <col min="14343" max="14343" width="18.77734375" style="21" customWidth="1"/>
    <col min="14344" max="14344" width="15.77734375" style="21" customWidth="1"/>
    <col min="14345" max="14346" width="16.5546875" style="21" customWidth="1"/>
    <col min="14347" max="14347" width="13.21875" style="21" bestFit="1" customWidth="1"/>
    <col min="14348" max="14348" width="13.44140625" style="21" customWidth="1"/>
    <col min="14349" max="14349" width="14.77734375" style="21" customWidth="1"/>
    <col min="14350" max="14350" width="14.77734375" style="21" bestFit="1" customWidth="1"/>
    <col min="14351" max="14355" width="14.44140625" style="21" customWidth="1"/>
    <col min="14356" max="14356" width="14.77734375" style="21" bestFit="1" customWidth="1"/>
    <col min="14357" max="14357" width="10.77734375" style="21" bestFit="1" customWidth="1"/>
    <col min="14358" max="14592" width="9.21875" style="21"/>
    <col min="14593" max="14593" width="8.44140625" style="21" customWidth="1"/>
    <col min="14594" max="14594" width="14.44140625" style="21" customWidth="1"/>
    <col min="14595" max="14595" width="15.44140625" style="21" customWidth="1"/>
    <col min="14596" max="14596" width="16.44140625" style="21" customWidth="1"/>
    <col min="14597" max="14597" width="16.21875" style="21" customWidth="1"/>
    <col min="14598" max="14598" width="13.77734375" style="21" customWidth="1"/>
    <col min="14599" max="14599" width="18.77734375" style="21" customWidth="1"/>
    <col min="14600" max="14600" width="15.77734375" style="21" customWidth="1"/>
    <col min="14601" max="14602" width="16.5546875" style="21" customWidth="1"/>
    <col min="14603" max="14603" width="13.21875" style="21" bestFit="1" customWidth="1"/>
    <col min="14604" max="14604" width="13.44140625" style="21" customWidth="1"/>
    <col min="14605" max="14605" width="14.77734375" style="21" customWidth="1"/>
    <col min="14606" max="14606" width="14.77734375" style="21" bestFit="1" customWidth="1"/>
    <col min="14607" max="14611" width="14.44140625" style="21" customWidth="1"/>
    <col min="14612" max="14612" width="14.77734375" style="21" bestFit="1" customWidth="1"/>
    <col min="14613" max="14613" width="10.77734375" style="21" bestFit="1" customWidth="1"/>
    <col min="14614" max="14848" width="9.21875" style="21"/>
    <col min="14849" max="14849" width="8.44140625" style="21" customWidth="1"/>
    <col min="14850" max="14850" width="14.44140625" style="21" customWidth="1"/>
    <col min="14851" max="14851" width="15.44140625" style="21" customWidth="1"/>
    <col min="14852" max="14852" width="16.44140625" style="21" customWidth="1"/>
    <col min="14853" max="14853" width="16.21875" style="21" customWidth="1"/>
    <col min="14854" max="14854" width="13.77734375" style="21" customWidth="1"/>
    <col min="14855" max="14855" width="18.77734375" style="21" customWidth="1"/>
    <col min="14856" max="14856" width="15.77734375" style="21" customWidth="1"/>
    <col min="14857" max="14858" width="16.5546875" style="21" customWidth="1"/>
    <col min="14859" max="14859" width="13.21875" style="21" bestFit="1" customWidth="1"/>
    <col min="14860" max="14860" width="13.44140625" style="21" customWidth="1"/>
    <col min="14861" max="14861" width="14.77734375" style="21" customWidth="1"/>
    <col min="14862" max="14862" width="14.77734375" style="21" bestFit="1" customWidth="1"/>
    <col min="14863" max="14867" width="14.44140625" style="21" customWidth="1"/>
    <col min="14868" max="14868" width="14.77734375" style="21" bestFit="1" customWidth="1"/>
    <col min="14869" max="14869" width="10.77734375" style="21" bestFit="1" customWidth="1"/>
    <col min="14870" max="15104" width="9.21875" style="21"/>
    <col min="15105" max="15105" width="8.44140625" style="21" customWidth="1"/>
    <col min="15106" max="15106" width="14.44140625" style="21" customWidth="1"/>
    <col min="15107" max="15107" width="15.44140625" style="21" customWidth="1"/>
    <col min="15108" max="15108" width="16.44140625" style="21" customWidth="1"/>
    <col min="15109" max="15109" width="16.21875" style="21" customWidth="1"/>
    <col min="15110" max="15110" width="13.77734375" style="21" customWidth="1"/>
    <col min="15111" max="15111" width="18.77734375" style="21" customWidth="1"/>
    <col min="15112" max="15112" width="15.77734375" style="21" customWidth="1"/>
    <col min="15113" max="15114" width="16.5546875" style="21" customWidth="1"/>
    <col min="15115" max="15115" width="13.21875" style="21" bestFit="1" customWidth="1"/>
    <col min="15116" max="15116" width="13.44140625" style="21" customWidth="1"/>
    <col min="15117" max="15117" width="14.77734375" style="21" customWidth="1"/>
    <col min="15118" max="15118" width="14.77734375" style="21" bestFit="1" customWidth="1"/>
    <col min="15119" max="15123" width="14.44140625" style="21" customWidth="1"/>
    <col min="15124" max="15124" width="14.77734375" style="21" bestFit="1" customWidth="1"/>
    <col min="15125" max="15125" width="10.77734375" style="21" bestFit="1" customWidth="1"/>
    <col min="15126" max="15360" width="9.21875" style="21"/>
    <col min="15361" max="15361" width="8.44140625" style="21" customWidth="1"/>
    <col min="15362" max="15362" width="14.44140625" style="21" customWidth="1"/>
    <col min="15363" max="15363" width="15.44140625" style="21" customWidth="1"/>
    <col min="15364" max="15364" width="16.44140625" style="21" customWidth="1"/>
    <col min="15365" max="15365" width="16.21875" style="21" customWidth="1"/>
    <col min="15366" max="15366" width="13.77734375" style="21" customWidth="1"/>
    <col min="15367" max="15367" width="18.77734375" style="21" customWidth="1"/>
    <col min="15368" max="15368" width="15.77734375" style="21" customWidth="1"/>
    <col min="15369" max="15370" width="16.5546875" style="21" customWidth="1"/>
    <col min="15371" max="15371" width="13.21875" style="21" bestFit="1" customWidth="1"/>
    <col min="15372" max="15372" width="13.44140625" style="21" customWidth="1"/>
    <col min="15373" max="15373" width="14.77734375" style="21" customWidth="1"/>
    <col min="15374" max="15374" width="14.77734375" style="21" bestFit="1" customWidth="1"/>
    <col min="15375" max="15379" width="14.44140625" style="21" customWidth="1"/>
    <col min="15380" max="15380" width="14.77734375" style="21" bestFit="1" customWidth="1"/>
    <col min="15381" max="15381" width="10.77734375" style="21" bestFit="1" customWidth="1"/>
    <col min="15382" max="15616" width="9.21875" style="21"/>
    <col min="15617" max="15617" width="8.44140625" style="21" customWidth="1"/>
    <col min="15618" max="15618" width="14.44140625" style="21" customWidth="1"/>
    <col min="15619" max="15619" width="15.44140625" style="21" customWidth="1"/>
    <col min="15620" max="15620" width="16.44140625" style="21" customWidth="1"/>
    <col min="15621" max="15621" width="16.21875" style="21" customWidth="1"/>
    <col min="15622" max="15622" width="13.77734375" style="21" customWidth="1"/>
    <col min="15623" max="15623" width="18.77734375" style="21" customWidth="1"/>
    <col min="15624" max="15624" width="15.77734375" style="21" customWidth="1"/>
    <col min="15625" max="15626" width="16.5546875" style="21" customWidth="1"/>
    <col min="15627" max="15627" width="13.21875" style="21" bestFit="1" customWidth="1"/>
    <col min="15628" max="15628" width="13.44140625" style="21" customWidth="1"/>
    <col min="15629" max="15629" width="14.77734375" style="21" customWidth="1"/>
    <col min="15630" max="15630" width="14.77734375" style="21" bestFit="1" customWidth="1"/>
    <col min="15631" max="15635" width="14.44140625" style="21" customWidth="1"/>
    <col min="15636" max="15636" width="14.77734375" style="21" bestFit="1" customWidth="1"/>
    <col min="15637" max="15637" width="10.77734375" style="21" bestFit="1" customWidth="1"/>
    <col min="15638" max="15872" width="9.21875" style="21"/>
    <col min="15873" max="15873" width="8.44140625" style="21" customWidth="1"/>
    <col min="15874" max="15874" width="14.44140625" style="21" customWidth="1"/>
    <col min="15875" max="15875" width="15.44140625" style="21" customWidth="1"/>
    <col min="15876" max="15876" width="16.44140625" style="21" customWidth="1"/>
    <col min="15877" max="15877" width="16.21875" style="21" customWidth="1"/>
    <col min="15878" max="15878" width="13.77734375" style="21" customWidth="1"/>
    <col min="15879" max="15879" width="18.77734375" style="21" customWidth="1"/>
    <col min="15880" max="15880" width="15.77734375" style="21" customWidth="1"/>
    <col min="15881" max="15882" width="16.5546875" style="21" customWidth="1"/>
    <col min="15883" max="15883" width="13.21875" style="21" bestFit="1" customWidth="1"/>
    <col min="15884" max="15884" width="13.44140625" style="21" customWidth="1"/>
    <col min="15885" max="15885" width="14.77734375" style="21" customWidth="1"/>
    <col min="15886" max="15886" width="14.77734375" style="21" bestFit="1" customWidth="1"/>
    <col min="15887" max="15891" width="14.44140625" style="21" customWidth="1"/>
    <col min="15892" max="15892" width="14.77734375" style="21" bestFit="1" customWidth="1"/>
    <col min="15893" max="15893" width="10.77734375" style="21" bestFit="1" customWidth="1"/>
    <col min="15894" max="16128" width="9.21875" style="21"/>
    <col min="16129" max="16129" width="8.44140625" style="21" customWidth="1"/>
    <col min="16130" max="16130" width="14.44140625" style="21" customWidth="1"/>
    <col min="16131" max="16131" width="15.44140625" style="21" customWidth="1"/>
    <col min="16132" max="16132" width="16.44140625" style="21" customWidth="1"/>
    <col min="16133" max="16133" width="16.21875" style="21" customWidth="1"/>
    <col min="16134" max="16134" width="13.77734375" style="21" customWidth="1"/>
    <col min="16135" max="16135" width="18.77734375" style="21" customWidth="1"/>
    <col min="16136" max="16136" width="15.77734375" style="21" customWidth="1"/>
    <col min="16137" max="16138" width="16.5546875" style="21" customWidth="1"/>
    <col min="16139" max="16139" width="13.21875" style="21" bestFit="1" customWidth="1"/>
    <col min="16140" max="16140" width="13.44140625" style="21" customWidth="1"/>
    <col min="16141" max="16141" width="14.77734375" style="21" customWidth="1"/>
    <col min="16142" max="16142" width="14.77734375" style="21" bestFit="1" customWidth="1"/>
    <col min="16143" max="16147" width="14.44140625" style="21" customWidth="1"/>
    <col min="16148" max="16148" width="14.77734375" style="21" bestFit="1" customWidth="1"/>
    <col min="16149" max="16149" width="10.77734375" style="21" bestFit="1" customWidth="1"/>
    <col min="16150" max="16384" width="9.21875" style="21"/>
  </cols>
  <sheetData>
    <row r="1" spans="1:10" ht="18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</row>
    <row r="2" spans="1:10" x14ac:dyDescent="0.25">
      <c r="A2" s="22"/>
      <c r="B2" s="23"/>
      <c r="C2" s="24"/>
      <c r="D2" s="24"/>
      <c r="E2" s="25"/>
      <c r="F2" s="25"/>
    </row>
    <row r="3" spans="1:10" x14ac:dyDescent="0.25">
      <c r="A3" s="22" t="s">
        <v>206</v>
      </c>
      <c r="B3" s="429" t="str">
        <f>+CC!B10</f>
        <v>Tramo 1: km 50 - km 173</v>
      </c>
      <c r="C3" s="429"/>
      <c r="D3" s="429"/>
      <c r="E3" s="429"/>
      <c r="F3" s="429"/>
      <c r="G3" s="429"/>
      <c r="H3" s="429"/>
      <c r="I3" s="429"/>
      <c r="J3" s="27"/>
    </row>
    <row r="4" spans="1:10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</row>
    <row r="5" spans="1:10" ht="15" customHeight="1" x14ac:dyDescent="0.25">
      <c r="A5" s="430" t="str">
        <f>CONCATENATE("PLAZO: ",A42," MESES (",A43,")")</f>
        <v>PLAZO: 24 MESES (720 dias)</v>
      </c>
      <c r="B5" s="430"/>
      <c r="C5" s="430"/>
      <c r="E5" s="30" t="s">
        <v>207</v>
      </c>
    </row>
    <row r="7" spans="1:10" x14ac:dyDescent="0.25">
      <c r="C7" s="32" t="s">
        <v>208</v>
      </c>
      <c r="D7" s="431"/>
      <c r="E7" s="431"/>
      <c r="F7" s="431"/>
      <c r="H7" s="32" t="s">
        <v>209</v>
      </c>
      <c r="I7" s="33">
        <f ca="1">NOW()</f>
        <v>43616.674115740738</v>
      </c>
    </row>
    <row r="8" spans="1:10" x14ac:dyDescent="0.25">
      <c r="C8" s="32" t="str">
        <f>IF(D7=0,"MONTO ESTIMADO CON IVA:","MONTO DE CONTRATO CON IVA:")</f>
        <v>MONTO ESTIMADO CON IVA:</v>
      </c>
      <c r="D8" s="34">
        <f>+CC!G29</f>
        <v>31750000</v>
      </c>
      <c r="E8" s="35" t="s">
        <v>210</v>
      </c>
      <c r="F8" s="21" t="s">
        <v>211</v>
      </c>
      <c r="H8" s="26" t="s">
        <v>212</v>
      </c>
      <c r="I8" s="36">
        <v>1</v>
      </c>
    </row>
    <row r="9" spans="1:10" hidden="1" x14ac:dyDescent="0.25">
      <c r="C9" s="32"/>
      <c r="D9" s="34"/>
      <c r="E9" s="29" t="s">
        <v>213</v>
      </c>
      <c r="I9" s="37"/>
    </row>
    <row r="10" spans="1:10" hidden="1" x14ac:dyDescent="0.25">
      <c r="C10" s="32"/>
      <c r="D10" s="34"/>
      <c r="E10" s="29" t="s">
        <v>210</v>
      </c>
      <c r="I10" s="37"/>
    </row>
    <row r="11" spans="1:10" x14ac:dyDescent="0.25">
      <c r="B11" s="21"/>
      <c r="C11" s="32" t="str">
        <f>IF(D7=0,"MONTO ESTIMADO SIN IVA:","MONTO DE CONTRATO SIN IVA:")</f>
        <v>MONTO ESTIMADO SIN IVA:</v>
      </c>
      <c r="D11" s="38">
        <f>D8</f>
        <v>31750000</v>
      </c>
      <c r="E11" s="39" t="s">
        <v>213</v>
      </c>
      <c r="F11" s="29"/>
    </row>
    <row r="12" spans="1:10" x14ac:dyDescent="0.25">
      <c r="B12" s="21"/>
      <c r="C12" s="32" t="s">
        <v>214</v>
      </c>
      <c r="D12" s="36">
        <v>100</v>
      </c>
      <c r="F12" s="29" t="s">
        <v>215</v>
      </c>
    </row>
    <row r="13" spans="1:10" x14ac:dyDescent="0.25">
      <c r="B13" s="21"/>
      <c r="C13" s="32" t="s">
        <v>216</v>
      </c>
      <c r="D13" s="40">
        <f>100-D12</f>
        <v>0</v>
      </c>
      <c r="F13" s="29"/>
    </row>
    <row r="14" spans="1:10" x14ac:dyDescent="0.25">
      <c r="B14" s="21"/>
      <c r="C14" s="32" t="s">
        <v>217</v>
      </c>
      <c r="D14" s="37">
        <v>20</v>
      </c>
      <c r="F14" s="29"/>
    </row>
    <row r="15" spans="1:10" x14ac:dyDescent="0.25">
      <c r="B15" s="32" t="s">
        <v>218</v>
      </c>
      <c r="C15" s="432"/>
      <c r="D15" s="432"/>
      <c r="E15" s="295" t="s">
        <v>219</v>
      </c>
      <c r="F15" s="296"/>
      <c r="H15" s="41" t="s">
        <v>220</v>
      </c>
      <c r="I15" s="36">
        <v>10</v>
      </c>
    </row>
    <row r="16" spans="1:10" ht="12.6" thickBot="1" x14ac:dyDescent="0.3">
      <c r="F16" s="42"/>
    </row>
    <row r="17" spans="1:11" ht="42" customHeight="1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20%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7"/>
    </row>
    <row r="18" spans="1:11" ht="12.75" customHeight="1" x14ac:dyDescent="0.25">
      <c r="A18" s="51">
        <v>0</v>
      </c>
      <c r="B18" s="52">
        <f>D14/100</f>
        <v>0.2</v>
      </c>
      <c r="C18" s="52">
        <v>0</v>
      </c>
      <c r="D18" s="53">
        <f>ROUND(B18*D11,0)</f>
        <v>6350000</v>
      </c>
      <c r="E18" s="54">
        <f>D18</f>
        <v>6350000</v>
      </c>
      <c r="F18" s="55">
        <f>E18/$E$42</f>
        <v>0.2</v>
      </c>
      <c r="G18" s="56" t="s">
        <v>228</v>
      </c>
      <c r="H18" s="57">
        <f t="shared" ref="H18:H33" si="0">ROUND(D18*0.1,0)</f>
        <v>635000</v>
      </c>
      <c r="I18" s="58">
        <f t="shared" ref="I18:I42" si="1">ROUNDUP((D18+H18-J18),-(LEN(D18)-$I$15))</f>
        <v>635000</v>
      </c>
      <c r="J18" s="58">
        <f t="shared" ref="J18:J33" si="2">ROUNDUP(D18*$D$12/100,-(LEN(D18)-$I$15))</f>
        <v>6350000</v>
      </c>
      <c r="K18" s="217"/>
    </row>
    <row r="19" spans="1:11" ht="12.6" thickBot="1" x14ac:dyDescent="0.3">
      <c r="A19" s="59">
        <v>1</v>
      </c>
      <c r="B19" s="60">
        <v>2.5000000000000001E-2</v>
      </c>
      <c r="C19" s="60">
        <f t="shared" ref="C19:C42" si="3">B19+C18</f>
        <v>2.5000000000000001E-2</v>
      </c>
      <c r="D19" s="61">
        <f>ROUND(B19*$D$11*(100-$D$14)/100,0)</f>
        <v>635000</v>
      </c>
      <c r="E19" s="62">
        <f t="shared" ref="E19:E33" si="4">E18+D19</f>
        <v>6985000</v>
      </c>
      <c r="F19" s="63">
        <f>E19/$E$42</f>
        <v>0.22</v>
      </c>
      <c r="G19" s="64" t="s">
        <v>35</v>
      </c>
      <c r="H19" s="65">
        <f t="shared" si="0"/>
        <v>63500</v>
      </c>
      <c r="I19" s="66">
        <f t="shared" si="1"/>
        <v>63500</v>
      </c>
      <c r="J19" s="66">
        <f t="shared" si="2"/>
        <v>635000</v>
      </c>
      <c r="K19" s="217"/>
    </row>
    <row r="20" spans="1:11" x14ac:dyDescent="0.25">
      <c r="A20" s="59">
        <v>2</v>
      </c>
      <c r="B20" s="60">
        <v>0.03</v>
      </c>
      <c r="C20" s="60">
        <f t="shared" si="3"/>
        <v>5.5E-2</v>
      </c>
      <c r="D20" s="61">
        <f t="shared" ref="D20:D42" si="5">ROUND(B20*$D$11*(100-$D$14)/100,0)</f>
        <v>762000</v>
      </c>
      <c r="E20" s="62">
        <f t="shared" si="4"/>
        <v>7747000</v>
      </c>
      <c r="F20" s="55">
        <f t="shared" ref="F20:F42" si="6">E20/$E$42</f>
        <v>0.24399999999999999</v>
      </c>
      <c r="G20" s="64" t="s">
        <v>36</v>
      </c>
      <c r="H20" s="65">
        <f t="shared" si="0"/>
        <v>76200</v>
      </c>
      <c r="I20" s="66">
        <f t="shared" si="1"/>
        <v>76200</v>
      </c>
      <c r="J20" s="66">
        <f t="shared" si="2"/>
        <v>762000</v>
      </c>
      <c r="K20" s="218"/>
    </row>
    <row r="21" spans="1:11" ht="12.6" thickBot="1" x14ac:dyDescent="0.3">
      <c r="A21" s="59">
        <v>3</v>
      </c>
      <c r="B21" s="60">
        <v>3.5000000000000003E-2</v>
      </c>
      <c r="C21" s="60">
        <f>B21+C20</f>
        <v>0.09</v>
      </c>
      <c r="D21" s="61">
        <f t="shared" si="5"/>
        <v>889000</v>
      </c>
      <c r="E21" s="62">
        <f t="shared" si="4"/>
        <v>8636000</v>
      </c>
      <c r="F21" s="63">
        <f t="shared" si="6"/>
        <v>0.27200000000000002</v>
      </c>
      <c r="G21" s="64" t="s">
        <v>37</v>
      </c>
      <c r="H21" s="65">
        <f t="shared" si="0"/>
        <v>88900</v>
      </c>
      <c r="I21" s="66">
        <f t="shared" si="1"/>
        <v>88900</v>
      </c>
      <c r="J21" s="66">
        <f t="shared" si="2"/>
        <v>889000</v>
      </c>
      <c r="K21" s="217"/>
    </row>
    <row r="22" spans="1:11" x14ac:dyDescent="0.25">
      <c r="A22" s="59">
        <v>4</v>
      </c>
      <c r="B22" s="60">
        <v>3.5000000000000003E-2</v>
      </c>
      <c r="C22" s="60">
        <f t="shared" si="3"/>
        <v>0.125</v>
      </c>
      <c r="D22" s="61">
        <f t="shared" si="5"/>
        <v>889000</v>
      </c>
      <c r="E22" s="62">
        <f t="shared" si="4"/>
        <v>9525000</v>
      </c>
      <c r="F22" s="55">
        <f t="shared" si="6"/>
        <v>0.3</v>
      </c>
      <c r="G22" s="64" t="s">
        <v>38</v>
      </c>
      <c r="H22" s="65">
        <f t="shared" si="0"/>
        <v>88900</v>
      </c>
      <c r="I22" s="66">
        <f t="shared" si="1"/>
        <v>88900</v>
      </c>
      <c r="J22" s="66">
        <f t="shared" si="2"/>
        <v>889000</v>
      </c>
      <c r="K22" s="219"/>
    </row>
    <row r="23" spans="1:11" ht="12.6" thickBot="1" x14ac:dyDescent="0.3">
      <c r="A23" s="59">
        <v>5</v>
      </c>
      <c r="B23" s="60">
        <v>0.04</v>
      </c>
      <c r="C23" s="60">
        <f t="shared" si="3"/>
        <v>0.16500000000000001</v>
      </c>
      <c r="D23" s="61">
        <f t="shared" si="5"/>
        <v>1016000</v>
      </c>
      <c r="E23" s="62">
        <f t="shared" si="4"/>
        <v>10541000</v>
      </c>
      <c r="F23" s="63">
        <f t="shared" si="6"/>
        <v>0.33200000000000002</v>
      </c>
      <c r="G23" s="64" t="s">
        <v>39</v>
      </c>
      <c r="H23" s="65">
        <f t="shared" si="0"/>
        <v>101600</v>
      </c>
      <c r="I23" s="66">
        <f t="shared" si="1"/>
        <v>101600</v>
      </c>
      <c r="J23" s="66">
        <f t="shared" si="2"/>
        <v>1016000</v>
      </c>
      <c r="K23" s="219"/>
    </row>
    <row r="24" spans="1:11" x14ac:dyDescent="0.25">
      <c r="A24" s="59">
        <v>6</v>
      </c>
      <c r="B24" s="60">
        <v>4.4999999999999998E-2</v>
      </c>
      <c r="C24" s="60">
        <f t="shared" si="3"/>
        <v>0.21000000000000002</v>
      </c>
      <c r="D24" s="61">
        <f t="shared" si="5"/>
        <v>1143000</v>
      </c>
      <c r="E24" s="62">
        <f t="shared" si="4"/>
        <v>11684000</v>
      </c>
      <c r="F24" s="55">
        <f t="shared" si="6"/>
        <v>0.36799999999999999</v>
      </c>
      <c r="G24" s="64" t="s">
        <v>40</v>
      </c>
      <c r="H24" s="65">
        <f t="shared" si="0"/>
        <v>114300</v>
      </c>
      <c r="I24" s="66">
        <f t="shared" si="1"/>
        <v>114300</v>
      </c>
      <c r="J24" s="66">
        <f t="shared" si="2"/>
        <v>1143000</v>
      </c>
      <c r="K24" s="219"/>
    </row>
    <row r="25" spans="1:11" ht="12.6" thickBot="1" x14ac:dyDescent="0.3">
      <c r="A25" s="59">
        <v>7</v>
      </c>
      <c r="B25" s="60">
        <v>4.4999999999999998E-2</v>
      </c>
      <c r="C25" s="60">
        <f t="shared" si="3"/>
        <v>0.255</v>
      </c>
      <c r="D25" s="61">
        <f t="shared" si="5"/>
        <v>1143000</v>
      </c>
      <c r="E25" s="62">
        <f t="shared" si="4"/>
        <v>12827000</v>
      </c>
      <c r="F25" s="63">
        <f t="shared" si="6"/>
        <v>0.40400000000000003</v>
      </c>
      <c r="G25" s="64" t="s">
        <v>41</v>
      </c>
      <c r="H25" s="65">
        <f t="shared" si="0"/>
        <v>114300</v>
      </c>
      <c r="I25" s="66">
        <f t="shared" si="1"/>
        <v>114300</v>
      </c>
      <c r="J25" s="66">
        <f t="shared" si="2"/>
        <v>1143000</v>
      </c>
      <c r="K25" s="220"/>
    </row>
    <row r="26" spans="1:11" x14ac:dyDescent="0.25">
      <c r="A26" s="59">
        <v>8</v>
      </c>
      <c r="B26" s="60">
        <v>0.05</v>
      </c>
      <c r="C26" s="60">
        <f t="shared" si="3"/>
        <v>0.30499999999999999</v>
      </c>
      <c r="D26" s="61">
        <f t="shared" si="5"/>
        <v>1270000</v>
      </c>
      <c r="E26" s="62">
        <f t="shared" si="4"/>
        <v>14097000</v>
      </c>
      <c r="F26" s="55">
        <f t="shared" si="6"/>
        <v>0.44400000000000001</v>
      </c>
      <c r="G26" s="64" t="s">
        <v>42</v>
      </c>
      <c r="H26" s="65">
        <f t="shared" si="0"/>
        <v>127000</v>
      </c>
      <c r="I26" s="66">
        <f t="shared" si="1"/>
        <v>127000</v>
      </c>
      <c r="J26" s="66">
        <f t="shared" si="2"/>
        <v>1270000</v>
      </c>
      <c r="K26" s="219"/>
    </row>
    <row r="27" spans="1:11" ht="12.6" thickBot="1" x14ac:dyDescent="0.3">
      <c r="A27" s="59">
        <v>9</v>
      </c>
      <c r="B27" s="60">
        <v>5.5E-2</v>
      </c>
      <c r="C27" s="60">
        <f t="shared" si="3"/>
        <v>0.36</v>
      </c>
      <c r="D27" s="61">
        <f t="shared" si="5"/>
        <v>1397000</v>
      </c>
      <c r="E27" s="62">
        <f t="shared" si="4"/>
        <v>15494000</v>
      </c>
      <c r="F27" s="63">
        <f t="shared" si="6"/>
        <v>0.48799999999999999</v>
      </c>
      <c r="G27" s="64" t="s">
        <v>43</v>
      </c>
      <c r="H27" s="65">
        <f t="shared" si="0"/>
        <v>139700</v>
      </c>
      <c r="I27" s="66">
        <f t="shared" si="1"/>
        <v>139700</v>
      </c>
      <c r="J27" s="66">
        <f t="shared" si="2"/>
        <v>1397000</v>
      </c>
      <c r="K27" s="219"/>
    </row>
    <row r="28" spans="1:11" x14ac:dyDescent="0.25">
      <c r="A28" s="59">
        <v>10</v>
      </c>
      <c r="B28" s="60">
        <v>5.5E-2</v>
      </c>
      <c r="C28" s="60">
        <f t="shared" si="3"/>
        <v>0.41499999999999998</v>
      </c>
      <c r="D28" s="61">
        <f t="shared" si="5"/>
        <v>1397000</v>
      </c>
      <c r="E28" s="62">
        <f t="shared" si="4"/>
        <v>16891000</v>
      </c>
      <c r="F28" s="55">
        <f t="shared" si="6"/>
        <v>0.53200000000000003</v>
      </c>
      <c r="G28" s="64" t="s">
        <v>44</v>
      </c>
      <c r="H28" s="65">
        <f t="shared" si="0"/>
        <v>139700</v>
      </c>
      <c r="I28" s="66">
        <f t="shared" si="1"/>
        <v>139700</v>
      </c>
      <c r="J28" s="66">
        <f t="shared" si="2"/>
        <v>1397000</v>
      </c>
      <c r="K28" s="219"/>
    </row>
    <row r="29" spans="1:11" ht="12.6" thickBot="1" x14ac:dyDescent="0.3">
      <c r="A29" s="59">
        <v>11</v>
      </c>
      <c r="B29" s="60">
        <v>5.5E-2</v>
      </c>
      <c r="C29" s="60">
        <f t="shared" si="3"/>
        <v>0.47</v>
      </c>
      <c r="D29" s="61">
        <f t="shared" si="5"/>
        <v>1397000</v>
      </c>
      <c r="E29" s="62">
        <f t="shared" si="4"/>
        <v>18288000</v>
      </c>
      <c r="F29" s="63">
        <f t="shared" si="6"/>
        <v>0.57599999999999996</v>
      </c>
      <c r="G29" s="64" t="s">
        <v>45</v>
      </c>
      <c r="H29" s="65">
        <f t="shared" si="0"/>
        <v>139700</v>
      </c>
      <c r="I29" s="66">
        <f t="shared" si="1"/>
        <v>139700</v>
      </c>
      <c r="J29" s="66">
        <f t="shared" si="2"/>
        <v>1397000</v>
      </c>
      <c r="K29" s="219"/>
    </row>
    <row r="30" spans="1:11" x14ac:dyDescent="0.25">
      <c r="A30" s="59">
        <v>12</v>
      </c>
      <c r="B30" s="60">
        <v>0.06</v>
      </c>
      <c r="C30" s="60">
        <f t="shared" si="3"/>
        <v>0.53</v>
      </c>
      <c r="D30" s="61">
        <f t="shared" si="5"/>
        <v>1524000</v>
      </c>
      <c r="E30" s="62">
        <f t="shared" si="4"/>
        <v>19812000</v>
      </c>
      <c r="F30" s="55">
        <f t="shared" si="6"/>
        <v>0.624</v>
      </c>
      <c r="G30" s="64" t="s">
        <v>46</v>
      </c>
      <c r="H30" s="65">
        <f t="shared" si="0"/>
        <v>152400</v>
      </c>
      <c r="I30" s="66">
        <f t="shared" si="1"/>
        <v>152400</v>
      </c>
      <c r="J30" s="66">
        <f t="shared" si="2"/>
        <v>1524000</v>
      </c>
      <c r="K30" s="219"/>
    </row>
    <row r="31" spans="1:11" ht="12.6" thickBot="1" x14ac:dyDescent="0.3">
      <c r="A31" s="59">
        <v>13</v>
      </c>
      <c r="B31" s="60">
        <v>7.0000000000000007E-2</v>
      </c>
      <c r="C31" s="60">
        <f t="shared" si="3"/>
        <v>0.60000000000000009</v>
      </c>
      <c r="D31" s="61">
        <f t="shared" si="5"/>
        <v>1778000</v>
      </c>
      <c r="E31" s="62">
        <f t="shared" si="4"/>
        <v>21590000</v>
      </c>
      <c r="F31" s="63">
        <f t="shared" si="6"/>
        <v>0.68</v>
      </c>
      <c r="G31" s="64" t="s">
        <v>47</v>
      </c>
      <c r="H31" s="65">
        <f t="shared" si="0"/>
        <v>177800</v>
      </c>
      <c r="I31" s="66">
        <f t="shared" si="1"/>
        <v>177800</v>
      </c>
      <c r="J31" s="66">
        <f t="shared" si="2"/>
        <v>1778000</v>
      </c>
      <c r="K31" s="219"/>
    </row>
    <row r="32" spans="1:11" x14ac:dyDescent="0.25">
      <c r="A32" s="59">
        <v>14</v>
      </c>
      <c r="B32" s="60">
        <v>7.0000000000000007E-2</v>
      </c>
      <c r="C32" s="60">
        <f t="shared" si="3"/>
        <v>0.67000000000000015</v>
      </c>
      <c r="D32" s="61">
        <f t="shared" si="5"/>
        <v>1778000</v>
      </c>
      <c r="E32" s="62">
        <f t="shared" si="4"/>
        <v>23368000</v>
      </c>
      <c r="F32" s="55">
        <f t="shared" si="6"/>
        <v>0.73599999999999999</v>
      </c>
      <c r="G32" s="64" t="s">
        <v>48</v>
      </c>
      <c r="H32" s="65">
        <f t="shared" si="0"/>
        <v>177800</v>
      </c>
      <c r="I32" s="66">
        <f t="shared" si="1"/>
        <v>177800</v>
      </c>
      <c r="J32" s="66">
        <f t="shared" si="2"/>
        <v>1778000</v>
      </c>
      <c r="K32" s="221"/>
    </row>
    <row r="33" spans="1:11" ht="12.6" thickBot="1" x14ac:dyDescent="0.3">
      <c r="A33" s="59">
        <v>15</v>
      </c>
      <c r="B33" s="60">
        <v>6.5000000000000002E-2</v>
      </c>
      <c r="C33" s="60">
        <f t="shared" si="3"/>
        <v>0.7350000000000001</v>
      </c>
      <c r="D33" s="61">
        <f t="shared" si="5"/>
        <v>1651000</v>
      </c>
      <c r="E33" s="62">
        <f t="shared" si="4"/>
        <v>25019000</v>
      </c>
      <c r="F33" s="63">
        <f t="shared" si="6"/>
        <v>0.78800000000000003</v>
      </c>
      <c r="G33" s="64" t="s">
        <v>49</v>
      </c>
      <c r="H33" s="65">
        <f t="shared" si="0"/>
        <v>165100</v>
      </c>
      <c r="I33" s="66">
        <f t="shared" si="1"/>
        <v>165100</v>
      </c>
      <c r="J33" s="66">
        <f t="shared" si="2"/>
        <v>1651000</v>
      </c>
      <c r="K33" s="219"/>
    </row>
    <row r="34" spans="1:11" x14ac:dyDescent="0.25">
      <c r="A34" s="59">
        <v>16</v>
      </c>
      <c r="B34" s="60">
        <v>6.5000000000000002E-2</v>
      </c>
      <c r="C34" s="60">
        <f t="shared" si="3"/>
        <v>0.8</v>
      </c>
      <c r="D34" s="61">
        <f t="shared" si="5"/>
        <v>1651000</v>
      </c>
      <c r="E34" s="62">
        <f>E33+D34</f>
        <v>26670000</v>
      </c>
      <c r="F34" s="55">
        <f t="shared" si="6"/>
        <v>0.84</v>
      </c>
      <c r="G34" s="64" t="s">
        <v>50</v>
      </c>
      <c r="H34" s="65">
        <f>ROUND(D34*0.1,0)</f>
        <v>165100</v>
      </c>
      <c r="I34" s="66">
        <f t="shared" si="1"/>
        <v>165100</v>
      </c>
      <c r="J34" s="66">
        <f>ROUNDUP(D34*$D$12/100,-(LEN(D34)-$I$15))</f>
        <v>1651000</v>
      </c>
      <c r="K34" s="219"/>
    </row>
    <row r="35" spans="1:11" ht="12.6" thickBot="1" x14ac:dyDescent="0.3">
      <c r="A35" s="59">
        <v>17</v>
      </c>
      <c r="B35" s="60">
        <v>0.05</v>
      </c>
      <c r="C35" s="60">
        <f t="shared" si="3"/>
        <v>0.85000000000000009</v>
      </c>
      <c r="D35" s="61">
        <f t="shared" si="5"/>
        <v>1270000</v>
      </c>
      <c r="E35" s="62">
        <f>E34+D35</f>
        <v>27940000</v>
      </c>
      <c r="F35" s="63">
        <f t="shared" si="6"/>
        <v>0.88</v>
      </c>
      <c r="G35" s="64" t="s">
        <v>51</v>
      </c>
      <c r="H35" s="65">
        <f>ROUND(D35*0.1,0)</f>
        <v>127000</v>
      </c>
      <c r="I35" s="66">
        <f t="shared" si="1"/>
        <v>127000</v>
      </c>
      <c r="J35" s="66">
        <f>ROUNDUP(D35*$D$12/100,-(LEN(D35)-$I$15))</f>
        <v>1270000</v>
      </c>
      <c r="K35" s="219"/>
    </row>
    <row r="36" spans="1:11" ht="12.6" thickBot="1" x14ac:dyDescent="0.3">
      <c r="A36" s="71">
        <v>18</v>
      </c>
      <c r="B36" s="60">
        <v>0.05</v>
      </c>
      <c r="C36" s="60">
        <f t="shared" si="3"/>
        <v>0.90000000000000013</v>
      </c>
      <c r="D36" s="61">
        <f t="shared" si="5"/>
        <v>1270000</v>
      </c>
      <c r="E36" s="74">
        <f>E35+D36</f>
        <v>29210000</v>
      </c>
      <c r="F36" s="55">
        <f t="shared" si="6"/>
        <v>0.92</v>
      </c>
      <c r="G36" s="76" t="s">
        <v>52</v>
      </c>
      <c r="H36" s="77">
        <f>ROUND(D36*0.1,0)</f>
        <v>127000</v>
      </c>
      <c r="I36" s="66">
        <f t="shared" si="1"/>
        <v>127000</v>
      </c>
      <c r="J36" s="78">
        <f>ROUNDUP(D36*$D$12/100,-(LEN(D36)-$I$15))</f>
        <v>1270000</v>
      </c>
      <c r="K36" s="221"/>
    </row>
    <row r="37" spans="1:11" ht="12.6" thickBot="1" x14ac:dyDescent="0.3">
      <c r="A37" s="59">
        <v>19</v>
      </c>
      <c r="B37" s="60">
        <v>0.04</v>
      </c>
      <c r="C37" s="60">
        <f t="shared" si="3"/>
        <v>0.94000000000000017</v>
      </c>
      <c r="D37" s="61">
        <f t="shared" si="5"/>
        <v>1016000</v>
      </c>
      <c r="E37" s="62">
        <f t="shared" ref="E37:E42" si="7">E36+D37</f>
        <v>30226000</v>
      </c>
      <c r="F37" s="63">
        <f t="shared" si="6"/>
        <v>0.95199999999999996</v>
      </c>
      <c r="G37" s="64" t="s">
        <v>53</v>
      </c>
      <c r="H37" s="65">
        <f t="shared" ref="H37:H42" si="8">ROUND(D37*0.1,0)</f>
        <v>101600</v>
      </c>
      <c r="I37" s="66">
        <f t="shared" si="1"/>
        <v>101600</v>
      </c>
      <c r="J37" s="78">
        <f t="shared" ref="J37:J42" si="9">ROUNDUP(D37*$D$12/100,-(LEN(D37)-$I$15))</f>
        <v>1016000</v>
      </c>
      <c r="K37" s="221"/>
    </row>
    <row r="38" spans="1:11" ht="12.6" thickBot="1" x14ac:dyDescent="0.3">
      <c r="A38" s="71">
        <v>20</v>
      </c>
      <c r="B38" s="60">
        <v>0.02</v>
      </c>
      <c r="C38" s="60">
        <f t="shared" si="3"/>
        <v>0.96000000000000019</v>
      </c>
      <c r="D38" s="61">
        <f t="shared" si="5"/>
        <v>508000</v>
      </c>
      <c r="E38" s="74">
        <f t="shared" si="7"/>
        <v>30734000</v>
      </c>
      <c r="F38" s="55">
        <f t="shared" si="6"/>
        <v>0.96799999999999997</v>
      </c>
      <c r="G38" s="76" t="s">
        <v>54</v>
      </c>
      <c r="H38" s="77">
        <f t="shared" si="8"/>
        <v>50800</v>
      </c>
      <c r="I38" s="66">
        <f t="shared" si="1"/>
        <v>50800</v>
      </c>
      <c r="J38" s="78">
        <f t="shared" si="9"/>
        <v>508000</v>
      </c>
      <c r="K38" s="221"/>
    </row>
    <row r="39" spans="1:11" ht="12.6" thickBot="1" x14ac:dyDescent="0.3">
      <c r="A39" s="59">
        <v>21</v>
      </c>
      <c r="B39" s="90">
        <v>0.01</v>
      </c>
      <c r="C39" s="60">
        <f t="shared" si="3"/>
        <v>0.9700000000000002</v>
      </c>
      <c r="D39" s="61">
        <f t="shared" si="5"/>
        <v>254000</v>
      </c>
      <c r="E39" s="62">
        <f t="shared" si="7"/>
        <v>30988000</v>
      </c>
      <c r="F39" s="63">
        <f t="shared" si="6"/>
        <v>0.97599999999999998</v>
      </c>
      <c r="G39" s="64" t="s">
        <v>55</v>
      </c>
      <c r="H39" s="65">
        <f t="shared" si="8"/>
        <v>25400</v>
      </c>
      <c r="I39" s="78">
        <f>ROUNDUP((D39+H39-J39),-(LEN(D39)-$I$15))</f>
        <v>25400</v>
      </c>
      <c r="J39" s="78">
        <f t="shared" si="9"/>
        <v>254000</v>
      </c>
      <c r="K39" s="221"/>
    </row>
    <row r="40" spans="1:11" ht="12.6" thickBot="1" x14ac:dyDescent="0.3">
      <c r="A40" s="71">
        <v>22</v>
      </c>
      <c r="B40" s="60">
        <v>0.01</v>
      </c>
      <c r="C40" s="60">
        <f t="shared" si="3"/>
        <v>0.9800000000000002</v>
      </c>
      <c r="D40" s="61">
        <f t="shared" si="5"/>
        <v>254000</v>
      </c>
      <c r="E40" s="74">
        <f t="shared" si="7"/>
        <v>31242000</v>
      </c>
      <c r="F40" s="55">
        <f t="shared" si="6"/>
        <v>0.98399999999999999</v>
      </c>
      <c r="G40" s="76" t="s">
        <v>56</v>
      </c>
      <c r="H40" s="77">
        <f t="shared" si="8"/>
        <v>25400</v>
      </c>
      <c r="I40" s="66">
        <f t="shared" si="1"/>
        <v>25400</v>
      </c>
      <c r="J40" s="78">
        <f t="shared" si="9"/>
        <v>254000</v>
      </c>
      <c r="K40" s="221"/>
    </row>
    <row r="41" spans="1:11" ht="12.6" thickBot="1" x14ac:dyDescent="0.3">
      <c r="A41" s="59">
        <v>23</v>
      </c>
      <c r="B41" s="60">
        <v>0.01</v>
      </c>
      <c r="C41" s="60">
        <f t="shared" si="3"/>
        <v>0.99000000000000021</v>
      </c>
      <c r="D41" s="61">
        <f t="shared" ref="D41" si="10">ROUND(B41*$D$11*(100-$D$14)/100,0)</f>
        <v>254000</v>
      </c>
      <c r="E41" s="62">
        <f t="shared" si="7"/>
        <v>31496000</v>
      </c>
      <c r="F41" s="63">
        <f t="shared" si="6"/>
        <v>0.99199999999999999</v>
      </c>
      <c r="G41" s="64" t="s">
        <v>57</v>
      </c>
      <c r="H41" s="65">
        <f t="shared" si="8"/>
        <v>25400</v>
      </c>
      <c r="I41" s="66">
        <f t="shared" si="1"/>
        <v>25400</v>
      </c>
      <c r="J41" s="78">
        <f t="shared" si="9"/>
        <v>254000</v>
      </c>
      <c r="K41" s="221"/>
    </row>
    <row r="42" spans="1:11" ht="12.6" thickBot="1" x14ac:dyDescent="0.3">
      <c r="A42" s="71">
        <v>24</v>
      </c>
      <c r="B42" s="72">
        <v>0.01</v>
      </c>
      <c r="C42" s="60">
        <f t="shared" si="3"/>
        <v>1.0000000000000002</v>
      </c>
      <c r="D42" s="61">
        <f t="shared" si="5"/>
        <v>254000</v>
      </c>
      <c r="E42" s="74">
        <f t="shared" si="7"/>
        <v>31750000</v>
      </c>
      <c r="F42" s="55">
        <f t="shared" si="6"/>
        <v>1</v>
      </c>
      <c r="G42" s="76" t="s">
        <v>58</v>
      </c>
      <c r="H42" s="77">
        <f t="shared" si="8"/>
        <v>25400</v>
      </c>
      <c r="I42" s="78">
        <f t="shared" si="1"/>
        <v>25400</v>
      </c>
      <c r="J42" s="78">
        <f t="shared" si="9"/>
        <v>254000</v>
      </c>
      <c r="K42" s="221"/>
    </row>
    <row r="43" spans="1:11" ht="20.25" customHeight="1" thickBot="1" x14ac:dyDescent="0.3">
      <c r="A43" s="79" t="str">
        <f>A42*30 &amp; " dias"</f>
        <v>720 dias</v>
      </c>
      <c r="B43" s="80">
        <f>SUM(B19:B42)</f>
        <v>1.0000000000000002</v>
      </c>
      <c r="C43" s="81"/>
      <c r="D43" s="82">
        <f>SUM(D18:D42)</f>
        <v>31750000</v>
      </c>
      <c r="E43" s="21"/>
      <c r="H43" s="21"/>
      <c r="I43" s="83">
        <f>SUM(I18:I42)</f>
        <v>3175000</v>
      </c>
      <c r="J43" s="83">
        <f>SUM(J18:J42)</f>
        <v>31750000</v>
      </c>
      <c r="K43" s="219"/>
    </row>
    <row r="44" spans="1:11" ht="15" customHeight="1" x14ac:dyDescent="0.25">
      <c r="A44" s="26"/>
      <c r="F44" s="29"/>
      <c r="G44" s="29"/>
      <c r="H44" s="32" t="s">
        <v>229</v>
      </c>
      <c r="I44" s="426">
        <f>I43+J43</f>
        <v>34925000</v>
      </c>
      <c r="J44" s="427"/>
    </row>
    <row r="45" spans="1:11" x14ac:dyDescent="0.25">
      <c r="A45" s="25" t="s">
        <v>230</v>
      </c>
      <c r="B45" s="25"/>
      <c r="C45" s="25"/>
      <c r="H45" s="32" t="s">
        <v>231</v>
      </c>
      <c r="I45" s="41">
        <f>I44/1.1-D11</f>
        <v>0</v>
      </c>
    </row>
    <row r="46" spans="1:11" x14ac:dyDescent="0.25">
      <c r="B46" s="84"/>
    </row>
    <row r="47" spans="1:11" x14ac:dyDescent="0.25">
      <c r="B47" s="84"/>
    </row>
    <row r="49" spans="1:27" s="87" customFormat="1" ht="12.75" customHeight="1" x14ac:dyDescent="0.25">
      <c r="A49" s="85"/>
      <c r="B49" s="86" t="s">
        <v>232</v>
      </c>
      <c r="C49" s="86" t="s">
        <v>35</v>
      </c>
      <c r="D49" s="86" t="s">
        <v>36</v>
      </c>
      <c r="E49" s="86" t="s">
        <v>37</v>
      </c>
      <c r="F49" s="86" t="s">
        <v>38</v>
      </c>
      <c r="G49" s="86" t="s">
        <v>39</v>
      </c>
      <c r="H49" s="86" t="s">
        <v>40</v>
      </c>
      <c r="I49" s="86" t="s">
        <v>41</v>
      </c>
      <c r="J49" s="86" t="s">
        <v>42</v>
      </c>
      <c r="K49" s="86" t="s">
        <v>43</v>
      </c>
      <c r="L49" s="86" t="s">
        <v>44</v>
      </c>
      <c r="M49" s="86" t="s">
        <v>45</v>
      </c>
      <c r="N49" s="86" t="s">
        <v>46</v>
      </c>
      <c r="O49" s="86" t="s">
        <v>47</v>
      </c>
      <c r="P49" s="86" t="s">
        <v>48</v>
      </c>
      <c r="Q49" s="86" t="s">
        <v>49</v>
      </c>
      <c r="R49" s="86" t="s">
        <v>50</v>
      </c>
      <c r="S49" s="86" t="s">
        <v>51</v>
      </c>
      <c r="T49" s="86" t="s">
        <v>52</v>
      </c>
      <c r="U49" s="86" t="s">
        <v>53</v>
      </c>
      <c r="V49" s="86" t="s">
        <v>54</v>
      </c>
      <c r="W49" s="86" t="s">
        <v>55</v>
      </c>
      <c r="X49" s="86" t="s">
        <v>56</v>
      </c>
      <c r="Y49" s="86" t="s">
        <v>57</v>
      </c>
      <c r="Z49" s="86" t="s">
        <v>58</v>
      </c>
    </row>
    <row r="50" spans="1:27" x14ac:dyDescent="0.25">
      <c r="A50" s="88" t="s">
        <v>233</v>
      </c>
      <c r="B50" s="61">
        <v>0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29">
        <f>SUM(B50:T50)</f>
        <v>0</v>
      </c>
      <c r="V50" s="29">
        <f t="shared" ref="V50:AA50" si="11">SUM(C50:U50)</f>
        <v>0</v>
      </c>
      <c r="W50" s="29">
        <f t="shared" si="11"/>
        <v>0</v>
      </c>
      <c r="X50" s="29">
        <f t="shared" si="11"/>
        <v>0</v>
      </c>
      <c r="Y50" s="29">
        <f t="shared" si="11"/>
        <v>0</v>
      </c>
      <c r="Z50" s="29">
        <f t="shared" si="11"/>
        <v>0</v>
      </c>
      <c r="AA50" s="29">
        <f t="shared" si="11"/>
        <v>0</v>
      </c>
    </row>
    <row r="51" spans="1:27" x14ac:dyDescent="0.25">
      <c r="A51" s="88" t="s">
        <v>234</v>
      </c>
      <c r="B51" s="61">
        <f>$J18</f>
        <v>6350000</v>
      </c>
      <c r="C51" s="61">
        <f>$J19</f>
        <v>635000</v>
      </c>
      <c r="D51" s="61">
        <f>$J20</f>
        <v>762000</v>
      </c>
      <c r="E51" s="61">
        <f>$J21</f>
        <v>889000</v>
      </c>
      <c r="F51" s="61">
        <f>$J22</f>
        <v>889000</v>
      </c>
      <c r="G51" s="61">
        <f>$J23</f>
        <v>1016000</v>
      </c>
      <c r="H51" s="61">
        <f>$J24</f>
        <v>1143000</v>
      </c>
      <c r="I51" s="61">
        <f>$J25</f>
        <v>1143000</v>
      </c>
      <c r="J51" s="61">
        <f>$J26</f>
        <v>1270000</v>
      </c>
      <c r="K51" s="61">
        <f>$J27</f>
        <v>1397000</v>
      </c>
      <c r="L51" s="61">
        <f>$J28</f>
        <v>1397000</v>
      </c>
      <c r="M51" s="61">
        <f>$J29</f>
        <v>1397000</v>
      </c>
      <c r="N51" s="61">
        <f>$J30</f>
        <v>1524000</v>
      </c>
      <c r="O51" s="61">
        <f>$J31</f>
        <v>1778000</v>
      </c>
      <c r="P51" s="61">
        <f>$J32</f>
        <v>1778000</v>
      </c>
      <c r="Q51" s="61">
        <f>$J33</f>
        <v>1651000</v>
      </c>
      <c r="R51" s="61">
        <f>$J34</f>
        <v>1651000</v>
      </c>
      <c r="S51" s="61">
        <f>$J35</f>
        <v>1270000</v>
      </c>
      <c r="T51" s="61">
        <f>$J36</f>
        <v>1270000</v>
      </c>
      <c r="U51" s="61">
        <f>$J37</f>
        <v>1016000</v>
      </c>
      <c r="V51" s="61">
        <f>$J38</f>
        <v>508000</v>
      </c>
      <c r="W51" s="61">
        <f>$J39</f>
        <v>254000</v>
      </c>
      <c r="X51" s="61">
        <f>$J40</f>
        <v>254000</v>
      </c>
      <c r="Y51" s="61">
        <f>$J41</f>
        <v>254000</v>
      </c>
      <c r="Z51" s="61">
        <f>$J42</f>
        <v>254000</v>
      </c>
      <c r="AA51" s="29">
        <f>SUM(B51:Z51)</f>
        <v>31750000</v>
      </c>
    </row>
    <row r="52" spans="1:27" x14ac:dyDescent="0.25">
      <c r="B52" s="61">
        <f>B50+B51</f>
        <v>6350000</v>
      </c>
      <c r="C52" s="61">
        <f t="shared" ref="C52:Z52" si="12">C50+C51</f>
        <v>635000</v>
      </c>
      <c r="D52" s="61">
        <f t="shared" si="12"/>
        <v>762000</v>
      </c>
      <c r="E52" s="61">
        <f t="shared" si="12"/>
        <v>889000</v>
      </c>
      <c r="F52" s="61">
        <f t="shared" si="12"/>
        <v>889000</v>
      </c>
      <c r="G52" s="61">
        <f t="shared" si="12"/>
        <v>1016000</v>
      </c>
      <c r="H52" s="61">
        <f t="shared" si="12"/>
        <v>1143000</v>
      </c>
      <c r="I52" s="61">
        <f t="shared" si="12"/>
        <v>1143000</v>
      </c>
      <c r="J52" s="61">
        <f t="shared" si="12"/>
        <v>1270000</v>
      </c>
      <c r="K52" s="61">
        <f t="shared" si="12"/>
        <v>1397000</v>
      </c>
      <c r="L52" s="61">
        <f t="shared" si="12"/>
        <v>1397000</v>
      </c>
      <c r="M52" s="61">
        <f t="shared" si="12"/>
        <v>1397000</v>
      </c>
      <c r="N52" s="61">
        <f t="shared" si="12"/>
        <v>1524000</v>
      </c>
      <c r="O52" s="61">
        <f t="shared" si="12"/>
        <v>1778000</v>
      </c>
      <c r="P52" s="61">
        <f t="shared" si="12"/>
        <v>1778000</v>
      </c>
      <c r="Q52" s="61">
        <f t="shared" si="12"/>
        <v>1651000</v>
      </c>
      <c r="R52" s="61">
        <f t="shared" si="12"/>
        <v>1651000</v>
      </c>
      <c r="S52" s="61">
        <f t="shared" si="12"/>
        <v>1270000</v>
      </c>
      <c r="T52" s="61">
        <f t="shared" si="12"/>
        <v>1270000</v>
      </c>
      <c r="U52" s="61">
        <f t="shared" si="12"/>
        <v>1016000</v>
      </c>
      <c r="V52" s="61">
        <f t="shared" si="12"/>
        <v>508000</v>
      </c>
      <c r="W52" s="61">
        <f t="shared" si="12"/>
        <v>254000</v>
      </c>
      <c r="X52" s="61">
        <f t="shared" si="12"/>
        <v>254000</v>
      </c>
      <c r="Y52" s="61">
        <f t="shared" si="12"/>
        <v>254000</v>
      </c>
      <c r="Z52" s="61">
        <f t="shared" si="12"/>
        <v>254000</v>
      </c>
      <c r="AA52" s="61">
        <f>U50+AA51</f>
        <v>31750000</v>
      </c>
    </row>
    <row r="53" spans="1:27" x14ac:dyDescent="0.25">
      <c r="B53" s="89">
        <f>SUM(B52:Z52)</f>
        <v>31750000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AA53"/>
  <sheetViews>
    <sheetView showGridLines="0" zoomScale="70" zoomScaleNormal="70" workbookViewId="0">
      <selection activeCell="C46" sqref="C46"/>
    </sheetView>
  </sheetViews>
  <sheetFormatPr defaultColWidth="9.21875" defaultRowHeight="12" x14ac:dyDescent="0.25"/>
  <cols>
    <col min="1" max="1" width="8.44140625" style="21" customWidth="1"/>
    <col min="2" max="2" width="14.44140625" style="31" customWidth="1"/>
    <col min="3" max="3" width="15.44140625" style="29" customWidth="1"/>
    <col min="4" max="4" width="16.44140625" style="29" customWidth="1"/>
    <col min="5" max="5" width="16.21875" style="29" customWidth="1"/>
    <col min="6" max="6" width="13.77734375" style="21" customWidth="1"/>
    <col min="7" max="7" width="18.77734375" style="21" customWidth="1"/>
    <col min="8" max="8" width="15.77734375" style="26" customWidth="1"/>
    <col min="9" max="10" width="16.5546875" style="21" customWidth="1"/>
    <col min="11" max="11" width="13.21875" style="21" customWidth="1"/>
    <col min="12" max="12" width="13.44140625" style="21" customWidth="1"/>
    <col min="13" max="14" width="14.77734375" style="21" customWidth="1"/>
    <col min="15" max="19" width="14.44140625" style="21" customWidth="1"/>
    <col min="20" max="20" width="14.77734375" style="21" customWidth="1"/>
    <col min="21" max="21" width="10.77734375" style="21" customWidth="1"/>
    <col min="22" max="22" width="9.21875" style="21"/>
    <col min="23" max="23" width="10.21875" style="21" customWidth="1"/>
    <col min="24" max="26" width="9.21875" style="21"/>
    <col min="27" max="27" width="10" style="21" customWidth="1"/>
    <col min="28" max="256" width="9.21875" style="21"/>
    <col min="257" max="257" width="8.44140625" style="21" customWidth="1"/>
    <col min="258" max="258" width="14.44140625" style="21" customWidth="1"/>
    <col min="259" max="259" width="15.44140625" style="21" customWidth="1"/>
    <col min="260" max="260" width="16.44140625" style="21" customWidth="1"/>
    <col min="261" max="261" width="16.21875" style="21" customWidth="1"/>
    <col min="262" max="262" width="13.77734375" style="21" customWidth="1"/>
    <col min="263" max="263" width="18.77734375" style="21" customWidth="1"/>
    <col min="264" max="264" width="15.77734375" style="21" customWidth="1"/>
    <col min="265" max="266" width="16.5546875" style="21" customWidth="1"/>
    <col min="267" max="267" width="13.21875" style="21" customWidth="1"/>
    <col min="268" max="268" width="13.44140625" style="21" customWidth="1"/>
    <col min="269" max="270" width="14.77734375" style="21" customWidth="1"/>
    <col min="271" max="275" width="14.44140625" style="21" customWidth="1"/>
    <col min="276" max="276" width="14.77734375" style="21" customWidth="1"/>
    <col min="277" max="277" width="10.77734375" style="21" customWidth="1"/>
    <col min="278" max="512" width="9.21875" style="21"/>
    <col min="513" max="513" width="8.44140625" style="21" customWidth="1"/>
    <col min="514" max="514" width="14.44140625" style="21" customWidth="1"/>
    <col min="515" max="515" width="15.44140625" style="21" customWidth="1"/>
    <col min="516" max="516" width="16.44140625" style="21" customWidth="1"/>
    <col min="517" max="517" width="16.21875" style="21" customWidth="1"/>
    <col min="518" max="518" width="13.77734375" style="21" customWidth="1"/>
    <col min="519" max="519" width="18.77734375" style="21" customWidth="1"/>
    <col min="520" max="520" width="15.77734375" style="21" customWidth="1"/>
    <col min="521" max="522" width="16.5546875" style="21" customWidth="1"/>
    <col min="523" max="523" width="13.21875" style="21" customWidth="1"/>
    <col min="524" max="524" width="13.44140625" style="21" customWidth="1"/>
    <col min="525" max="526" width="14.77734375" style="21" customWidth="1"/>
    <col min="527" max="531" width="14.44140625" style="21" customWidth="1"/>
    <col min="532" max="532" width="14.77734375" style="21" customWidth="1"/>
    <col min="533" max="533" width="10.77734375" style="21" customWidth="1"/>
    <col min="534" max="768" width="9.21875" style="21"/>
    <col min="769" max="769" width="8.44140625" style="21" customWidth="1"/>
    <col min="770" max="770" width="14.44140625" style="21" customWidth="1"/>
    <col min="771" max="771" width="15.44140625" style="21" customWidth="1"/>
    <col min="772" max="772" width="16.44140625" style="21" customWidth="1"/>
    <col min="773" max="773" width="16.21875" style="21" customWidth="1"/>
    <col min="774" max="774" width="13.77734375" style="21" customWidth="1"/>
    <col min="775" max="775" width="18.77734375" style="21" customWidth="1"/>
    <col min="776" max="776" width="15.77734375" style="21" customWidth="1"/>
    <col min="777" max="778" width="16.5546875" style="21" customWidth="1"/>
    <col min="779" max="779" width="13.21875" style="21" customWidth="1"/>
    <col min="780" max="780" width="13.44140625" style="21" customWidth="1"/>
    <col min="781" max="782" width="14.77734375" style="21" customWidth="1"/>
    <col min="783" max="787" width="14.44140625" style="21" customWidth="1"/>
    <col min="788" max="788" width="14.77734375" style="21" customWidth="1"/>
    <col min="789" max="789" width="10.77734375" style="21" customWidth="1"/>
    <col min="790" max="1024" width="9.21875" style="21"/>
    <col min="1025" max="1025" width="8.44140625" style="21" customWidth="1"/>
    <col min="1026" max="1026" width="14.44140625" style="21" customWidth="1"/>
    <col min="1027" max="1027" width="15.44140625" style="21" customWidth="1"/>
    <col min="1028" max="1028" width="16.44140625" style="21" customWidth="1"/>
    <col min="1029" max="1029" width="16.21875" style="21" customWidth="1"/>
    <col min="1030" max="1030" width="13.77734375" style="21" customWidth="1"/>
    <col min="1031" max="1031" width="18.77734375" style="21" customWidth="1"/>
    <col min="1032" max="1032" width="15.77734375" style="21" customWidth="1"/>
    <col min="1033" max="1034" width="16.5546875" style="21" customWidth="1"/>
    <col min="1035" max="1035" width="13.21875" style="21" customWidth="1"/>
    <col min="1036" max="1036" width="13.44140625" style="21" customWidth="1"/>
    <col min="1037" max="1038" width="14.77734375" style="21" customWidth="1"/>
    <col min="1039" max="1043" width="14.44140625" style="21" customWidth="1"/>
    <col min="1044" max="1044" width="14.77734375" style="21" customWidth="1"/>
    <col min="1045" max="1045" width="10.77734375" style="21" customWidth="1"/>
    <col min="1046" max="1280" width="9.21875" style="21"/>
    <col min="1281" max="1281" width="8.44140625" style="21" customWidth="1"/>
    <col min="1282" max="1282" width="14.44140625" style="21" customWidth="1"/>
    <col min="1283" max="1283" width="15.44140625" style="21" customWidth="1"/>
    <col min="1284" max="1284" width="16.44140625" style="21" customWidth="1"/>
    <col min="1285" max="1285" width="16.21875" style="21" customWidth="1"/>
    <col min="1286" max="1286" width="13.77734375" style="21" customWidth="1"/>
    <col min="1287" max="1287" width="18.77734375" style="21" customWidth="1"/>
    <col min="1288" max="1288" width="15.77734375" style="21" customWidth="1"/>
    <col min="1289" max="1290" width="16.5546875" style="21" customWidth="1"/>
    <col min="1291" max="1291" width="13.21875" style="21" customWidth="1"/>
    <col min="1292" max="1292" width="13.44140625" style="21" customWidth="1"/>
    <col min="1293" max="1294" width="14.77734375" style="21" customWidth="1"/>
    <col min="1295" max="1299" width="14.44140625" style="21" customWidth="1"/>
    <col min="1300" max="1300" width="14.77734375" style="21" customWidth="1"/>
    <col min="1301" max="1301" width="10.77734375" style="21" customWidth="1"/>
    <col min="1302" max="1536" width="9.21875" style="21"/>
    <col min="1537" max="1537" width="8.44140625" style="21" customWidth="1"/>
    <col min="1538" max="1538" width="14.44140625" style="21" customWidth="1"/>
    <col min="1539" max="1539" width="15.44140625" style="21" customWidth="1"/>
    <col min="1540" max="1540" width="16.44140625" style="21" customWidth="1"/>
    <col min="1541" max="1541" width="16.21875" style="21" customWidth="1"/>
    <col min="1542" max="1542" width="13.77734375" style="21" customWidth="1"/>
    <col min="1543" max="1543" width="18.77734375" style="21" customWidth="1"/>
    <col min="1544" max="1544" width="15.77734375" style="21" customWidth="1"/>
    <col min="1545" max="1546" width="16.5546875" style="21" customWidth="1"/>
    <col min="1547" max="1547" width="13.21875" style="21" customWidth="1"/>
    <col min="1548" max="1548" width="13.44140625" style="21" customWidth="1"/>
    <col min="1549" max="1550" width="14.77734375" style="21" customWidth="1"/>
    <col min="1551" max="1555" width="14.44140625" style="21" customWidth="1"/>
    <col min="1556" max="1556" width="14.77734375" style="21" customWidth="1"/>
    <col min="1557" max="1557" width="10.77734375" style="21" customWidth="1"/>
    <col min="1558" max="1792" width="9.21875" style="21"/>
    <col min="1793" max="1793" width="8.44140625" style="21" customWidth="1"/>
    <col min="1794" max="1794" width="14.44140625" style="21" customWidth="1"/>
    <col min="1795" max="1795" width="15.44140625" style="21" customWidth="1"/>
    <col min="1796" max="1796" width="16.44140625" style="21" customWidth="1"/>
    <col min="1797" max="1797" width="16.21875" style="21" customWidth="1"/>
    <col min="1798" max="1798" width="13.77734375" style="21" customWidth="1"/>
    <col min="1799" max="1799" width="18.77734375" style="21" customWidth="1"/>
    <col min="1800" max="1800" width="15.77734375" style="21" customWidth="1"/>
    <col min="1801" max="1802" width="16.5546875" style="21" customWidth="1"/>
    <col min="1803" max="1803" width="13.21875" style="21" customWidth="1"/>
    <col min="1804" max="1804" width="13.44140625" style="21" customWidth="1"/>
    <col min="1805" max="1806" width="14.77734375" style="21" customWidth="1"/>
    <col min="1807" max="1811" width="14.44140625" style="21" customWidth="1"/>
    <col min="1812" max="1812" width="14.77734375" style="21" customWidth="1"/>
    <col min="1813" max="1813" width="10.77734375" style="21" customWidth="1"/>
    <col min="1814" max="2048" width="9.21875" style="21"/>
    <col min="2049" max="2049" width="8.44140625" style="21" customWidth="1"/>
    <col min="2050" max="2050" width="14.44140625" style="21" customWidth="1"/>
    <col min="2051" max="2051" width="15.44140625" style="21" customWidth="1"/>
    <col min="2052" max="2052" width="16.44140625" style="21" customWidth="1"/>
    <col min="2053" max="2053" width="16.21875" style="21" customWidth="1"/>
    <col min="2054" max="2054" width="13.77734375" style="21" customWidth="1"/>
    <col min="2055" max="2055" width="18.77734375" style="21" customWidth="1"/>
    <col min="2056" max="2056" width="15.77734375" style="21" customWidth="1"/>
    <col min="2057" max="2058" width="16.5546875" style="21" customWidth="1"/>
    <col min="2059" max="2059" width="13.21875" style="21" customWidth="1"/>
    <col min="2060" max="2060" width="13.44140625" style="21" customWidth="1"/>
    <col min="2061" max="2062" width="14.77734375" style="21" customWidth="1"/>
    <col min="2063" max="2067" width="14.44140625" style="21" customWidth="1"/>
    <col min="2068" max="2068" width="14.77734375" style="21" customWidth="1"/>
    <col min="2069" max="2069" width="10.77734375" style="21" customWidth="1"/>
    <col min="2070" max="2304" width="9.21875" style="21"/>
    <col min="2305" max="2305" width="8.44140625" style="21" customWidth="1"/>
    <col min="2306" max="2306" width="14.44140625" style="21" customWidth="1"/>
    <col min="2307" max="2307" width="15.44140625" style="21" customWidth="1"/>
    <col min="2308" max="2308" width="16.44140625" style="21" customWidth="1"/>
    <col min="2309" max="2309" width="16.21875" style="21" customWidth="1"/>
    <col min="2310" max="2310" width="13.77734375" style="21" customWidth="1"/>
    <col min="2311" max="2311" width="18.77734375" style="21" customWidth="1"/>
    <col min="2312" max="2312" width="15.77734375" style="21" customWidth="1"/>
    <col min="2313" max="2314" width="16.5546875" style="21" customWidth="1"/>
    <col min="2315" max="2315" width="13.21875" style="21" customWidth="1"/>
    <col min="2316" max="2316" width="13.44140625" style="21" customWidth="1"/>
    <col min="2317" max="2318" width="14.77734375" style="21" customWidth="1"/>
    <col min="2319" max="2323" width="14.44140625" style="21" customWidth="1"/>
    <col min="2324" max="2324" width="14.77734375" style="21" customWidth="1"/>
    <col min="2325" max="2325" width="10.77734375" style="21" customWidth="1"/>
    <col min="2326" max="2560" width="9.21875" style="21"/>
    <col min="2561" max="2561" width="8.44140625" style="21" customWidth="1"/>
    <col min="2562" max="2562" width="14.44140625" style="21" customWidth="1"/>
    <col min="2563" max="2563" width="15.44140625" style="21" customWidth="1"/>
    <col min="2564" max="2564" width="16.44140625" style="21" customWidth="1"/>
    <col min="2565" max="2565" width="16.21875" style="21" customWidth="1"/>
    <col min="2566" max="2566" width="13.77734375" style="21" customWidth="1"/>
    <col min="2567" max="2567" width="18.77734375" style="21" customWidth="1"/>
    <col min="2568" max="2568" width="15.77734375" style="21" customWidth="1"/>
    <col min="2569" max="2570" width="16.5546875" style="21" customWidth="1"/>
    <col min="2571" max="2571" width="13.21875" style="21" customWidth="1"/>
    <col min="2572" max="2572" width="13.44140625" style="21" customWidth="1"/>
    <col min="2573" max="2574" width="14.77734375" style="21" customWidth="1"/>
    <col min="2575" max="2579" width="14.44140625" style="21" customWidth="1"/>
    <col min="2580" max="2580" width="14.77734375" style="21" customWidth="1"/>
    <col min="2581" max="2581" width="10.77734375" style="21" customWidth="1"/>
    <col min="2582" max="2816" width="9.21875" style="21"/>
    <col min="2817" max="2817" width="8.44140625" style="21" customWidth="1"/>
    <col min="2818" max="2818" width="14.44140625" style="21" customWidth="1"/>
    <col min="2819" max="2819" width="15.44140625" style="21" customWidth="1"/>
    <col min="2820" max="2820" width="16.44140625" style="21" customWidth="1"/>
    <col min="2821" max="2821" width="16.21875" style="21" customWidth="1"/>
    <col min="2822" max="2822" width="13.77734375" style="21" customWidth="1"/>
    <col min="2823" max="2823" width="18.77734375" style="21" customWidth="1"/>
    <col min="2824" max="2824" width="15.77734375" style="21" customWidth="1"/>
    <col min="2825" max="2826" width="16.5546875" style="21" customWidth="1"/>
    <col min="2827" max="2827" width="13.21875" style="21" customWidth="1"/>
    <col min="2828" max="2828" width="13.44140625" style="21" customWidth="1"/>
    <col min="2829" max="2830" width="14.77734375" style="21" customWidth="1"/>
    <col min="2831" max="2835" width="14.44140625" style="21" customWidth="1"/>
    <col min="2836" max="2836" width="14.77734375" style="21" customWidth="1"/>
    <col min="2837" max="2837" width="10.77734375" style="21" customWidth="1"/>
    <col min="2838" max="3072" width="9.21875" style="21"/>
    <col min="3073" max="3073" width="8.44140625" style="21" customWidth="1"/>
    <col min="3074" max="3074" width="14.44140625" style="21" customWidth="1"/>
    <col min="3075" max="3075" width="15.44140625" style="21" customWidth="1"/>
    <col min="3076" max="3076" width="16.44140625" style="21" customWidth="1"/>
    <col min="3077" max="3077" width="16.21875" style="21" customWidth="1"/>
    <col min="3078" max="3078" width="13.77734375" style="21" customWidth="1"/>
    <col min="3079" max="3079" width="18.77734375" style="21" customWidth="1"/>
    <col min="3080" max="3080" width="15.77734375" style="21" customWidth="1"/>
    <col min="3081" max="3082" width="16.5546875" style="21" customWidth="1"/>
    <col min="3083" max="3083" width="13.21875" style="21" customWidth="1"/>
    <col min="3084" max="3084" width="13.44140625" style="21" customWidth="1"/>
    <col min="3085" max="3086" width="14.77734375" style="21" customWidth="1"/>
    <col min="3087" max="3091" width="14.44140625" style="21" customWidth="1"/>
    <col min="3092" max="3092" width="14.77734375" style="21" customWidth="1"/>
    <col min="3093" max="3093" width="10.77734375" style="21" customWidth="1"/>
    <col min="3094" max="3328" width="9.21875" style="21"/>
    <col min="3329" max="3329" width="8.44140625" style="21" customWidth="1"/>
    <col min="3330" max="3330" width="14.44140625" style="21" customWidth="1"/>
    <col min="3331" max="3331" width="15.44140625" style="21" customWidth="1"/>
    <col min="3332" max="3332" width="16.44140625" style="21" customWidth="1"/>
    <col min="3333" max="3333" width="16.21875" style="21" customWidth="1"/>
    <col min="3334" max="3334" width="13.77734375" style="21" customWidth="1"/>
    <col min="3335" max="3335" width="18.77734375" style="21" customWidth="1"/>
    <col min="3336" max="3336" width="15.77734375" style="21" customWidth="1"/>
    <col min="3337" max="3338" width="16.5546875" style="21" customWidth="1"/>
    <col min="3339" max="3339" width="13.21875" style="21" customWidth="1"/>
    <col min="3340" max="3340" width="13.44140625" style="21" customWidth="1"/>
    <col min="3341" max="3342" width="14.77734375" style="21" customWidth="1"/>
    <col min="3343" max="3347" width="14.44140625" style="21" customWidth="1"/>
    <col min="3348" max="3348" width="14.77734375" style="21" customWidth="1"/>
    <col min="3349" max="3349" width="10.77734375" style="21" customWidth="1"/>
    <col min="3350" max="3584" width="9.21875" style="21"/>
    <col min="3585" max="3585" width="8.44140625" style="21" customWidth="1"/>
    <col min="3586" max="3586" width="14.44140625" style="21" customWidth="1"/>
    <col min="3587" max="3587" width="15.44140625" style="21" customWidth="1"/>
    <col min="3588" max="3588" width="16.44140625" style="21" customWidth="1"/>
    <col min="3589" max="3589" width="16.21875" style="21" customWidth="1"/>
    <col min="3590" max="3590" width="13.77734375" style="21" customWidth="1"/>
    <col min="3591" max="3591" width="18.77734375" style="21" customWidth="1"/>
    <col min="3592" max="3592" width="15.77734375" style="21" customWidth="1"/>
    <col min="3593" max="3594" width="16.5546875" style="21" customWidth="1"/>
    <col min="3595" max="3595" width="13.21875" style="21" customWidth="1"/>
    <col min="3596" max="3596" width="13.44140625" style="21" customWidth="1"/>
    <col min="3597" max="3598" width="14.77734375" style="21" customWidth="1"/>
    <col min="3599" max="3603" width="14.44140625" style="21" customWidth="1"/>
    <col min="3604" max="3604" width="14.77734375" style="21" customWidth="1"/>
    <col min="3605" max="3605" width="10.77734375" style="21" customWidth="1"/>
    <col min="3606" max="3840" width="9.21875" style="21"/>
    <col min="3841" max="3841" width="8.44140625" style="21" customWidth="1"/>
    <col min="3842" max="3842" width="14.44140625" style="21" customWidth="1"/>
    <col min="3843" max="3843" width="15.44140625" style="21" customWidth="1"/>
    <col min="3844" max="3844" width="16.44140625" style="21" customWidth="1"/>
    <col min="3845" max="3845" width="16.21875" style="21" customWidth="1"/>
    <col min="3846" max="3846" width="13.77734375" style="21" customWidth="1"/>
    <col min="3847" max="3847" width="18.77734375" style="21" customWidth="1"/>
    <col min="3848" max="3848" width="15.77734375" style="21" customWidth="1"/>
    <col min="3849" max="3850" width="16.5546875" style="21" customWidth="1"/>
    <col min="3851" max="3851" width="13.21875" style="21" customWidth="1"/>
    <col min="3852" max="3852" width="13.44140625" style="21" customWidth="1"/>
    <col min="3853" max="3854" width="14.77734375" style="21" customWidth="1"/>
    <col min="3855" max="3859" width="14.44140625" style="21" customWidth="1"/>
    <col min="3860" max="3860" width="14.77734375" style="21" customWidth="1"/>
    <col min="3861" max="3861" width="10.77734375" style="21" customWidth="1"/>
    <col min="3862" max="4096" width="9.21875" style="21"/>
    <col min="4097" max="4097" width="8.44140625" style="21" customWidth="1"/>
    <col min="4098" max="4098" width="14.44140625" style="21" customWidth="1"/>
    <col min="4099" max="4099" width="15.44140625" style="21" customWidth="1"/>
    <col min="4100" max="4100" width="16.44140625" style="21" customWidth="1"/>
    <col min="4101" max="4101" width="16.21875" style="21" customWidth="1"/>
    <col min="4102" max="4102" width="13.77734375" style="21" customWidth="1"/>
    <col min="4103" max="4103" width="18.77734375" style="21" customWidth="1"/>
    <col min="4104" max="4104" width="15.77734375" style="21" customWidth="1"/>
    <col min="4105" max="4106" width="16.5546875" style="21" customWidth="1"/>
    <col min="4107" max="4107" width="13.21875" style="21" customWidth="1"/>
    <col min="4108" max="4108" width="13.44140625" style="21" customWidth="1"/>
    <col min="4109" max="4110" width="14.77734375" style="21" customWidth="1"/>
    <col min="4111" max="4115" width="14.44140625" style="21" customWidth="1"/>
    <col min="4116" max="4116" width="14.77734375" style="21" customWidth="1"/>
    <col min="4117" max="4117" width="10.77734375" style="21" customWidth="1"/>
    <col min="4118" max="4352" width="9.21875" style="21"/>
    <col min="4353" max="4353" width="8.44140625" style="21" customWidth="1"/>
    <col min="4354" max="4354" width="14.44140625" style="21" customWidth="1"/>
    <col min="4355" max="4355" width="15.44140625" style="21" customWidth="1"/>
    <col min="4356" max="4356" width="16.44140625" style="21" customWidth="1"/>
    <col min="4357" max="4357" width="16.21875" style="21" customWidth="1"/>
    <col min="4358" max="4358" width="13.77734375" style="21" customWidth="1"/>
    <col min="4359" max="4359" width="18.77734375" style="21" customWidth="1"/>
    <col min="4360" max="4360" width="15.77734375" style="21" customWidth="1"/>
    <col min="4361" max="4362" width="16.5546875" style="21" customWidth="1"/>
    <col min="4363" max="4363" width="13.21875" style="21" customWidth="1"/>
    <col min="4364" max="4364" width="13.44140625" style="21" customWidth="1"/>
    <col min="4365" max="4366" width="14.77734375" style="21" customWidth="1"/>
    <col min="4367" max="4371" width="14.44140625" style="21" customWidth="1"/>
    <col min="4372" max="4372" width="14.77734375" style="21" customWidth="1"/>
    <col min="4373" max="4373" width="10.77734375" style="21" customWidth="1"/>
    <col min="4374" max="4608" width="9.21875" style="21"/>
    <col min="4609" max="4609" width="8.44140625" style="21" customWidth="1"/>
    <col min="4610" max="4610" width="14.44140625" style="21" customWidth="1"/>
    <col min="4611" max="4611" width="15.44140625" style="21" customWidth="1"/>
    <col min="4612" max="4612" width="16.44140625" style="21" customWidth="1"/>
    <col min="4613" max="4613" width="16.21875" style="21" customWidth="1"/>
    <col min="4614" max="4614" width="13.77734375" style="21" customWidth="1"/>
    <col min="4615" max="4615" width="18.77734375" style="21" customWidth="1"/>
    <col min="4616" max="4616" width="15.77734375" style="21" customWidth="1"/>
    <col min="4617" max="4618" width="16.5546875" style="21" customWidth="1"/>
    <col min="4619" max="4619" width="13.21875" style="21" customWidth="1"/>
    <col min="4620" max="4620" width="13.44140625" style="21" customWidth="1"/>
    <col min="4621" max="4622" width="14.77734375" style="21" customWidth="1"/>
    <col min="4623" max="4627" width="14.44140625" style="21" customWidth="1"/>
    <col min="4628" max="4628" width="14.77734375" style="21" customWidth="1"/>
    <col min="4629" max="4629" width="10.77734375" style="21" customWidth="1"/>
    <col min="4630" max="4864" width="9.21875" style="21"/>
    <col min="4865" max="4865" width="8.44140625" style="21" customWidth="1"/>
    <col min="4866" max="4866" width="14.44140625" style="21" customWidth="1"/>
    <col min="4867" max="4867" width="15.44140625" style="21" customWidth="1"/>
    <col min="4868" max="4868" width="16.44140625" style="21" customWidth="1"/>
    <col min="4869" max="4869" width="16.21875" style="21" customWidth="1"/>
    <col min="4870" max="4870" width="13.77734375" style="21" customWidth="1"/>
    <col min="4871" max="4871" width="18.77734375" style="21" customWidth="1"/>
    <col min="4872" max="4872" width="15.77734375" style="21" customWidth="1"/>
    <col min="4873" max="4874" width="16.5546875" style="21" customWidth="1"/>
    <col min="4875" max="4875" width="13.21875" style="21" customWidth="1"/>
    <col min="4876" max="4876" width="13.44140625" style="21" customWidth="1"/>
    <col min="4877" max="4878" width="14.77734375" style="21" customWidth="1"/>
    <col min="4879" max="4883" width="14.44140625" style="21" customWidth="1"/>
    <col min="4884" max="4884" width="14.77734375" style="21" customWidth="1"/>
    <col min="4885" max="4885" width="10.77734375" style="21" customWidth="1"/>
    <col min="4886" max="5120" width="9.21875" style="21"/>
    <col min="5121" max="5121" width="8.44140625" style="21" customWidth="1"/>
    <col min="5122" max="5122" width="14.44140625" style="21" customWidth="1"/>
    <col min="5123" max="5123" width="15.44140625" style="21" customWidth="1"/>
    <col min="5124" max="5124" width="16.44140625" style="21" customWidth="1"/>
    <col min="5125" max="5125" width="16.21875" style="21" customWidth="1"/>
    <col min="5126" max="5126" width="13.77734375" style="21" customWidth="1"/>
    <col min="5127" max="5127" width="18.77734375" style="21" customWidth="1"/>
    <col min="5128" max="5128" width="15.77734375" style="21" customWidth="1"/>
    <col min="5129" max="5130" width="16.5546875" style="21" customWidth="1"/>
    <col min="5131" max="5131" width="13.21875" style="21" customWidth="1"/>
    <col min="5132" max="5132" width="13.44140625" style="21" customWidth="1"/>
    <col min="5133" max="5134" width="14.77734375" style="21" customWidth="1"/>
    <col min="5135" max="5139" width="14.44140625" style="21" customWidth="1"/>
    <col min="5140" max="5140" width="14.77734375" style="21" customWidth="1"/>
    <col min="5141" max="5141" width="10.77734375" style="21" customWidth="1"/>
    <col min="5142" max="5376" width="9.21875" style="21"/>
    <col min="5377" max="5377" width="8.44140625" style="21" customWidth="1"/>
    <col min="5378" max="5378" width="14.44140625" style="21" customWidth="1"/>
    <col min="5379" max="5379" width="15.44140625" style="21" customWidth="1"/>
    <col min="5380" max="5380" width="16.44140625" style="21" customWidth="1"/>
    <col min="5381" max="5381" width="16.21875" style="21" customWidth="1"/>
    <col min="5382" max="5382" width="13.77734375" style="21" customWidth="1"/>
    <col min="5383" max="5383" width="18.77734375" style="21" customWidth="1"/>
    <col min="5384" max="5384" width="15.77734375" style="21" customWidth="1"/>
    <col min="5385" max="5386" width="16.5546875" style="21" customWidth="1"/>
    <col min="5387" max="5387" width="13.21875" style="21" customWidth="1"/>
    <col min="5388" max="5388" width="13.44140625" style="21" customWidth="1"/>
    <col min="5389" max="5390" width="14.77734375" style="21" customWidth="1"/>
    <col min="5391" max="5395" width="14.44140625" style="21" customWidth="1"/>
    <col min="5396" max="5396" width="14.77734375" style="21" customWidth="1"/>
    <col min="5397" max="5397" width="10.77734375" style="21" customWidth="1"/>
    <col min="5398" max="5632" width="9.21875" style="21"/>
    <col min="5633" max="5633" width="8.44140625" style="21" customWidth="1"/>
    <col min="5634" max="5634" width="14.44140625" style="21" customWidth="1"/>
    <col min="5635" max="5635" width="15.44140625" style="21" customWidth="1"/>
    <col min="5636" max="5636" width="16.44140625" style="21" customWidth="1"/>
    <col min="5637" max="5637" width="16.21875" style="21" customWidth="1"/>
    <col min="5638" max="5638" width="13.77734375" style="21" customWidth="1"/>
    <col min="5639" max="5639" width="18.77734375" style="21" customWidth="1"/>
    <col min="5640" max="5640" width="15.77734375" style="21" customWidth="1"/>
    <col min="5641" max="5642" width="16.5546875" style="21" customWidth="1"/>
    <col min="5643" max="5643" width="13.21875" style="21" customWidth="1"/>
    <col min="5644" max="5644" width="13.44140625" style="21" customWidth="1"/>
    <col min="5645" max="5646" width="14.77734375" style="21" customWidth="1"/>
    <col min="5647" max="5651" width="14.44140625" style="21" customWidth="1"/>
    <col min="5652" max="5652" width="14.77734375" style="21" customWidth="1"/>
    <col min="5653" max="5653" width="10.77734375" style="21" customWidth="1"/>
    <col min="5654" max="5888" width="9.21875" style="21"/>
    <col min="5889" max="5889" width="8.44140625" style="21" customWidth="1"/>
    <col min="5890" max="5890" width="14.44140625" style="21" customWidth="1"/>
    <col min="5891" max="5891" width="15.44140625" style="21" customWidth="1"/>
    <col min="5892" max="5892" width="16.44140625" style="21" customWidth="1"/>
    <col min="5893" max="5893" width="16.21875" style="21" customWidth="1"/>
    <col min="5894" max="5894" width="13.77734375" style="21" customWidth="1"/>
    <col min="5895" max="5895" width="18.77734375" style="21" customWidth="1"/>
    <col min="5896" max="5896" width="15.77734375" style="21" customWidth="1"/>
    <col min="5897" max="5898" width="16.5546875" style="21" customWidth="1"/>
    <col min="5899" max="5899" width="13.21875" style="21" customWidth="1"/>
    <col min="5900" max="5900" width="13.44140625" style="21" customWidth="1"/>
    <col min="5901" max="5902" width="14.77734375" style="21" customWidth="1"/>
    <col min="5903" max="5907" width="14.44140625" style="21" customWidth="1"/>
    <col min="5908" max="5908" width="14.77734375" style="21" customWidth="1"/>
    <col min="5909" max="5909" width="10.77734375" style="21" customWidth="1"/>
    <col min="5910" max="6144" width="9.21875" style="21"/>
    <col min="6145" max="6145" width="8.44140625" style="21" customWidth="1"/>
    <col min="6146" max="6146" width="14.44140625" style="21" customWidth="1"/>
    <col min="6147" max="6147" width="15.44140625" style="21" customWidth="1"/>
    <col min="6148" max="6148" width="16.44140625" style="21" customWidth="1"/>
    <col min="6149" max="6149" width="16.21875" style="21" customWidth="1"/>
    <col min="6150" max="6150" width="13.77734375" style="21" customWidth="1"/>
    <col min="6151" max="6151" width="18.77734375" style="21" customWidth="1"/>
    <col min="6152" max="6152" width="15.77734375" style="21" customWidth="1"/>
    <col min="6153" max="6154" width="16.5546875" style="21" customWidth="1"/>
    <col min="6155" max="6155" width="13.21875" style="21" customWidth="1"/>
    <col min="6156" max="6156" width="13.44140625" style="21" customWidth="1"/>
    <col min="6157" max="6158" width="14.77734375" style="21" customWidth="1"/>
    <col min="6159" max="6163" width="14.44140625" style="21" customWidth="1"/>
    <col min="6164" max="6164" width="14.77734375" style="21" customWidth="1"/>
    <col min="6165" max="6165" width="10.77734375" style="21" customWidth="1"/>
    <col min="6166" max="6400" width="9.21875" style="21"/>
    <col min="6401" max="6401" width="8.44140625" style="21" customWidth="1"/>
    <col min="6402" max="6402" width="14.44140625" style="21" customWidth="1"/>
    <col min="6403" max="6403" width="15.44140625" style="21" customWidth="1"/>
    <col min="6404" max="6404" width="16.44140625" style="21" customWidth="1"/>
    <col min="6405" max="6405" width="16.21875" style="21" customWidth="1"/>
    <col min="6406" max="6406" width="13.77734375" style="21" customWidth="1"/>
    <col min="6407" max="6407" width="18.77734375" style="21" customWidth="1"/>
    <col min="6408" max="6408" width="15.77734375" style="21" customWidth="1"/>
    <col min="6409" max="6410" width="16.5546875" style="21" customWidth="1"/>
    <col min="6411" max="6411" width="13.21875" style="21" customWidth="1"/>
    <col min="6412" max="6412" width="13.44140625" style="21" customWidth="1"/>
    <col min="6413" max="6414" width="14.77734375" style="21" customWidth="1"/>
    <col min="6415" max="6419" width="14.44140625" style="21" customWidth="1"/>
    <col min="6420" max="6420" width="14.77734375" style="21" customWidth="1"/>
    <col min="6421" max="6421" width="10.77734375" style="21" customWidth="1"/>
    <col min="6422" max="6656" width="9.21875" style="21"/>
    <col min="6657" max="6657" width="8.44140625" style="21" customWidth="1"/>
    <col min="6658" max="6658" width="14.44140625" style="21" customWidth="1"/>
    <col min="6659" max="6659" width="15.44140625" style="21" customWidth="1"/>
    <col min="6660" max="6660" width="16.44140625" style="21" customWidth="1"/>
    <col min="6661" max="6661" width="16.21875" style="21" customWidth="1"/>
    <col min="6662" max="6662" width="13.77734375" style="21" customWidth="1"/>
    <col min="6663" max="6663" width="18.77734375" style="21" customWidth="1"/>
    <col min="6664" max="6664" width="15.77734375" style="21" customWidth="1"/>
    <col min="6665" max="6666" width="16.5546875" style="21" customWidth="1"/>
    <col min="6667" max="6667" width="13.21875" style="21" customWidth="1"/>
    <col min="6668" max="6668" width="13.44140625" style="21" customWidth="1"/>
    <col min="6669" max="6670" width="14.77734375" style="21" customWidth="1"/>
    <col min="6671" max="6675" width="14.44140625" style="21" customWidth="1"/>
    <col min="6676" max="6676" width="14.77734375" style="21" customWidth="1"/>
    <col min="6677" max="6677" width="10.77734375" style="21" customWidth="1"/>
    <col min="6678" max="6912" width="9.21875" style="21"/>
    <col min="6913" max="6913" width="8.44140625" style="21" customWidth="1"/>
    <col min="6914" max="6914" width="14.44140625" style="21" customWidth="1"/>
    <col min="6915" max="6915" width="15.44140625" style="21" customWidth="1"/>
    <col min="6916" max="6916" width="16.44140625" style="21" customWidth="1"/>
    <col min="6917" max="6917" width="16.21875" style="21" customWidth="1"/>
    <col min="6918" max="6918" width="13.77734375" style="21" customWidth="1"/>
    <col min="6919" max="6919" width="18.77734375" style="21" customWidth="1"/>
    <col min="6920" max="6920" width="15.77734375" style="21" customWidth="1"/>
    <col min="6921" max="6922" width="16.5546875" style="21" customWidth="1"/>
    <col min="6923" max="6923" width="13.21875" style="21" customWidth="1"/>
    <col min="6924" max="6924" width="13.44140625" style="21" customWidth="1"/>
    <col min="6925" max="6926" width="14.77734375" style="21" customWidth="1"/>
    <col min="6927" max="6931" width="14.44140625" style="21" customWidth="1"/>
    <col min="6932" max="6932" width="14.77734375" style="21" customWidth="1"/>
    <col min="6933" max="6933" width="10.77734375" style="21" customWidth="1"/>
    <col min="6934" max="7168" width="9.21875" style="21"/>
    <col min="7169" max="7169" width="8.44140625" style="21" customWidth="1"/>
    <col min="7170" max="7170" width="14.44140625" style="21" customWidth="1"/>
    <col min="7171" max="7171" width="15.44140625" style="21" customWidth="1"/>
    <col min="7172" max="7172" width="16.44140625" style="21" customWidth="1"/>
    <col min="7173" max="7173" width="16.21875" style="21" customWidth="1"/>
    <col min="7174" max="7174" width="13.77734375" style="21" customWidth="1"/>
    <col min="7175" max="7175" width="18.77734375" style="21" customWidth="1"/>
    <col min="7176" max="7176" width="15.77734375" style="21" customWidth="1"/>
    <col min="7177" max="7178" width="16.5546875" style="21" customWidth="1"/>
    <col min="7179" max="7179" width="13.21875" style="21" customWidth="1"/>
    <col min="7180" max="7180" width="13.44140625" style="21" customWidth="1"/>
    <col min="7181" max="7182" width="14.77734375" style="21" customWidth="1"/>
    <col min="7183" max="7187" width="14.44140625" style="21" customWidth="1"/>
    <col min="7188" max="7188" width="14.77734375" style="21" customWidth="1"/>
    <col min="7189" max="7189" width="10.77734375" style="21" customWidth="1"/>
    <col min="7190" max="7424" width="9.21875" style="21"/>
    <col min="7425" max="7425" width="8.44140625" style="21" customWidth="1"/>
    <col min="7426" max="7426" width="14.44140625" style="21" customWidth="1"/>
    <col min="7427" max="7427" width="15.44140625" style="21" customWidth="1"/>
    <col min="7428" max="7428" width="16.44140625" style="21" customWidth="1"/>
    <col min="7429" max="7429" width="16.21875" style="21" customWidth="1"/>
    <col min="7430" max="7430" width="13.77734375" style="21" customWidth="1"/>
    <col min="7431" max="7431" width="18.77734375" style="21" customWidth="1"/>
    <col min="7432" max="7432" width="15.77734375" style="21" customWidth="1"/>
    <col min="7433" max="7434" width="16.5546875" style="21" customWidth="1"/>
    <col min="7435" max="7435" width="13.21875" style="21" customWidth="1"/>
    <col min="7436" max="7436" width="13.44140625" style="21" customWidth="1"/>
    <col min="7437" max="7438" width="14.77734375" style="21" customWidth="1"/>
    <col min="7439" max="7443" width="14.44140625" style="21" customWidth="1"/>
    <col min="7444" max="7444" width="14.77734375" style="21" customWidth="1"/>
    <col min="7445" max="7445" width="10.77734375" style="21" customWidth="1"/>
    <col min="7446" max="7680" width="9.21875" style="21"/>
    <col min="7681" max="7681" width="8.44140625" style="21" customWidth="1"/>
    <col min="7682" max="7682" width="14.44140625" style="21" customWidth="1"/>
    <col min="7683" max="7683" width="15.44140625" style="21" customWidth="1"/>
    <col min="7684" max="7684" width="16.44140625" style="21" customWidth="1"/>
    <col min="7685" max="7685" width="16.21875" style="21" customWidth="1"/>
    <col min="7686" max="7686" width="13.77734375" style="21" customWidth="1"/>
    <col min="7687" max="7687" width="18.77734375" style="21" customWidth="1"/>
    <col min="7688" max="7688" width="15.77734375" style="21" customWidth="1"/>
    <col min="7689" max="7690" width="16.5546875" style="21" customWidth="1"/>
    <col min="7691" max="7691" width="13.21875" style="21" customWidth="1"/>
    <col min="7692" max="7692" width="13.44140625" style="21" customWidth="1"/>
    <col min="7693" max="7694" width="14.77734375" style="21" customWidth="1"/>
    <col min="7695" max="7699" width="14.44140625" style="21" customWidth="1"/>
    <col min="7700" max="7700" width="14.77734375" style="21" customWidth="1"/>
    <col min="7701" max="7701" width="10.77734375" style="21" customWidth="1"/>
    <col min="7702" max="7936" width="9.21875" style="21"/>
    <col min="7937" max="7937" width="8.44140625" style="21" customWidth="1"/>
    <col min="7938" max="7938" width="14.44140625" style="21" customWidth="1"/>
    <col min="7939" max="7939" width="15.44140625" style="21" customWidth="1"/>
    <col min="7940" max="7940" width="16.44140625" style="21" customWidth="1"/>
    <col min="7941" max="7941" width="16.21875" style="21" customWidth="1"/>
    <col min="7942" max="7942" width="13.77734375" style="21" customWidth="1"/>
    <col min="7943" max="7943" width="18.77734375" style="21" customWidth="1"/>
    <col min="7944" max="7944" width="15.77734375" style="21" customWidth="1"/>
    <col min="7945" max="7946" width="16.5546875" style="21" customWidth="1"/>
    <col min="7947" max="7947" width="13.21875" style="21" customWidth="1"/>
    <col min="7948" max="7948" width="13.44140625" style="21" customWidth="1"/>
    <col min="7949" max="7950" width="14.77734375" style="21" customWidth="1"/>
    <col min="7951" max="7955" width="14.44140625" style="21" customWidth="1"/>
    <col min="7956" max="7956" width="14.77734375" style="21" customWidth="1"/>
    <col min="7957" max="7957" width="10.77734375" style="21" customWidth="1"/>
    <col min="7958" max="8192" width="9.21875" style="21"/>
    <col min="8193" max="8193" width="8.44140625" style="21" customWidth="1"/>
    <col min="8194" max="8194" width="14.44140625" style="21" customWidth="1"/>
    <col min="8195" max="8195" width="15.44140625" style="21" customWidth="1"/>
    <col min="8196" max="8196" width="16.44140625" style="21" customWidth="1"/>
    <col min="8197" max="8197" width="16.21875" style="21" customWidth="1"/>
    <col min="8198" max="8198" width="13.77734375" style="21" customWidth="1"/>
    <col min="8199" max="8199" width="18.77734375" style="21" customWidth="1"/>
    <col min="8200" max="8200" width="15.77734375" style="21" customWidth="1"/>
    <col min="8201" max="8202" width="16.5546875" style="21" customWidth="1"/>
    <col min="8203" max="8203" width="13.21875" style="21" customWidth="1"/>
    <col min="8204" max="8204" width="13.44140625" style="21" customWidth="1"/>
    <col min="8205" max="8206" width="14.77734375" style="21" customWidth="1"/>
    <col min="8207" max="8211" width="14.44140625" style="21" customWidth="1"/>
    <col min="8212" max="8212" width="14.77734375" style="21" customWidth="1"/>
    <col min="8213" max="8213" width="10.77734375" style="21" customWidth="1"/>
    <col min="8214" max="8448" width="9.21875" style="21"/>
    <col min="8449" max="8449" width="8.44140625" style="21" customWidth="1"/>
    <col min="8450" max="8450" width="14.44140625" style="21" customWidth="1"/>
    <col min="8451" max="8451" width="15.44140625" style="21" customWidth="1"/>
    <col min="8452" max="8452" width="16.44140625" style="21" customWidth="1"/>
    <col min="8453" max="8453" width="16.21875" style="21" customWidth="1"/>
    <col min="8454" max="8454" width="13.77734375" style="21" customWidth="1"/>
    <col min="8455" max="8455" width="18.77734375" style="21" customWidth="1"/>
    <col min="8456" max="8456" width="15.77734375" style="21" customWidth="1"/>
    <col min="8457" max="8458" width="16.5546875" style="21" customWidth="1"/>
    <col min="8459" max="8459" width="13.21875" style="21" customWidth="1"/>
    <col min="8460" max="8460" width="13.44140625" style="21" customWidth="1"/>
    <col min="8461" max="8462" width="14.77734375" style="21" customWidth="1"/>
    <col min="8463" max="8467" width="14.44140625" style="21" customWidth="1"/>
    <col min="8468" max="8468" width="14.77734375" style="21" customWidth="1"/>
    <col min="8469" max="8469" width="10.77734375" style="21" customWidth="1"/>
    <col min="8470" max="8704" width="9.21875" style="21"/>
    <col min="8705" max="8705" width="8.44140625" style="21" customWidth="1"/>
    <col min="8706" max="8706" width="14.44140625" style="21" customWidth="1"/>
    <col min="8707" max="8707" width="15.44140625" style="21" customWidth="1"/>
    <col min="8708" max="8708" width="16.44140625" style="21" customWidth="1"/>
    <col min="8709" max="8709" width="16.21875" style="21" customWidth="1"/>
    <col min="8710" max="8710" width="13.77734375" style="21" customWidth="1"/>
    <col min="8711" max="8711" width="18.77734375" style="21" customWidth="1"/>
    <col min="8712" max="8712" width="15.77734375" style="21" customWidth="1"/>
    <col min="8713" max="8714" width="16.5546875" style="21" customWidth="1"/>
    <col min="8715" max="8715" width="13.21875" style="21" customWidth="1"/>
    <col min="8716" max="8716" width="13.44140625" style="21" customWidth="1"/>
    <col min="8717" max="8718" width="14.77734375" style="21" customWidth="1"/>
    <col min="8719" max="8723" width="14.44140625" style="21" customWidth="1"/>
    <col min="8724" max="8724" width="14.77734375" style="21" customWidth="1"/>
    <col min="8725" max="8725" width="10.77734375" style="21" customWidth="1"/>
    <col min="8726" max="8960" width="9.21875" style="21"/>
    <col min="8961" max="8961" width="8.44140625" style="21" customWidth="1"/>
    <col min="8962" max="8962" width="14.44140625" style="21" customWidth="1"/>
    <col min="8963" max="8963" width="15.44140625" style="21" customWidth="1"/>
    <col min="8964" max="8964" width="16.44140625" style="21" customWidth="1"/>
    <col min="8965" max="8965" width="16.21875" style="21" customWidth="1"/>
    <col min="8966" max="8966" width="13.77734375" style="21" customWidth="1"/>
    <col min="8967" max="8967" width="18.77734375" style="21" customWidth="1"/>
    <col min="8968" max="8968" width="15.77734375" style="21" customWidth="1"/>
    <col min="8969" max="8970" width="16.5546875" style="21" customWidth="1"/>
    <col min="8971" max="8971" width="13.21875" style="21" customWidth="1"/>
    <col min="8972" max="8972" width="13.44140625" style="21" customWidth="1"/>
    <col min="8973" max="8974" width="14.77734375" style="21" customWidth="1"/>
    <col min="8975" max="8979" width="14.44140625" style="21" customWidth="1"/>
    <col min="8980" max="8980" width="14.77734375" style="21" customWidth="1"/>
    <col min="8981" max="8981" width="10.77734375" style="21" customWidth="1"/>
    <col min="8982" max="9216" width="9.21875" style="21"/>
    <col min="9217" max="9217" width="8.44140625" style="21" customWidth="1"/>
    <col min="9218" max="9218" width="14.44140625" style="21" customWidth="1"/>
    <col min="9219" max="9219" width="15.44140625" style="21" customWidth="1"/>
    <col min="9220" max="9220" width="16.44140625" style="21" customWidth="1"/>
    <col min="9221" max="9221" width="16.21875" style="21" customWidth="1"/>
    <col min="9222" max="9222" width="13.77734375" style="21" customWidth="1"/>
    <col min="9223" max="9223" width="18.77734375" style="21" customWidth="1"/>
    <col min="9224" max="9224" width="15.77734375" style="21" customWidth="1"/>
    <col min="9225" max="9226" width="16.5546875" style="21" customWidth="1"/>
    <col min="9227" max="9227" width="13.21875" style="21" customWidth="1"/>
    <col min="9228" max="9228" width="13.44140625" style="21" customWidth="1"/>
    <col min="9229" max="9230" width="14.77734375" style="21" customWidth="1"/>
    <col min="9231" max="9235" width="14.44140625" style="21" customWidth="1"/>
    <col min="9236" max="9236" width="14.77734375" style="21" customWidth="1"/>
    <col min="9237" max="9237" width="10.77734375" style="21" customWidth="1"/>
    <col min="9238" max="9472" width="9.21875" style="21"/>
    <col min="9473" max="9473" width="8.44140625" style="21" customWidth="1"/>
    <col min="9474" max="9474" width="14.44140625" style="21" customWidth="1"/>
    <col min="9475" max="9475" width="15.44140625" style="21" customWidth="1"/>
    <col min="9476" max="9476" width="16.44140625" style="21" customWidth="1"/>
    <col min="9477" max="9477" width="16.21875" style="21" customWidth="1"/>
    <col min="9478" max="9478" width="13.77734375" style="21" customWidth="1"/>
    <col min="9479" max="9479" width="18.77734375" style="21" customWidth="1"/>
    <col min="9480" max="9480" width="15.77734375" style="21" customWidth="1"/>
    <col min="9481" max="9482" width="16.5546875" style="21" customWidth="1"/>
    <col min="9483" max="9483" width="13.21875" style="21" customWidth="1"/>
    <col min="9484" max="9484" width="13.44140625" style="21" customWidth="1"/>
    <col min="9485" max="9486" width="14.77734375" style="21" customWidth="1"/>
    <col min="9487" max="9491" width="14.44140625" style="21" customWidth="1"/>
    <col min="9492" max="9492" width="14.77734375" style="21" customWidth="1"/>
    <col min="9493" max="9493" width="10.77734375" style="21" customWidth="1"/>
    <col min="9494" max="9728" width="9.21875" style="21"/>
    <col min="9729" max="9729" width="8.44140625" style="21" customWidth="1"/>
    <col min="9730" max="9730" width="14.44140625" style="21" customWidth="1"/>
    <col min="9731" max="9731" width="15.44140625" style="21" customWidth="1"/>
    <col min="9732" max="9732" width="16.44140625" style="21" customWidth="1"/>
    <col min="9733" max="9733" width="16.21875" style="21" customWidth="1"/>
    <col min="9734" max="9734" width="13.77734375" style="21" customWidth="1"/>
    <col min="9735" max="9735" width="18.77734375" style="21" customWidth="1"/>
    <col min="9736" max="9736" width="15.77734375" style="21" customWidth="1"/>
    <col min="9737" max="9738" width="16.5546875" style="21" customWidth="1"/>
    <col min="9739" max="9739" width="13.21875" style="21" customWidth="1"/>
    <col min="9740" max="9740" width="13.44140625" style="21" customWidth="1"/>
    <col min="9741" max="9742" width="14.77734375" style="21" customWidth="1"/>
    <col min="9743" max="9747" width="14.44140625" style="21" customWidth="1"/>
    <col min="9748" max="9748" width="14.77734375" style="21" customWidth="1"/>
    <col min="9749" max="9749" width="10.77734375" style="21" customWidth="1"/>
    <col min="9750" max="9984" width="9.21875" style="21"/>
    <col min="9985" max="9985" width="8.44140625" style="21" customWidth="1"/>
    <col min="9986" max="9986" width="14.44140625" style="21" customWidth="1"/>
    <col min="9987" max="9987" width="15.44140625" style="21" customWidth="1"/>
    <col min="9988" max="9988" width="16.44140625" style="21" customWidth="1"/>
    <col min="9989" max="9989" width="16.21875" style="21" customWidth="1"/>
    <col min="9990" max="9990" width="13.77734375" style="21" customWidth="1"/>
    <col min="9991" max="9991" width="18.77734375" style="21" customWidth="1"/>
    <col min="9992" max="9992" width="15.77734375" style="21" customWidth="1"/>
    <col min="9993" max="9994" width="16.5546875" style="21" customWidth="1"/>
    <col min="9995" max="9995" width="13.21875" style="21" customWidth="1"/>
    <col min="9996" max="9996" width="13.44140625" style="21" customWidth="1"/>
    <col min="9997" max="9998" width="14.77734375" style="21" customWidth="1"/>
    <col min="9999" max="10003" width="14.44140625" style="21" customWidth="1"/>
    <col min="10004" max="10004" width="14.77734375" style="21" customWidth="1"/>
    <col min="10005" max="10005" width="10.77734375" style="21" customWidth="1"/>
    <col min="10006" max="10240" width="9.21875" style="21"/>
    <col min="10241" max="10241" width="8.44140625" style="21" customWidth="1"/>
    <col min="10242" max="10242" width="14.44140625" style="21" customWidth="1"/>
    <col min="10243" max="10243" width="15.44140625" style="21" customWidth="1"/>
    <col min="10244" max="10244" width="16.44140625" style="21" customWidth="1"/>
    <col min="10245" max="10245" width="16.21875" style="21" customWidth="1"/>
    <col min="10246" max="10246" width="13.77734375" style="21" customWidth="1"/>
    <col min="10247" max="10247" width="18.77734375" style="21" customWidth="1"/>
    <col min="10248" max="10248" width="15.77734375" style="21" customWidth="1"/>
    <col min="10249" max="10250" width="16.5546875" style="21" customWidth="1"/>
    <col min="10251" max="10251" width="13.21875" style="21" customWidth="1"/>
    <col min="10252" max="10252" width="13.44140625" style="21" customWidth="1"/>
    <col min="10253" max="10254" width="14.77734375" style="21" customWidth="1"/>
    <col min="10255" max="10259" width="14.44140625" style="21" customWidth="1"/>
    <col min="10260" max="10260" width="14.77734375" style="21" customWidth="1"/>
    <col min="10261" max="10261" width="10.77734375" style="21" customWidth="1"/>
    <col min="10262" max="10496" width="9.21875" style="21"/>
    <col min="10497" max="10497" width="8.44140625" style="21" customWidth="1"/>
    <col min="10498" max="10498" width="14.44140625" style="21" customWidth="1"/>
    <col min="10499" max="10499" width="15.44140625" style="21" customWidth="1"/>
    <col min="10500" max="10500" width="16.44140625" style="21" customWidth="1"/>
    <col min="10501" max="10501" width="16.21875" style="21" customWidth="1"/>
    <col min="10502" max="10502" width="13.77734375" style="21" customWidth="1"/>
    <col min="10503" max="10503" width="18.77734375" style="21" customWidth="1"/>
    <col min="10504" max="10504" width="15.77734375" style="21" customWidth="1"/>
    <col min="10505" max="10506" width="16.5546875" style="21" customWidth="1"/>
    <col min="10507" max="10507" width="13.21875" style="21" customWidth="1"/>
    <col min="10508" max="10508" width="13.44140625" style="21" customWidth="1"/>
    <col min="10509" max="10510" width="14.77734375" style="21" customWidth="1"/>
    <col min="10511" max="10515" width="14.44140625" style="21" customWidth="1"/>
    <col min="10516" max="10516" width="14.77734375" style="21" customWidth="1"/>
    <col min="10517" max="10517" width="10.77734375" style="21" customWidth="1"/>
    <col min="10518" max="10752" width="9.21875" style="21"/>
    <col min="10753" max="10753" width="8.44140625" style="21" customWidth="1"/>
    <col min="10754" max="10754" width="14.44140625" style="21" customWidth="1"/>
    <col min="10755" max="10755" width="15.44140625" style="21" customWidth="1"/>
    <col min="10756" max="10756" width="16.44140625" style="21" customWidth="1"/>
    <col min="10757" max="10757" width="16.21875" style="21" customWidth="1"/>
    <col min="10758" max="10758" width="13.77734375" style="21" customWidth="1"/>
    <col min="10759" max="10759" width="18.77734375" style="21" customWidth="1"/>
    <col min="10760" max="10760" width="15.77734375" style="21" customWidth="1"/>
    <col min="10761" max="10762" width="16.5546875" style="21" customWidth="1"/>
    <col min="10763" max="10763" width="13.21875" style="21" customWidth="1"/>
    <col min="10764" max="10764" width="13.44140625" style="21" customWidth="1"/>
    <col min="10765" max="10766" width="14.77734375" style="21" customWidth="1"/>
    <col min="10767" max="10771" width="14.44140625" style="21" customWidth="1"/>
    <col min="10772" max="10772" width="14.77734375" style="21" customWidth="1"/>
    <col min="10773" max="10773" width="10.77734375" style="21" customWidth="1"/>
    <col min="10774" max="11008" width="9.21875" style="21"/>
    <col min="11009" max="11009" width="8.44140625" style="21" customWidth="1"/>
    <col min="11010" max="11010" width="14.44140625" style="21" customWidth="1"/>
    <col min="11011" max="11011" width="15.44140625" style="21" customWidth="1"/>
    <col min="11012" max="11012" width="16.44140625" style="21" customWidth="1"/>
    <col min="11013" max="11013" width="16.21875" style="21" customWidth="1"/>
    <col min="11014" max="11014" width="13.77734375" style="21" customWidth="1"/>
    <col min="11015" max="11015" width="18.77734375" style="21" customWidth="1"/>
    <col min="11016" max="11016" width="15.77734375" style="21" customWidth="1"/>
    <col min="11017" max="11018" width="16.5546875" style="21" customWidth="1"/>
    <col min="11019" max="11019" width="13.21875" style="21" customWidth="1"/>
    <col min="11020" max="11020" width="13.44140625" style="21" customWidth="1"/>
    <col min="11021" max="11022" width="14.77734375" style="21" customWidth="1"/>
    <col min="11023" max="11027" width="14.44140625" style="21" customWidth="1"/>
    <col min="11028" max="11028" width="14.77734375" style="21" customWidth="1"/>
    <col min="11029" max="11029" width="10.77734375" style="21" customWidth="1"/>
    <col min="11030" max="11264" width="9.21875" style="21"/>
    <col min="11265" max="11265" width="8.44140625" style="21" customWidth="1"/>
    <col min="11266" max="11266" width="14.44140625" style="21" customWidth="1"/>
    <col min="11267" max="11267" width="15.44140625" style="21" customWidth="1"/>
    <col min="11268" max="11268" width="16.44140625" style="21" customWidth="1"/>
    <col min="11269" max="11269" width="16.21875" style="21" customWidth="1"/>
    <col min="11270" max="11270" width="13.77734375" style="21" customWidth="1"/>
    <col min="11271" max="11271" width="18.77734375" style="21" customWidth="1"/>
    <col min="11272" max="11272" width="15.77734375" style="21" customWidth="1"/>
    <col min="11273" max="11274" width="16.5546875" style="21" customWidth="1"/>
    <col min="11275" max="11275" width="13.21875" style="21" customWidth="1"/>
    <col min="11276" max="11276" width="13.44140625" style="21" customWidth="1"/>
    <col min="11277" max="11278" width="14.77734375" style="21" customWidth="1"/>
    <col min="11279" max="11283" width="14.44140625" style="21" customWidth="1"/>
    <col min="11284" max="11284" width="14.77734375" style="21" customWidth="1"/>
    <col min="11285" max="11285" width="10.77734375" style="21" customWidth="1"/>
    <col min="11286" max="11520" width="9.21875" style="21"/>
    <col min="11521" max="11521" width="8.44140625" style="21" customWidth="1"/>
    <col min="11522" max="11522" width="14.44140625" style="21" customWidth="1"/>
    <col min="11523" max="11523" width="15.44140625" style="21" customWidth="1"/>
    <col min="11524" max="11524" width="16.44140625" style="21" customWidth="1"/>
    <col min="11525" max="11525" width="16.21875" style="21" customWidth="1"/>
    <col min="11526" max="11526" width="13.77734375" style="21" customWidth="1"/>
    <col min="11527" max="11527" width="18.77734375" style="21" customWidth="1"/>
    <col min="11528" max="11528" width="15.77734375" style="21" customWidth="1"/>
    <col min="11529" max="11530" width="16.5546875" style="21" customWidth="1"/>
    <col min="11531" max="11531" width="13.21875" style="21" customWidth="1"/>
    <col min="11532" max="11532" width="13.44140625" style="21" customWidth="1"/>
    <col min="11533" max="11534" width="14.77734375" style="21" customWidth="1"/>
    <col min="11535" max="11539" width="14.44140625" style="21" customWidth="1"/>
    <col min="11540" max="11540" width="14.77734375" style="21" customWidth="1"/>
    <col min="11541" max="11541" width="10.77734375" style="21" customWidth="1"/>
    <col min="11542" max="11776" width="9.21875" style="21"/>
    <col min="11777" max="11777" width="8.44140625" style="21" customWidth="1"/>
    <col min="11778" max="11778" width="14.44140625" style="21" customWidth="1"/>
    <col min="11779" max="11779" width="15.44140625" style="21" customWidth="1"/>
    <col min="11780" max="11780" width="16.44140625" style="21" customWidth="1"/>
    <col min="11781" max="11781" width="16.21875" style="21" customWidth="1"/>
    <col min="11782" max="11782" width="13.77734375" style="21" customWidth="1"/>
    <col min="11783" max="11783" width="18.77734375" style="21" customWidth="1"/>
    <col min="11784" max="11784" width="15.77734375" style="21" customWidth="1"/>
    <col min="11785" max="11786" width="16.5546875" style="21" customWidth="1"/>
    <col min="11787" max="11787" width="13.21875" style="21" customWidth="1"/>
    <col min="11788" max="11788" width="13.44140625" style="21" customWidth="1"/>
    <col min="11789" max="11790" width="14.77734375" style="21" customWidth="1"/>
    <col min="11791" max="11795" width="14.44140625" style="21" customWidth="1"/>
    <col min="11796" max="11796" width="14.77734375" style="21" customWidth="1"/>
    <col min="11797" max="11797" width="10.77734375" style="21" customWidth="1"/>
    <col min="11798" max="12032" width="9.21875" style="21"/>
    <col min="12033" max="12033" width="8.44140625" style="21" customWidth="1"/>
    <col min="12034" max="12034" width="14.44140625" style="21" customWidth="1"/>
    <col min="12035" max="12035" width="15.44140625" style="21" customWidth="1"/>
    <col min="12036" max="12036" width="16.44140625" style="21" customWidth="1"/>
    <col min="12037" max="12037" width="16.21875" style="21" customWidth="1"/>
    <col min="12038" max="12038" width="13.77734375" style="21" customWidth="1"/>
    <col min="12039" max="12039" width="18.77734375" style="21" customWidth="1"/>
    <col min="12040" max="12040" width="15.77734375" style="21" customWidth="1"/>
    <col min="12041" max="12042" width="16.5546875" style="21" customWidth="1"/>
    <col min="12043" max="12043" width="13.21875" style="21" customWidth="1"/>
    <col min="12044" max="12044" width="13.44140625" style="21" customWidth="1"/>
    <col min="12045" max="12046" width="14.77734375" style="21" customWidth="1"/>
    <col min="12047" max="12051" width="14.44140625" style="21" customWidth="1"/>
    <col min="12052" max="12052" width="14.77734375" style="21" customWidth="1"/>
    <col min="12053" max="12053" width="10.77734375" style="21" customWidth="1"/>
    <col min="12054" max="12288" width="9.21875" style="21"/>
    <col min="12289" max="12289" width="8.44140625" style="21" customWidth="1"/>
    <col min="12290" max="12290" width="14.44140625" style="21" customWidth="1"/>
    <col min="12291" max="12291" width="15.44140625" style="21" customWidth="1"/>
    <col min="12292" max="12292" width="16.44140625" style="21" customWidth="1"/>
    <col min="12293" max="12293" width="16.21875" style="21" customWidth="1"/>
    <col min="12294" max="12294" width="13.77734375" style="21" customWidth="1"/>
    <col min="12295" max="12295" width="18.77734375" style="21" customWidth="1"/>
    <col min="12296" max="12296" width="15.77734375" style="21" customWidth="1"/>
    <col min="12297" max="12298" width="16.5546875" style="21" customWidth="1"/>
    <col min="12299" max="12299" width="13.21875" style="21" customWidth="1"/>
    <col min="12300" max="12300" width="13.44140625" style="21" customWidth="1"/>
    <col min="12301" max="12302" width="14.77734375" style="21" customWidth="1"/>
    <col min="12303" max="12307" width="14.44140625" style="21" customWidth="1"/>
    <col min="12308" max="12308" width="14.77734375" style="21" customWidth="1"/>
    <col min="12309" max="12309" width="10.77734375" style="21" customWidth="1"/>
    <col min="12310" max="12544" width="9.21875" style="21"/>
    <col min="12545" max="12545" width="8.44140625" style="21" customWidth="1"/>
    <col min="12546" max="12546" width="14.44140625" style="21" customWidth="1"/>
    <col min="12547" max="12547" width="15.44140625" style="21" customWidth="1"/>
    <col min="12548" max="12548" width="16.44140625" style="21" customWidth="1"/>
    <col min="12549" max="12549" width="16.21875" style="21" customWidth="1"/>
    <col min="12550" max="12550" width="13.77734375" style="21" customWidth="1"/>
    <col min="12551" max="12551" width="18.77734375" style="21" customWidth="1"/>
    <col min="12552" max="12552" width="15.77734375" style="21" customWidth="1"/>
    <col min="12553" max="12554" width="16.5546875" style="21" customWidth="1"/>
    <col min="12555" max="12555" width="13.21875" style="21" customWidth="1"/>
    <col min="12556" max="12556" width="13.44140625" style="21" customWidth="1"/>
    <col min="12557" max="12558" width="14.77734375" style="21" customWidth="1"/>
    <col min="12559" max="12563" width="14.44140625" style="21" customWidth="1"/>
    <col min="12564" max="12564" width="14.77734375" style="21" customWidth="1"/>
    <col min="12565" max="12565" width="10.77734375" style="21" customWidth="1"/>
    <col min="12566" max="12800" width="9.21875" style="21"/>
    <col min="12801" max="12801" width="8.44140625" style="21" customWidth="1"/>
    <col min="12802" max="12802" width="14.44140625" style="21" customWidth="1"/>
    <col min="12803" max="12803" width="15.44140625" style="21" customWidth="1"/>
    <col min="12804" max="12804" width="16.44140625" style="21" customWidth="1"/>
    <col min="12805" max="12805" width="16.21875" style="21" customWidth="1"/>
    <col min="12806" max="12806" width="13.77734375" style="21" customWidth="1"/>
    <col min="12807" max="12807" width="18.77734375" style="21" customWidth="1"/>
    <col min="12808" max="12808" width="15.77734375" style="21" customWidth="1"/>
    <col min="12809" max="12810" width="16.5546875" style="21" customWidth="1"/>
    <col min="12811" max="12811" width="13.21875" style="21" customWidth="1"/>
    <col min="12812" max="12812" width="13.44140625" style="21" customWidth="1"/>
    <col min="12813" max="12814" width="14.77734375" style="21" customWidth="1"/>
    <col min="12815" max="12819" width="14.44140625" style="21" customWidth="1"/>
    <col min="12820" max="12820" width="14.77734375" style="21" customWidth="1"/>
    <col min="12821" max="12821" width="10.77734375" style="21" customWidth="1"/>
    <col min="12822" max="13056" width="9.21875" style="21"/>
    <col min="13057" max="13057" width="8.44140625" style="21" customWidth="1"/>
    <col min="13058" max="13058" width="14.44140625" style="21" customWidth="1"/>
    <col min="13059" max="13059" width="15.44140625" style="21" customWidth="1"/>
    <col min="13060" max="13060" width="16.44140625" style="21" customWidth="1"/>
    <col min="13061" max="13061" width="16.21875" style="21" customWidth="1"/>
    <col min="13062" max="13062" width="13.77734375" style="21" customWidth="1"/>
    <col min="13063" max="13063" width="18.77734375" style="21" customWidth="1"/>
    <col min="13064" max="13064" width="15.77734375" style="21" customWidth="1"/>
    <col min="13065" max="13066" width="16.5546875" style="21" customWidth="1"/>
    <col min="13067" max="13067" width="13.21875" style="21" customWidth="1"/>
    <col min="13068" max="13068" width="13.44140625" style="21" customWidth="1"/>
    <col min="13069" max="13070" width="14.77734375" style="21" customWidth="1"/>
    <col min="13071" max="13075" width="14.44140625" style="21" customWidth="1"/>
    <col min="13076" max="13076" width="14.77734375" style="21" customWidth="1"/>
    <col min="13077" max="13077" width="10.77734375" style="21" customWidth="1"/>
    <col min="13078" max="13312" width="9.21875" style="21"/>
    <col min="13313" max="13313" width="8.44140625" style="21" customWidth="1"/>
    <col min="13314" max="13314" width="14.44140625" style="21" customWidth="1"/>
    <col min="13315" max="13315" width="15.44140625" style="21" customWidth="1"/>
    <col min="13316" max="13316" width="16.44140625" style="21" customWidth="1"/>
    <col min="13317" max="13317" width="16.21875" style="21" customWidth="1"/>
    <col min="13318" max="13318" width="13.77734375" style="21" customWidth="1"/>
    <col min="13319" max="13319" width="18.77734375" style="21" customWidth="1"/>
    <col min="13320" max="13320" width="15.77734375" style="21" customWidth="1"/>
    <col min="13321" max="13322" width="16.5546875" style="21" customWidth="1"/>
    <col min="13323" max="13323" width="13.21875" style="21" customWidth="1"/>
    <col min="13324" max="13324" width="13.44140625" style="21" customWidth="1"/>
    <col min="13325" max="13326" width="14.77734375" style="21" customWidth="1"/>
    <col min="13327" max="13331" width="14.44140625" style="21" customWidth="1"/>
    <col min="13332" max="13332" width="14.77734375" style="21" customWidth="1"/>
    <col min="13333" max="13333" width="10.77734375" style="21" customWidth="1"/>
    <col min="13334" max="13568" width="9.21875" style="21"/>
    <col min="13569" max="13569" width="8.44140625" style="21" customWidth="1"/>
    <col min="13570" max="13570" width="14.44140625" style="21" customWidth="1"/>
    <col min="13571" max="13571" width="15.44140625" style="21" customWidth="1"/>
    <col min="13572" max="13572" width="16.44140625" style="21" customWidth="1"/>
    <col min="13573" max="13573" width="16.21875" style="21" customWidth="1"/>
    <col min="13574" max="13574" width="13.77734375" style="21" customWidth="1"/>
    <col min="13575" max="13575" width="18.77734375" style="21" customWidth="1"/>
    <col min="13576" max="13576" width="15.77734375" style="21" customWidth="1"/>
    <col min="13577" max="13578" width="16.5546875" style="21" customWidth="1"/>
    <col min="13579" max="13579" width="13.21875" style="21" customWidth="1"/>
    <col min="13580" max="13580" width="13.44140625" style="21" customWidth="1"/>
    <col min="13581" max="13582" width="14.77734375" style="21" customWidth="1"/>
    <col min="13583" max="13587" width="14.44140625" style="21" customWidth="1"/>
    <col min="13588" max="13588" width="14.77734375" style="21" customWidth="1"/>
    <col min="13589" max="13589" width="10.77734375" style="21" customWidth="1"/>
    <col min="13590" max="13824" width="9.21875" style="21"/>
    <col min="13825" max="13825" width="8.44140625" style="21" customWidth="1"/>
    <col min="13826" max="13826" width="14.44140625" style="21" customWidth="1"/>
    <col min="13827" max="13827" width="15.44140625" style="21" customWidth="1"/>
    <col min="13828" max="13828" width="16.44140625" style="21" customWidth="1"/>
    <col min="13829" max="13829" width="16.21875" style="21" customWidth="1"/>
    <col min="13830" max="13830" width="13.77734375" style="21" customWidth="1"/>
    <col min="13831" max="13831" width="18.77734375" style="21" customWidth="1"/>
    <col min="13832" max="13832" width="15.77734375" style="21" customWidth="1"/>
    <col min="13833" max="13834" width="16.5546875" style="21" customWidth="1"/>
    <col min="13835" max="13835" width="13.21875" style="21" customWidth="1"/>
    <col min="13836" max="13836" width="13.44140625" style="21" customWidth="1"/>
    <col min="13837" max="13838" width="14.77734375" style="21" customWidth="1"/>
    <col min="13839" max="13843" width="14.44140625" style="21" customWidth="1"/>
    <col min="13844" max="13844" width="14.77734375" style="21" customWidth="1"/>
    <col min="13845" max="13845" width="10.77734375" style="21" customWidth="1"/>
    <col min="13846" max="14080" width="9.21875" style="21"/>
    <col min="14081" max="14081" width="8.44140625" style="21" customWidth="1"/>
    <col min="14082" max="14082" width="14.44140625" style="21" customWidth="1"/>
    <col min="14083" max="14083" width="15.44140625" style="21" customWidth="1"/>
    <col min="14084" max="14084" width="16.44140625" style="21" customWidth="1"/>
    <col min="14085" max="14085" width="16.21875" style="21" customWidth="1"/>
    <col min="14086" max="14086" width="13.77734375" style="21" customWidth="1"/>
    <col min="14087" max="14087" width="18.77734375" style="21" customWidth="1"/>
    <col min="14088" max="14088" width="15.77734375" style="21" customWidth="1"/>
    <col min="14089" max="14090" width="16.5546875" style="21" customWidth="1"/>
    <col min="14091" max="14091" width="13.21875" style="21" customWidth="1"/>
    <col min="14092" max="14092" width="13.44140625" style="21" customWidth="1"/>
    <col min="14093" max="14094" width="14.77734375" style="21" customWidth="1"/>
    <col min="14095" max="14099" width="14.44140625" style="21" customWidth="1"/>
    <col min="14100" max="14100" width="14.77734375" style="21" customWidth="1"/>
    <col min="14101" max="14101" width="10.77734375" style="21" customWidth="1"/>
    <col min="14102" max="14336" width="9.21875" style="21"/>
    <col min="14337" max="14337" width="8.44140625" style="21" customWidth="1"/>
    <col min="14338" max="14338" width="14.44140625" style="21" customWidth="1"/>
    <col min="14339" max="14339" width="15.44140625" style="21" customWidth="1"/>
    <col min="14340" max="14340" width="16.44140625" style="21" customWidth="1"/>
    <col min="14341" max="14341" width="16.21875" style="21" customWidth="1"/>
    <col min="14342" max="14342" width="13.77734375" style="21" customWidth="1"/>
    <col min="14343" max="14343" width="18.77734375" style="21" customWidth="1"/>
    <col min="14344" max="14344" width="15.77734375" style="21" customWidth="1"/>
    <col min="14345" max="14346" width="16.5546875" style="21" customWidth="1"/>
    <col min="14347" max="14347" width="13.21875" style="21" customWidth="1"/>
    <col min="14348" max="14348" width="13.44140625" style="21" customWidth="1"/>
    <col min="14349" max="14350" width="14.77734375" style="21" customWidth="1"/>
    <col min="14351" max="14355" width="14.44140625" style="21" customWidth="1"/>
    <col min="14356" max="14356" width="14.77734375" style="21" customWidth="1"/>
    <col min="14357" max="14357" width="10.77734375" style="21" customWidth="1"/>
    <col min="14358" max="14592" width="9.21875" style="21"/>
    <col min="14593" max="14593" width="8.44140625" style="21" customWidth="1"/>
    <col min="14594" max="14594" width="14.44140625" style="21" customWidth="1"/>
    <col min="14595" max="14595" width="15.44140625" style="21" customWidth="1"/>
    <col min="14596" max="14596" width="16.44140625" style="21" customWidth="1"/>
    <col min="14597" max="14597" width="16.21875" style="21" customWidth="1"/>
    <col min="14598" max="14598" width="13.77734375" style="21" customWidth="1"/>
    <col min="14599" max="14599" width="18.77734375" style="21" customWidth="1"/>
    <col min="14600" max="14600" width="15.77734375" style="21" customWidth="1"/>
    <col min="14601" max="14602" width="16.5546875" style="21" customWidth="1"/>
    <col min="14603" max="14603" width="13.21875" style="21" customWidth="1"/>
    <col min="14604" max="14604" width="13.44140625" style="21" customWidth="1"/>
    <col min="14605" max="14606" width="14.77734375" style="21" customWidth="1"/>
    <col min="14607" max="14611" width="14.44140625" style="21" customWidth="1"/>
    <col min="14612" max="14612" width="14.77734375" style="21" customWidth="1"/>
    <col min="14613" max="14613" width="10.77734375" style="21" customWidth="1"/>
    <col min="14614" max="14848" width="9.21875" style="21"/>
    <col min="14849" max="14849" width="8.44140625" style="21" customWidth="1"/>
    <col min="14850" max="14850" width="14.44140625" style="21" customWidth="1"/>
    <col min="14851" max="14851" width="15.44140625" style="21" customWidth="1"/>
    <col min="14852" max="14852" width="16.44140625" style="21" customWidth="1"/>
    <col min="14853" max="14853" width="16.21875" style="21" customWidth="1"/>
    <col min="14854" max="14854" width="13.77734375" style="21" customWidth="1"/>
    <col min="14855" max="14855" width="18.77734375" style="21" customWidth="1"/>
    <col min="14856" max="14856" width="15.77734375" style="21" customWidth="1"/>
    <col min="14857" max="14858" width="16.5546875" style="21" customWidth="1"/>
    <col min="14859" max="14859" width="13.21875" style="21" customWidth="1"/>
    <col min="14860" max="14860" width="13.44140625" style="21" customWidth="1"/>
    <col min="14861" max="14862" width="14.77734375" style="21" customWidth="1"/>
    <col min="14863" max="14867" width="14.44140625" style="21" customWidth="1"/>
    <col min="14868" max="14868" width="14.77734375" style="21" customWidth="1"/>
    <col min="14869" max="14869" width="10.77734375" style="21" customWidth="1"/>
    <col min="14870" max="15104" width="9.21875" style="21"/>
    <col min="15105" max="15105" width="8.44140625" style="21" customWidth="1"/>
    <col min="15106" max="15106" width="14.44140625" style="21" customWidth="1"/>
    <col min="15107" max="15107" width="15.44140625" style="21" customWidth="1"/>
    <col min="15108" max="15108" width="16.44140625" style="21" customWidth="1"/>
    <col min="15109" max="15109" width="16.21875" style="21" customWidth="1"/>
    <col min="15110" max="15110" width="13.77734375" style="21" customWidth="1"/>
    <col min="15111" max="15111" width="18.77734375" style="21" customWidth="1"/>
    <col min="15112" max="15112" width="15.77734375" style="21" customWidth="1"/>
    <col min="15113" max="15114" width="16.5546875" style="21" customWidth="1"/>
    <col min="15115" max="15115" width="13.21875" style="21" customWidth="1"/>
    <col min="15116" max="15116" width="13.44140625" style="21" customWidth="1"/>
    <col min="15117" max="15118" width="14.77734375" style="21" customWidth="1"/>
    <col min="15119" max="15123" width="14.44140625" style="21" customWidth="1"/>
    <col min="15124" max="15124" width="14.77734375" style="21" customWidth="1"/>
    <col min="15125" max="15125" width="10.77734375" style="21" customWidth="1"/>
    <col min="15126" max="15360" width="9.21875" style="21"/>
    <col min="15361" max="15361" width="8.44140625" style="21" customWidth="1"/>
    <col min="15362" max="15362" width="14.44140625" style="21" customWidth="1"/>
    <col min="15363" max="15363" width="15.44140625" style="21" customWidth="1"/>
    <col min="15364" max="15364" width="16.44140625" style="21" customWidth="1"/>
    <col min="15365" max="15365" width="16.21875" style="21" customWidth="1"/>
    <col min="15366" max="15366" width="13.77734375" style="21" customWidth="1"/>
    <col min="15367" max="15367" width="18.77734375" style="21" customWidth="1"/>
    <col min="15368" max="15368" width="15.77734375" style="21" customWidth="1"/>
    <col min="15369" max="15370" width="16.5546875" style="21" customWidth="1"/>
    <col min="15371" max="15371" width="13.21875" style="21" customWidth="1"/>
    <col min="15372" max="15372" width="13.44140625" style="21" customWidth="1"/>
    <col min="15373" max="15374" width="14.77734375" style="21" customWidth="1"/>
    <col min="15375" max="15379" width="14.44140625" style="21" customWidth="1"/>
    <col min="15380" max="15380" width="14.77734375" style="21" customWidth="1"/>
    <col min="15381" max="15381" width="10.77734375" style="21" customWidth="1"/>
    <col min="15382" max="15616" width="9.21875" style="21"/>
    <col min="15617" max="15617" width="8.44140625" style="21" customWidth="1"/>
    <col min="15618" max="15618" width="14.44140625" style="21" customWidth="1"/>
    <col min="15619" max="15619" width="15.44140625" style="21" customWidth="1"/>
    <col min="15620" max="15620" width="16.44140625" style="21" customWidth="1"/>
    <col min="15621" max="15621" width="16.21875" style="21" customWidth="1"/>
    <col min="15622" max="15622" width="13.77734375" style="21" customWidth="1"/>
    <col min="15623" max="15623" width="18.77734375" style="21" customWidth="1"/>
    <col min="15624" max="15624" width="15.77734375" style="21" customWidth="1"/>
    <col min="15625" max="15626" width="16.5546875" style="21" customWidth="1"/>
    <col min="15627" max="15627" width="13.21875" style="21" customWidth="1"/>
    <col min="15628" max="15628" width="13.44140625" style="21" customWidth="1"/>
    <col min="15629" max="15630" width="14.77734375" style="21" customWidth="1"/>
    <col min="15631" max="15635" width="14.44140625" style="21" customWidth="1"/>
    <col min="15636" max="15636" width="14.77734375" style="21" customWidth="1"/>
    <col min="15637" max="15637" width="10.77734375" style="21" customWidth="1"/>
    <col min="15638" max="15872" width="9.21875" style="21"/>
    <col min="15873" max="15873" width="8.44140625" style="21" customWidth="1"/>
    <col min="15874" max="15874" width="14.44140625" style="21" customWidth="1"/>
    <col min="15875" max="15875" width="15.44140625" style="21" customWidth="1"/>
    <col min="15876" max="15876" width="16.44140625" style="21" customWidth="1"/>
    <col min="15877" max="15877" width="16.21875" style="21" customWidth="1"/>
    <col min="15878" max="15878" width="13.77734375" style="21" customWidth="1"/>
    <col min="15879" max="15879" width="18.77734375" style="21" customWidth="1"/>
    <col min="15880" max="15880" width="15.77734375" style="21" customWidth="1"/>
    <col min="15881" max="15882" width="16.5546875" style="21" customWidth="1"/>
    <col min="15883" max="15883" width="13.21875" style="21" customWidth="1"/>
    <col min="15884" max="15884" width="13.44140625" style="21" customWidth="1"/>
    <col min="15885" max="15886" width="14.77734375" style="21" customWidth="1"/>
    <col min="15887" max="15891" width="14.44140625" style="21" customWidth="1"/>
    <col min="15892" max="15892" width="14.77734375" style="21" customWidth="1"/>
    <col min="15893" max="15893" width="10.77734375" style="21" customWidth="1"/>
    <col min="15894" max="16128" width="9.21875" style="21"/>
    <col min="16129" max="16129" width="8.44140625" style="21" customWidth="1"/>
    <col min="16130" max="16130" width="14.44140625" style="21" customWidth="1"/>
    <col min="16131" max="16131" width="15.44140625" style="21" customWidth="1"/>
    <col min="16132" max="16132" width="16.44140625" style="21" customWidth="1"/>
    <col min="16133" max="16133" width="16.21875" style="21" customWidth="1"/>
    <col min="16134" max="16134" width="13.77734375" style="21" customWidth="1"/>
    <col min="16135" max="16135" width="18.77734375" style="21" customWidth="1"/>
    <col min="16136" max="16136" width="15.77734375" style="21" customWidth="1"/>
    <col min="16137" max="16138" width="16.5546875" style="21" customWidth="1"/>
    <col min="16139" max="16139" width="13.21875" style="21" customWidth="1"/>
    <col min="16140" max="16140" width="13.44140625" style="21" customWidth="1"/>
    <col min="16141" max="16142" width="14.77734375" style="21" customWidth="1"/>
    <col min="16143" max="16147" width="14.44140625" style="21" customWidth="1"/>
    <col min="16148" max="16148" width="14.77734375" style="21" customWidth="1"/>
    <col min="16149" max="16149" width="10.77734375" style="21" customWidth="1"/>
    <col min="16150" max="16384" width="9.21875" style="21"/>
  </cols>
  <sheetData>
    <row r="1" spans="1:10" ht="18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</row>
    <row r="2" spans="1:10" x14ac:dyDescent="0.25">
      <c r="A2" s="22"/>
      <c r="B2" s="23"/>
      <c r="C2" s="24"/>
      <c r="D2" s="24"/>
      <c r="E2" s="25"/>
      <c r="F2" s="25"/>
    </row>
    <row r="3" spans="1:10" x14ac:dyDescent="0.25">
      <c r="A3" s="22" t="s">
        <v>206</v>
      </c>
      <c r="B3" s="429" t="str">
        <f>+CC!B12</f>
        <v>Tramo 3: km 326 - km 450</v>
      </c>
      <c r="C3" s="429"/>
      <c r="D3" s="429"/>
      <c r="E3" s="429"/>
      <c r="F3" s="429"/>
      <c r="G3" s="429"/>
      <c r="H3" s="429"/>
      <c r="I3" s="429"/>
      <c r="J3" s="27"/>
    </row>
    <row r="4" spans="1:10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</row>
    <row r="5" spans="1:10" ht="15" customHeight="1" x14ac:dyDescent="0.25">
      <c r="A5" s="430" t="str">
        <f>CONCATENATE("PLAZO: ",A42," MESES (",A43,")")</f>
        <v>PLAZO: 24 MESES (720 dias)</v>
      </c>
      <c r="B5" s="430"/>
      <c r="C5" s="430"/>
      <c r="E5" s="30" t="s">
        <v>207</v>
      </c>
    </row>
    <row r="7" spans="1:10" x14ac:dyDescent="0.25">
      <c r="C7" s="32" t="s">
        <v>208</v>
      </c>
      <c r="D7" s="431"/>
      <c r="E7" s="431"/>
      <c r="F7" s="431"/>
      <c r="H7" s="32" t="s">
        <v>209</v>
      </c>
      <c r="I7" s="33">
        <f ca="1">NOW()</f>
        <v>43616.674115740738</v>
      </c>
    </row>
    <row r="8" spans="1:10" x14ac:dyDescent="0.25">
      <c r="C8" s="32" t="str">
        <f>IF(D7=0,"MONTO ESTIMADO CON IVA:","MONTO DE CONTRATO CON IVA:")</f>
        <v>MONTO ESTIMADO CON IVA:</v>
      </c>
      <c r="D8" s="34" t="e">
        <f>+#REF!</f>
        <v>#REF!</v>
      </c>
      <c r="E8" s="35" t="s">
        <v>210</v>
      </c>
      <c r="F8" s="21" t="s">
        <v>211</v>
      </c>
      <c r="H8" s="26" t="s">
        <v>212</v>
      </c>
      <c r="I8" s="36">
        <v>1</v>
      </c>
    </row>
    <row r="9" spans="1:10" hidden="1" x14ac:dyDescent="0.25">
      <c r="C9" s="32"/>
      <c r="D9" s="34"/>
      <c r="E9" s="29" t="s">
        <v>213</v>
      </c>
      <c r="I9" s="37"/>
    </row>
    <row r="10" spans="1:10" hidden="1" x14ac:dyDescent="0.25">
      <c r="C10" s="32"/>
      <c r="D10" s="34"/>
      <c r="E10" s="29" t="s">
        <v>210</v>
      </c>
      <c r="I10" s="37"/>
    </row>
    <row r="11" spans="1:10" x14ac:dyDescent="0.25">
      <c r="B11" s="21"/>
      <c r="C11" s="32" t="str">
        <f>IF(D7=0,"MONTO ESTIMADO SIN IVA:","MONTO DE CONTRATO SIN IVA:")</f>
        <v>MONTO ESTIMADO SIN IVA:</v>
      </c>
      <c r="D11" s="38" t="e">
        <f>D8</f>
        <v>#REF!</v>
      </c>
      <c r="E11" s="39" t="s">
        <v>213</v>
      </c>
      <c r="F11" s="29"/>
    </row>
    <row r="12" spans="1:10" x14ac:dyDescent="0.25">
      <c r="B12" s="21"/>
      <c r="C12" s="32" t="s">
        <v>214</v>
      </c>
      <c r="D12" s="36">
        <v>100</v>
      </c>
      <c r="F12" s="29" t="s">
        <v>215</v>
      </c>
    </row>
    <row r="13" spans="1:10" x14ac:dyDescent="0.25">
      <c r="B13" s="21"/>
      <c r="C13" s="32" t="s">
        <v>216</v>
      </c>
      <c r="D13" s="40">
        <f>100-D12</f>
        <v>0</v>
      </c>
      <c r="F13" s="29"/>
    </row>
    <row r="14" spans="1:10" x14ac:dyDescent="0.25">
      <c r="B14" s="21"/>
      <c r="C14" s="32" t="s">
        <v>217</v>
      </c>
      <c r="D14" s="37">
        <v>20</v>
      </c>
      <c r="F14" s="29"/>
    </row>
    <row r="15" spans="1:10" x14ac:dyDescent="0.25">
      <c r="B15" s="32" t="s">
        <v>218</v>
      </c>
      <c r="C15" s="432"/>
      <c r="D15" s="432"/>
      <c r="E15" s="295" t="s">
        <v>219</v>
      </c>
      <c r="F15" s="296"/>
      <c r="H15" s="41" t="s">
        <v>220</v>
      </c>
      <c r="I15" s="36">
        <v>10</v>
      </c>
    </row>
    <row r="16" spans="1:10" ht="12.6" thickBot="1" x14ac:dyDescent="0.3">
      <c r="F16" s="42"/>
    </row>
    <row r="17" spans="1:11" ht="42" customHeight="1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20%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7"/>
    </row>
    <row r="18" spans="1:11" ht="12.75" customHeight="1" x14ac:dyDescent="0.25">
      <c r="A18" s="51">
        <v>0</v>
      </c>
      <c r="B18" s="52">
        <f>D14/100</f>
        <v>0.2</v>
      </c>
      <c r="C18" s="52">
        <v>0</v>
      </c>
      <c r="D18" s="53" t="e">
        <f>ROUND(B18*D11,0)</f>
        <v>#REF!</v>
      </c>
      <c r="E18" s="54" t="e">
        <f>D18</f>
        <v>#REF!</v>
      </c>
      <c r="F18" s="55" t="e">
        <f>E18/$E$42</f>
        <v>#REF!</v>
      </c>
      <c r="G18" s="56" t="s">
        <v>228</v>
      </c>
      <c r="H18" s="57" t="e">
        <f t="shared" ref="H18:H33" si="0">ROUND(D18*0.1,0)</f>
        <v>#REF!</v>
      </c>
      <c r="I18" s="58" t="e">
        <f t="shared" ref="I18:I42" si="1">ROUNDUP((D18+H18-J18),-(LEN(D18)-$I$15))</f>
        <v>#REF!</v>
      </c>
      <c r="J18" s="58" t="e">
        <f t="shared" ref="J18:J33" si="2">ROUNDUP(D18*$D$12/100,-(LEN(D18)-$I$15))</f>
        <v>#REF!</v>
      </c>
      <c r="K18" s="217"/>
    </row>
    <row r="19" spans="1:11" ht="12.6" thickBot="1" x14ac:dyDescent="0.3">
      <c r="A19" s="59">
        <v>1</v>
      </c>
      <c r="B19" s="60">
        <v>2.5000000000000001E-2</v>
      </c>
      <c r="C19" s="60">
        <f t="shared" ref="C19:C42" si="3">B19+C18</f>
        <v>2.5000000000000001E-2</v>
      </c>
      <c r="D19" s="61" t="e">
        <f>ROUND(B19*$D$11*(100-$D$14)/100,0)</f>
        <v>#REF!</v>
      </c>
      <c r="E19" s="62" t="e">
        <f t="shared" ref="E19:E33" si="4">E18+D19</f>
        <v>#REF!</v>
      </c>
      <c r="F19" s="63" t="e">
        <f>E19/$E$42</f>
        <v>#REF!</v>
      </c>
      <c r="G19" s="64" t="s">
        <v>35</v>
      </c>
      <c r="H19" s="65" t="e">
        <f t="shared" si="0"/>
        <v>#REF!</v>
      </c>
      <c r="I19" s="66" t="e">
        <f t="shared" si="1"/>
        <v>#REF!</v>
      </c>
      <c r="J19" s="66" t="e">
        <f t="shared" si="2"/>
        <v>#REF!</v>
      </c>
      <c r="K19" s="217"/>
    </row>
    <row r="20" spans="1:11" x14ac:dyDescent="0.25">
      <c r="A20" s="59">
        <v>2</v>
      </c>
      <c r="B20" s="60">
        <v>0.03</v>
      </c>
      <c r="C20" s="60">
        <f t="shared" si="3"/>
        <v>5.5E-2</v>
      </c>
      <c r="D20" s="61" t="e">
        <f t="shared" ref="D20:D42" si="5">ROUND(B20*$D$11*(100-$D$14)/100,0)</f>
        <v>#REF!</v>
      </c>
      <c r="E20" s="62" t="e">
        <f t="shared" si="4"/>
        <v>#REF!</v>
      </c>
      <c r="F20" s="55" t="e">
        <f t="shared" ref="F20:F42" si="6">E20/$E$42</f>
        <v>#REF!</v>
      </c>
      <c r="G20" s="64" t="s">
        <v>36</v>
      </c>
      <c r="H20" s="65" t="e">
        <f t="shared" si="0"/>
        <v>#REF!</v>
      </c>
      <c r="I20" s="66" t="e">
        <f t="shared" si="1"/>
        <v>#REF!</v>
      </c>
      <c r="J20" s="66" t="e">
        <f t="shared" si="2"/>
        <v>#REF!</v>
      </c>
      <c r="K20" s="218"/>
    </row>
    <row r="21" spans="1:11" ht="12.6" thickBot="1" x14ac:dyDescent="0.3">
      <c r="A21" s="59">
        <v>3</v>
      </c>
      <c r="B21" s="60">
        <v>3.5000000000000003E-2</v>
      </c>
      <c r="C21" s="60">
        <f>B21+C20</f>
        <v>0.09</v>
      </c>
      <c r="D21" s="61" t="e">
        <f t="shared" si="5"/>
        <v>#REF!</v>
      </c>
      <c r="E21" s="62" t="e">
        <f t="shared" si="4"/>
        <v>#REF!</v>
      </c>
      <c r="F21" s="63" t="e">
        <f t="shared" si="6"/>
        <v>#REF!</v>
      </c>
      <c r="G21" s="64" t="s">
        <v>37</v>
      </c>
      <c r="H21" s="65" t="e">
        <f t="shared" si="0"/>
        <v>#REF!</v>
      </c>
      <c r="I21" s="66" t="e">
        <f t="shared" si="1"/>
        <v>#REF!</v>
      </c>
      <c r="J21" s="66" t="e">
        <f t="shared" si="2"/>
        <v>#REF!</v>
      </c>
      <c r="K21" s="217"/>
    </row>
    <row r="22" spans="1:11" x14ac:dyDescent="0.25">
      <c r="A22" s="59">
        <v>4</v>
      </c>
      <c r="B22" s="60">
        <v>3.5000000000000003E-2</v>
      </c>
      <c r="C22" s="60">
        <f t="shared" si="3"/>
        <v>0.125</v>
      </c>
      <c r="D22" s="61" t="e">
        <f t="shared" si="5"/>
        <v>#REF!</v>
      </c>
      <c r="E22" s="62" t="e">
        <f t="shared" si="4"/>
        <v>#REF!</v>
      </c>
      <c r="F22" s="55" t="e">
        <f t="shared" si="6"/>
        <v>#REF!</v>
      </c>
      <c r="G22" s="64" t="s">
        <v>38</v>
      </c>
      <c r="H22" s="65" t="e">
        <f t="shared" si="0"/>
        <v>#REF!</v>
      </c>
      <c r="I22" s="66" t="e">
        <f t="shared" si="1"/>
        <v>#REF!</v>
      </c>
      <c r="J22" s="66" t="e">
        <f t="shared" si="2"/>
        <v>#REF!</v>
      </c>
      <c r="K22" s="219"/>
    </row>
    <row r="23" spans="1:11" ht="12.6" thickBot="1" x14ac:dyDescent="0.3">
      <c r="A23" s="59">
        <v>5</v>
      </c>
      <c r="B23" s="60">
        <v>0.04</v>
      </c>
      <c r="C23" s="60">
        <f t="shared" si="3"/>
        <v>0.16500000000000001</v>
      </c>
      <c r="D23" s="61" t="e">
        <f t="shared" si="5"/>
        <v>#REF!</v>
      </c>
      <c r="E23" s="62" t="e">
        <f t="shared" si="4"/>
        <v>#REF!</v>
      </c>
      <c r="F23" s="63" t="e">
        <f t="shared" si="6"/>
        <v>#REF!</v>
      </c>
      <c r="G23" s="64" t="s">
        <v>39</v>
      </c>
      <c r="H23" s="65" t="e">
        <f t="shared" si="0"/>
        <v>#REF!</v>
      </c>
      <c r="I23" s="66" t="e">
        <f t="shared" si="1"/>
        <v>#REF!</v>
      </c>
      <c r="J23" s="66" t="e">
        <f t="shared" si="2"/>
        <v>#REF!</v>
      </c>
      <c r="K23" s="219"/>
    </row>
    <row r="24" spans="1:11" x14ac:dyDescent="0.25">
      <c r="A24" s="59">
        <v>6</v>
      </c>
      <c r="B24" s="60">
        <v>4.4999999999999998E-2</v>
      </c>
      <c r="C24" s="60">
        <f t="shared" si="3"/>
        <v>0.21000000000000002</v>
      </c>
      <c r="D24" s="61" t="e">
        <f t="shared" si="5"/>
        <v>#REF!</v>
      </c>
      <c r="E24" s="62" t="e">
        <f t="shared" si="4"/>
        <v>#REF!</v>
      </c>
      <c r="F24" s="55" t="e">
        <f t="shared" si="6"/>
        <v>#REF!</v>
      </c>
      <c r="G24" s="64" t="s">
        <v>40</v>
      </c>
      <c r="H24" s="65" t="e">
        <f t="shared" si="0"/>
        <v>#REF!</v>
      </c>
      <c r="I24" s="66" t="e">
        <f t="shared" si="1"/>
        <v>#REF!</v>
      </c>
      <c r="J24" s="66" t="e">
        <f t="shared" si="2"/>
        <v>#REF!</v>
      </c>
      <c r="K24" s="219"/>
    </row>
    <row r="25" spans="1:11" ht="12.6" thickBot="1" x14ac:dyDescent="0.3">
      <c r="A25" s="59">
        <v>7</v>
      </c>
      <c r="B25" s="60">
        <v>4.4999999999999998E-2</v>
      </c>
      <c r="C25" s="60">
        <f t="shared" si="3"/>
        <v>0.255</v>
      </c>
      <c r="D25" s="61" t="e">
        <f t="shared" si="5"/>
        <v>#REF!</v>
      </c>
      <c r="E25" s="62" t="e">
        <f t="shared" si="4"/>
        <v>#REF!</v>
      </c>
      <c r="F25" s="63" t="e">
        <f t="shared" si="6"/>
        <v>#REF!</v>
      </c>
      <c r="G25" s="64" t="s">
        <v>41</v>
      </c>
      <c r="H25" s="65" t="e">
        <f t="shared" si="0"/>
        <v>#REF!</v>
      </c>
      <c r="I25" s="66" t="e">
        <f t="shared" si="1"/>
        <v>#REF!</v>
      </c>
      <c r="J25" s="66" t="e">
        <f t="shared" si="2"/>
        <v>#REF!</v>
      </c>
      <c r="K25" s="220"/>
    </row>
    <row r="26" spans="1:11" x14ac:dyDescent="0.25">
      <c r="A26" s="59">
        <v>8</v>
      </c>
      <c r="B26" s="60">
        <v>0.05</v>
      </c>
      <c r="C26" s="60">
        <f t="shared" si="3"/>
        <v>0.30499999999999999</v>
      </c>
      <c r="D26" s="61" t="e">
        <f t="shared" si="5"/>
        <v>#REF!</v>
      </c>
      <c r="E26" s="62" t="e">
        <f t="shared" si="4"/>
        <v>#REF!</v>
      </c>
      <c r="F26" s="55" t="e">
        <f t="shared" si="6"/>
        <v>#REF!</v>
      </c>
      <c r="G26" s="64" t="s">
        <v>42</v>
      </c>
      <c r="H26" s="65" t="e">
        <f t="shared" si="0"/>
        <v>#REF!</v>
      </c>
      <c r="I26" s="66" t="e">
        <f t="shared" si="1"/>
        <v>#REF!</v>
      </c>
      <c r="J26" s="66" t="e">
        <f t="shared" si="2"/>
        <v>#REF!</v>
      </c>
      <c r="K26" s="219"/>
    </row>
    <row r="27" spans="1:11" ht="12.6" thickBot="1" x14ac:dyDescent="0.3">
      <c r="A27" s="59">
        <v>9</v>
      </c>
      <c r="B27" s="60">
        <v>5.5E-2</v>
      </c>
      <c r="C27" s="60">
        <f t="shared" si="3"/>
        <v>0.36</v>
      </c>
      <c r="D27" s="61" t="e">
        <f t="shared" si="5"/>
        <v>#REF!</v>
      </c>
      <c r="E27" s="62" t="e">
        <f t="shared" si="4"/>
        <v>#REF!</v>
      </c>
      <c r="F27" s="63" t="e">
        <f t="shared" si="6"/>
        <v>#REF!</v>
      </c>
      <c r="G27" s="64" t="s">
        <v>43</v>
      </c>
      <c r="H27" s="65" t="e">
        <f t="shared" si="0"/>
        <v>#REF!</v>
      </c>
      <c r="I27" s="66" t="e">
        <f t="shared" si="1"/>
        <v>#REF!</v>
      </c>
      <c r="J27" s="66" t="e">
        <f t="shared" si="2"/>
        <v>#REF!</v>
      </c>
      <c r="K27" s="219"/>
    </row>
    <row r="28" spans="1:11" x14ac:dyDescent="0.25">
      <c r="A28" s="59">
        <v>10</v>
      </c>
      <c r="B28" s="60">
        <v>5.5E-2</v>
      </c>
      <c r="C28" s="60">
        <f t="shared" si="3"/>
        <v>0.41499999999999998</v>
      </c>
      <c r="D28" s="61" t="e">
        <f t="shared" si="5"/>
        <v>#REF!</v>
      </c>
      <c r="E28" s="62" t="e">
        <f t="shared" si="4"/>
        <v>#REF!</v>
      </c>
      <c r="F28" s="55" t="e">
        <f t="shared" si="6"/>
        <v>#REF!</v>
      </c>
      <c r="G28" s="64" t="s">
        <v>44</v>
      </c>
      <c r="H28" s="65" t="e">
        <f t="shared" si="0"/>
        <v>#REF!</v>
      </c>
      <c r="I28" s="66" t="e">
        <f t="shared" si="1"/>
        <v>#REF!</v>
      </c>
      <c r="J28" s="66" t="e">
        <f t="shared" si="2"/>
        <v>#REF!</v>
      </c>
      <c r="K28" s="219"/>
    </row>
    <row r="29" spans="1:11" ht="12.6" thickBot="1" x14ac:dyDescent="0.3">
      <c r="A29" s="59">
        <v>11</v>
      </c>
      <c r="B29" s="60">
        <v>5.5E-2</v>
      </c>
      <c r="C29" s="60">
        <f t="shared" si="3"/>
        <v>0.47</v>
      </c>
      <c r="D29" s="61" t="e">
        <f t="shared" si="5"/>
        <v>#REF!</v>
      </c>
      <c r="E29" s="62" t="e">
        <f t="shared" si="4"/>
        <v>#REF!</v>
      </c>
      <c r="F29" s="63" t="e">
        <f t="shared" si="6"/>
        <v>#REF!</v>
      </c>
      <c r="G29" s="64" t="s">
        <v>45</v>
      </c>
      <c r="H29" s="65" t="e">
        <f t="shared" si="0"/>
        <v>#REF!</v>
      </c>
      <c r="I29" s="66" t="e">
        <f t="shared" si="1"/>
        <v>#REF!</v>
      </c>
      <c r="J29" s="66" t="e">
        <f t="shared" si="2"/>
        <v>#REF!</v>
      </c>
      <c r="K29" s="219"/>
    </row>
    <row r="30" spans="1:11" x14ac:dyDescent="0.25">
      <c r="A30" s="59">
        <v>12</v>
      </c>
      <c r="B30" s="60">
        <v>0.06</v>
      </c>
      <c r="C30" s="60">
        <f t="shared" si="3"/>
        <v>0.53</v>
      </c>
      <c r="D30" s="61" t="e">
        <f t="shared" si="5"/>
        <v>#REF!</v>
      </c>
      <c r="E30" s="62" t="e">
        <f t="shared" si="4"/>
        <v>#REF!</v>
      </c>
      <c r="F30" s="55" t="e">
        <f t="shared" si="6"/>
        <v>#REF!</v>
      </c>
      <c r="G30" s="64" t="s">
        <v>46</v>
      </c>
      <c r="H30" s="65" t="e">
        <f t="shared" si="0"/>
        <v>#REF!</v>
      </c>
      <c r="I30" s="66" t="e">
        <f t="shared" si="1"/>
        <v>#REF!</v>
      </c>
      <c r="J30" s="66" t="e">
        <f t="shared" si="2"/>
        <v>#REF!</v>
      </c>
      <c r="K30" s="219"/>
    </row>
    <row r="31" spans="1:11" ht="12.6" thickBot="1" x14ac:dyDescent="0.3">
      <c r="A31" s="59">
        <v>13</v>
      </c>
      <c r="B31" s="60">
        <v>7.0000000000000007E-2</v>
      </c>
      <c r="C31" s="60">
        <f t="shared" si="3"/>
        <v>0.60000000000000009</v>
      </c>
      <c r="D31" s="61" t="e">
        <f t="shared" si="5"/>
        <v>#REF!</v>
      </c>
      <c r="E31" s="62" t="e">
        <f t="shared" si="4"/>
        <v>#REF!</v>
      </c>
      <c r="F31" s="63" t="e">
        <f t="shared" si="6"/>
        <v>#REF!</v>
      </c>
      <c r="G31" s="64" t="s">
        <v>47</v>
      </c>
      <c r="H31" s="65" t="e">
        <f t="shared" si="0"/>
        <v>#REF!</v>
      </c>
      <c r="I31" s="66" t="e">
        <f t="shared" si="1"/>
        <v>#REF!</v>
      </c>
      <c r="J31" s="66" t="e">
        <f t="shared" si="2"/>
        <v>#REF!</v>
      </c>
      <c r="K31" s="219"/>
    </row>
    <row r="32" spans="1:11" x14ac:dyDescent="0.25">
      <c r="A32" s="59">
        <v>14</v>
      </c>
      <c r="B32" s="60">
        <v>7.0000000000000007E-2</v>
      </c>
      <c r="C32" s="60">
        <f t="shared" si="3"/>
        <v>0.67000000000000015</v>
      </c>
      <c r="D32" s="61" t="e">
        <f t="shared" si="5"/>
        <v>#REF!</v>
      </c>
      <c r="E32" s="62" t="e">
        <f t="shared" si="4"/>
        <v>#REF!</v>
      </c>
      <c r="F32" s="55" t="e">
        <f t="shared" si="6"/>
        <v>#REF!</v>
      </c>
      <c r="G32" s="64" t="s">
        <v>48</v>
      </c>
      <c r="H32" s="65" t="e">
        <f t="shared" si="0"/>
        <v>#REF!</v>
      </c>
      <c r="I32" s="66" t="e">
        <f t="shared" si="1"/>
        <v>#REF!</v>
      </c>
      <c r="J32" s="66" t="e">
        <f t="shared" si="2"/>
        <v>#REF!</v>
      </c>
      <c r="K32" s="221"/>
    </row>
    <row r="33" spans="1:11" ht="12.6" thickBot="1" x14ac:dyDescent="0.3">
      <c r="A33" s="59">
        <v>15</v>
      </c>
      <c r="B33" s="60">
        <v>6.5000000000000002E-2</v>
      </c>
      <c r="C33" s="60">
        <f t="shared" si="3"/>
        <v>0.7350000000000001</v>
      </c>
      <c r="D33" s="61" t="e">
        <f t="shared" si="5"/>
        <v>#REF!</v>
      </c>
      <c r="E33" s="62" t="e">
        <f t="shared" si="4"/>
        <v>#REF!</v>
      </c>
      <c r="F33" s="63" t="e">
        <f t="shared" si="6"/>
        <v>#REF!</v>
      </c>
      <c r="G33" s="64" t="s">
        <v>49</v>
      </c>
      <c r="H33" s="65" t="e">
        <f t="shared" si="0"/>
        <v>#REF!</v>
      </c>
      <c r="I33" s="66" t="e">
        <f t="shared" si="1"/>
        <v>#REF!</v>
      </c>
      <c r="J33" s="66" t="e">
        <f t="shared" si="2"/>
        <v>#REF!</v>
      </c>
      <c r="K33" s="219"/>
    </row>
    <row r="34" spans="1:11" x14ac:dyDescent="0.25">
      <c r="A34" s="59">
        <v>16</v>
      </c>
      <c r="B34" s="60">
        <v>6.5000000000000002E-2</v>
      </c>
      <c r="C34" s="60">
        <f t="shared" si="3"/>
        <v>0.8</v>
      </c>
      <c r="D34" s="61" t="e">
        <f t="shared" si="5"/>
        <v>#REF!</v>
      </c>
      <c r="E34" s="62" t="e">
        <f>E33+D34</f>
        <v>#REF!</v>
      </c>
      <c r="F34" s="55" t="e">
        <f t="shared" si="6"/>
        <v>#REF!</v>
      </c>
      <c r="G34" s="64" t="s">
        <v>50</v>
      </c>
      <c r="H34" s="65" t="e">
        <f>ROUND(D34*0.1,0)</f>
        <v>#REF!</v>
      </c>
      <c r="I34" s="66" t="e">
        <f t="shared" si="1"/>
        <v>#REF!</v>
      </c>
      <c r="J34" s="66" t="e">
        <f>ROUNDUP(D34*$D$12/100,-(LEN(D34)-$I$15))</f>
        <v>#REF!</v>
      </c>
      <c r="K34" s="219"/>
    </row>
    <row r="35" spans="1:11" ht="12.6" thickBot="1" x14ac:dyDescent="0.3">
      <c r="A35" s="59">
        <v>17</v>
      </c>
      <c r="B35" s="60">
        <v>0.05</v>
      </c>
      <c r="C35" s="60">
        <f t="shared" si="3"/>
        <v>0.85000000000000009</v>
      </c>
      <c r="D35" s="61" t="e">
        <f t="shared" si="5"/>
        <v>#REF!</v>
      </c>
      <c r="E35" s="62" t="e">
        <f>E34+D35</f>
        <v>#REF!</v>
      </c>
      <c r="F35" s="63" t="e">
        <f t="shared" si="6"/>
        <v>#REF!</v>
      </c>
      <c r="G35" s="64" t="s">
        <v>51</v>
      </c>
      <c r="H35" s="65" t="e">
        <f>ROUND(D35*0.1,0)</f>
        <v>#REF!</v>
      </c>
      <c r="I35" s="66" t="e">
        <f t="shared" si="1"/>
        <v>#REF!</v>
      </c>
      <c r="J35" s="66" t="e">
        <f>ROUNDUP(D35*$D$12/100,-(LEN(D35)-$I$15))</f>
        <v>#REF!</v>
      </c>
      <c r="K35" s="219"/>
    </row>
    <row r="36" spans="1:11" ht="12.6" thickBot="1" x14ac:dyDescent="0.3">
      <c r="A36" s="71">
        <v>18</v>
      </c>
      <c r="B36" s="60">
        <v>0.05</v>
      </c>
      <c r="C36" s="60">
        <f t="shared" si="3"/>
        <v>0.90000000000000013</v>
      </c>
      <c r="D36" s="61" t="e">
        <f t="shared" si="5"/>
        <v>#REF!</v>
      </c>
      <c r="E36" s="74" t="e">
        <f>E35+D36</f>
        <v>#REF!</v>
      </c>
      <c r="F36" s="55" t="e">
        <f t="shared" si="6"/>
        <v>#REF!</v>
      </c>
      <c r="G36" s="76" t="s">
        <v>52</v>
      </c>
      <c r="H36" s="77" t="e">
        <f>ROUND(D36*0.1,0)</f>
        <v>#REF!</v>
      </c>
      <c r="I36" s="66" t="e">
        <f t="shared" si="1"/>
        <v>#REF!</v>
      </c>
      <c r="J36" s="78" t="e">
        <f>ROUNDUP(D36*$D$12/100,-(LEN(D36)-$I$15))</f>
        <v>#REF!</v>
      </c>
      <c r="K36" s="221"/>
    </row>
    <row r="37" spans="1:11" ht="12.6" thickBot="1" x14ac:dyDescent="0.3">
      <c r="A37" s="59">
        <v>19</v>
      </c>
      <c r="B37" s="60">
        <v>0.04</v>
      </c>
      <c r="C37" s="60">
        <f t="shared" si="3"/>
        <v>0.94000000000000017</v>
      </c>
      <c r="D37" s="61" t="e">
        <f t="shared" si="5"/>
        <v>#REF!</v>
      </c>
      <c r="E37" s="62" t="e">
        <f t="shared" ref="E37:E42" si="7">E36+D37</f>
        <v>#REF!</v>
      </c>
      <c r="F37" s="63" t="e">
        <f t="shared" si="6"/>
        <v>#REF!</v>
      </c>
      <c r="G37" s="64" t="s">
        <v>53</v>
      </c>
      <c r="H37" s="65" t="e">
        <f t="shared" ref="H37:H42" si="8">ROUND(D37*0.1,0)</f>
        <v>#REF!</v>
      </c>
      <c r="I37" s="66" t="e">
        <f t="shared" si="1"/>
        <v>#REF!</v>
      </c>
      <c r="J37" s="78" t="e">
        <f t="shared" ref="J37:J42" si="9">ROUNDUP(D37*$D$12/100,-(LEN(D37)-$I$15))</f>
        <v>#REF!</v>
      </c>
      <c r="K37" s="221"/>
    </row>
    <row r="38" spans="1:11" ht="12.6" thickBot="1" x14ac:dyDescent="0.3">
      <c r="A38" s="71">
        <v>20</v>
      </c>
      <c r="B38" s="60">
        <v>0.02</v>
      </c>
      <c r="C38" s="60">
        <f t="shared" si="3"/>
        <v>0.96000000000000019</v>
      </c>
      <c r="D38" s="61" t="e">
        <f t="shared" si="5"/>
        <v>#REF!</v>
      </c>
      <c r="E38" s="74" t="e">
        <f t="shared" si="7"/>
        <v>#REF!</v>
      </c>
      <c r="F38" s="55" t="e">
        <f t="shared" si="6"/>
        <v>#REF!</v>
      </c>
      <c r="G38" s="76" t="s">
        <v>54</v>
      </c>
      <c r="H38" s="77" t="e">
        <f t="shared" si="8"/>
        <v>#REF!</v>
      </c>
      <c r="I38" s="66" t="e">
        <f t="shared" si="1"/>
        <v>#REF!</v>
      </c>
      <c r="J38" s="78" t="e">
        <f t="shared" si="9"/>
        <v>#REF!</v>
      </c>
      <c r="K38" s="221"/>
    </row>
    <row r="39" spans="1:11" ht="12.6" thickBot="1" x14ac:dyDescent="0.3">
      <c r="A39" s="59">
        <v>21</v>
      </c>
      <c r="B39" s="90">
        <v>0.01</v>
      </c>
      <c r="C39" s="60">
        <f t="shared" si="3"/>
        <v>0.9700000000000002</v>
      </c>
      <c r="D39" s="61" t="e">
        <f t="shared" si="5"/>
        <v>#REF!</v>
      </c>
      <c r="E39" s="62" t="e">
        <f t="shared" si="7"/>
        <v>#REF!</v>
      </c>
      <c r="F39" s="63" t="e">
        <f t="shared" si="6"/>
        <v>#REF!</v>
      </c>
      <c r="G39" s="64" t="s">
        <v>55</v>
      </c>
      <c r="H39" s="65" t="e">
        <f t="shared" si="8"/>
        <v>#REF!</v>
      </c>
      <c r="I39" s="78" t="e">
        <f>ROUNDUP((D39+H39-J39),-(LEN(D39)-$I$15))</f>
        <v>#REF!</v>
      </c>
      <c r="J39" s="78" t="e">
        <f t="shared" si="9"/>
        <v>#REF!</v>
      </c>
      <c r="K39" s="221"/>
    </row>
    <row r="40" spans="1:11" ht="12.6" thickBot="1" x14ac:dyDescent="0.3">
      <c r="A40" s="71">
        <v>22</v>
      </c>
      <c r="B40" s="60">
        <v>0.01</v>
      </c>
      <c r="C40" s="60">
        <f t="shared" si="3"/>
        <v>0.9800000000000002</v>
      </c>
      <c r="D40" s="61" t="e">
        <f t="shared" si="5"/>
        <v>#REF!</v>
      </c>
      <c r="E40" s="74" t="e">
        <f t="shared" si="7"/>
        <v>#REF!</v>
      </c>
      <c r="F40" s="55" t="e">
        <f t="shared" si="6"/>
        <v>#REF!</v>
      </c>
      <c r="G40" s="76" t="s">
        <v>56</v>
      </c>
      <c r="H40" s="77" t="e">
        <f t="shared" si="8"/>
        <v>#REF!</v>
      </c>
      <c r="I40" s="66" t="e">
        <f t="shared" si="1"/>
        <v>#REF!</v>
      </c>
      <c r="J40" s="78" t="e">
        <f t="shared" si="9"/>
        <v>#REF!</v>
      </c>
      <c r="K40" s="221"/>
    </row>
    <row r="41" spans="1:11" ht="12.6" thickBot="1" x14ac:dyDescent="0.3">
      <c r="A41" s="59">
        <v>23</v>
      </c>
      <c r="B41" s="60">
        <v>0.01</v>
      </c>
      <c r="C41" s="60">
        <f t="shared" si="3"/>
        <v>0.99000000000000021</v>
      </c>
      <c r="D41" s="61" t="e">
        <f t="shared" si="5"/>
        <v>#REF!</v>
      </c>
      <c r="E41" s="62" t="e">
        <f t="shared" si="7"/>
        <v>#REF!</v>
      </c>
      <c r="F41" s="63" t="e">
        <f t="shared" si="6"/>
        <v>#REF!</v>
      </c>
      <c r="G41" s="64" t="s">
        <v>57</v>
      </c>
      <c r="H41" s="65" t="e">
        <f t="shared" si="8"/>
        <v>#REF!</v>
      </c>
      <c r="I41" s="66" t="e">
        <f t="shared" si="1"/>
        <v>#REF!</v>
      </c>
      <c r="J41" s="78" t="e">
        <f t="shared" si="9"/>
        <v>#REF!</v>
      </c>
      <c r="K41" s="221"/>
    </row>
    <row r="42" spans="1:11" ht="12.6" thickBot="1" x14ac:dyDescent="0.3">
      <c r="A42" s="71">
        <v>24</v>
      </c>
      <c r="B42" s="72">
        <v>0.01</v>
      </c>
      <c r="C42" s="60">
        <f t="shared" si="3"/>
        <v>1.0000000000000002</v>
      </c>
      <c r="D42" s="61" t="e">
        <f t="shared" si="5"/>
        <v>#REF!</v>
      </c>
      <c r="E42" s="74" t="e">
        <f t="shared" si="7"/>
        <v>#REF!</v>
      </c>
      <c r="F42" s="55" t="e">
        <f t="shared" si="6"/>
        <v>#REF!</v>
      </c>
      <c r="G42" s="76" t="s">
        <v>58</v>
      </c>
      <c r="H42" s="77" t="e">
        <f t="shared" si="8"/>
        <v>#REF!</v>
      </c>
      <c r="I42" s="78" t="e">
        <f t="shared" si="1"/>
        <v>#REF!</v>
      </c>
      <c r="J42" s="78" t="e">
        <f t="shared" si="9"/>
        <v>#REF!</v>
      </c>
      <c r="K42" s="221"/>
    </row>
    <row r="43" spans="1:11" ht="20.25" customHeight="1" thickBot="1" x14ac:dyDescent="0.3">
      <c r="A43" s="79" t="str">
        <f>A42*30 &amp; " dias"</f>
        <v>720 dias</v>
      </c>
      <c r="B43" s="80">
        <f>SUM(B19:B42)</f>
        <v>1.0000000000000002</v>
      </c>
      <c r="C43" s="81"/>
      <c r="D43" s="82" t="e">
        <f>SUM(D18:D42)</f>
        <v>#REF!</v>
      </c>
      <c r="E43" s="21"/>
      <c r="H43" s="21"/>
      <c r="I43" s="83" t="e">
        <f>SUM(I18:I42)</f>
        <v>#REF!</v>
      </c>
      <c r="J43" s="83" t="e">
        <f>SUM(J18:J42)</f>
        <v>#REF!</v>
      </c>
      <c r="K43" s="219"/>
    </row>
    <row r="44" spans="1:11" ht="15" customHeight="1" x14ac:dyDescent="0.25">
      <c r="A44" s="26"/>
      <c r="F44" s="29"/>
      <c r="G44" s="29"/>
      <c r="H44" s="32" t="s">
        <v>229</v>
      </c>
      <c r="I44" s="426" t="e">
        <f>I43+J43</f>
        <v>#REF!</v>
      </c>
      <c r="J44" s="427"/>
    </row>
    <row r="45" spans="1:11" x14ac:dyDescent="0.25">
      <c r="A45" s="25" t="s">
        <v>230</v>
      </c>
      <c r="B45" s="25"/>
      <c r="C45" s="25"/>
      <c r="H45" s="32" t="s">
        <v>231</v>
      </c>
      <c r="I45" s="41" t="e">
        <f>I44/1.1-D11</f>
        <v>#REF!</v>
      </c>
    </row>
    <row r="46" spans="1:11" x14ac:dyDescent="0.25">
      <c r="B46" s="84"/>
    </row>
    <row r="47" spans="1:11" x14ac:dyDescent="0.25">
      <c r="B47" s="84"/>
    </row>
    <row r="49" spans="1:27" s="87" customFormat="1" ht="12.75" customHeight="1" x14ac:dyDescent="0.25">
      <c r="A49" s="85"/>
      <c r="B49" s="86" t="s">
        <v>232</v>
      </c>
      <c r="C49" s="86" t="s">
        <v>35</v>
      </c>
      <c r="D49" s="86" t="s">
        <v>36</v>
      </c>
      <c r="E49" s="86" t="s">
        <v>37</v>
      </c>
      <c r="F49" s="86" t="s">
        <v>38</v>
      </c>
      <c r="G49" s="86" t="s">
        <v>39</v>
      </c>
      <c r="H49" s="86" t="s">
        <v>40</v>
      </c>
      <c r="I49" s="86" t="s">
        <v>41</v>
      </c>
      <c r="J49" s="86" t="s">
        <v>42</v>
      </c>
      <c r="K49" s="86" t="s">
        <v>43</v>
      </c>
      <c r="L49" s="86" t="s">
        <v>44</v>
      </c>
      <c r="M49" s="86" t="s">
        <v>45</v>
      </c>
      <c r="N49" s="86" t="s">
        <v>46</v>
      </c>
      <c r="O49" s="86" t="s">
        <v>47</v>
      </c>
      <c r="P49" s="86" t="s">
        <v>48</v>
      </c>
      <c r="Q49" s="86" t="s">
        <v>49</v>
      </c>
      <c r="R49" s="86" t="s">
        <v>50</v>
      </c>
      <c r="S49" s="86" t="s">
        <v>51</v>
      </c>
      <c r="T49" s="86" t="s">
        <v>52</v>
      </c>
      <c r="U49" s="86" t="s">
        <v>53</v>
      </c>
      <c r="V49" s="86" t="s">
        <v>54</v>
      </c>
      <c r="W49" s="86" t="s">
        <v>55</v>
      </c>
      <c r="X49" s="86" t="s">
        <v>56</v>
      </c>
      <c r="Y49" s="86" t="s">
        <v>57</v>
      </c>
      <c r="Z49" s="86" t="s">
        <v>58</v>
      </c>
    </row>
    <row r="50" spans="1:27" x14ac:dyDescent="0.25">
      <c r="A50" s="88" t="s">
        <v>233</v>
      </c>
      <c r="B50" s="61">
        <v>0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29">
        <f>SUM(B50:T50)</f>
        <v>0</v>
      </c>
      <c r="V50" s="29">
        <f t="shared" ref="V50:AA50" si="10">SUM(C50:U50)</f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</row>
    <row r="51" spans="1:27" x14ac:dyDescent="0.25">
      <c r="A51" s="88" t="s">
        <v>234</v>
      </c>
      <c r="B51" s="61" t="e">
        <f>$J18</f>
        <v>#REF!</v>
      </c>
      <c r="C51" s="61" t="e">
        <f>$J19</f>
        <v>#REF!</v>
      </c>
      <c r="D51" s="61" t="e">
        <f>$J20</f>
        <v>#REF!</v>
      </c>
      <c r="E51" s="61" t="e">
        <f>$J21</f>
        <v>#REF!</v>
      </c>
      <c r="F51" s="61" t="e">
        <f>$J22</f>
        <v>#REF!</v>
      </c>
      <c r="G51" s="61" t="e">
        <f>$J23</f>
        <v>#REF!</v>
      </c>
      <c r="H51" s="61" t="e">
        <f>$J24</f>
        <v>#REF!</v>
      </c>
      <c r="I51" s="61" t="e">
        <f>$J25</f>
        <v>#REF!</v>
      </c>
      <c r="J51" s="61" t="e">
        <f>$J26</f>
        <v>#REF!</v>
      </c>
      <c r="K51" s="61" t="e">
        <f>$J27</f>
        <v>#REF!</v>
      </c>
      <c r="L51" s="61" t="e">
        <f>$J28</f>
        <v>#REF!</v>
      </c>
      <c r="M51" s="61" t="e">
        <f>$J29</f>
        <v>#REF!</v>
      </c>
      <c r="N51" s="61" t="e">
        <f>$J30</f>
        <v>#REF!</v>
      </c>
      <c r="O51" s="61" t="e">
        <f>$J31</f>
        <v>#REF!</v>
      </c>
      <c r="P51" s="61" t="e">
        <f>$J32</f>
        <v>#REF!</v>
      </c>
      <c r="Q51" s="61" t="e">
        <f>$J33</f>
        <v>#REF!</v>
      </c>
      <c r="R51" s="61" t="e">
        <f>$J34</f>
        <v>#REF!</v>
      </c>
      <c r="S51" s="61" t="e">
        <f>$J35</f>
        <v>#REF!</v>
      </c>
      <c r="T51" s="61" t="e">
        <f>$J36</f>
        <v>#REF!</v>
      </c>
      <c r="U51" s="61" t="e">
        <f>$J37</f>
        <v>#REF!</v>
      </c>
      <c r="V51" s="61" t="e">
        <f>$J38</f>
        <v>#REF!</v>
      </c>
      <c r="W51" s="61" t="e">
        <f>$J39</f>
        <v>#REF!</v>
      </c>
      <c r="X51" s="61" t="e">
        <f>$J40</f>
        <v>#REF!</v>
      </c>
      <c r="Y51" s="61" t="e">
        <f>$J41</f>
        <v>#REF!</v>
      </c>
      <c r="Z51" s="61" t="e">
        <f>$J42</f>
        <v>#REF!</v>
      </c>
      <c r="AA51" s="29" t="e">
        <f>SUM(B51:Z51)</f>
        <v>#REF!</v>
      </c>
    </row>
    <row r="52" spans="1:27" x14ac:dyDescent="0.25">
      <c r="B52" s="61" t="e">
        <f>B50+B51</f>
        <v>#REF!</v>
      </c>
      <c r="C52" s="61" t="e">
        <f t="shared" ref="C52:Z52" si="11">C50+C51</f>
        <v>#REF!</v>
      </c>
      <c r="D52" s="61" t="e">
        <f t="shared" si="11"/>
        <v>#REF!</v>
      </c>
      <c r="E52" s="61" t="e">
        <f t="shared" si="11"/>
        <v>#REF!</v>
      </c>
      <c r="F52" s="61" t="e">
        <f t="shared" si="11"/>
        <v>#REF!</v>
      </c>
      <c r="G52" s="61" t="e">
        <f t="shared" si="11"/>
        <v>#REF!</v>
      </c>
      <c r="H52" s="61" t="e">
        <f t="shared" si="11"/>
        <v>#REF!</v>
      </c>
      <c r="I52" s="61" t="e">
        <f t="shared" si="11"/>
        <v>#REF!</v>
      </c>
      <c r="J52" s="61" t="e">
        <f t="shared" si="11"/>
        <v>#REF!</v>
      </c>
      <c r="K52" s="61" t="e">
        <f t="shared" si="11"/>
        <v>#REF!</v>
      </c>
      <c r="L52" s="61" t="e">
        <f t="shared" si="11"/>
        <v>#REF!</v>
      </c>
      <c r="M52" s="61" t="e">
        <f t="shared" si="11"/>
        <v>#REF!</v>
      </c>
      <c r="N52" s="61" t="e">
        <f t="shared" si="11"/>
        <v>#REF!</v>
      </c>
      <c r="O52" s="61" t="e">
        <f t="shared" si="11"/>
        <v>#REF!</v>
      </c>
      <c r="P52" s="61" t="e">
        <f t="shared" si="11"/>
        <v>#REF!</v>
      </c>
      <c r="Q52" s="61" t="e">
        <f t="shared" si="11"/>
        <v>#REF!</v>
      </c>
      <c r="R52" s="61" t="e">
        <f t="shared" si="11"/>
        <v>#REF!</v>
      </c>
      <c r="S52" s="61" t="e">
        <f t="shared" si="11"/>
        <v>#REF!</v>
      </c>
      <c r="T52" s="61" t="e">
        <f t="shared" si="11"/>
        <v>#REF!</v>
      </c>
      <c r="U52" s="61" t="e">
        <f t="shared" si="11"/>
        <v>#REF!</v>
      </c>
      <c r="V52" s="61" t="e">
        <f t="shared" si="11"/>
        <v>#REF!</v>
      </c>
      <c r="W52" s="61" t="e">
        <f t="shared" si="11"/>
        <v>#REF!</v>
      </c>
      <c r="X52" s="61" t="e">
        <f t="shared" si="11"/>
        <v>#REF!</v>
      </c>
      <c r="Y52" s="61" t="e">
        <f t="shared" si="11"/>
        <v>#REF!</v>
      </c>
      <c r="Z52" s="61" t="e">
        <f t="shared" si="11"/>
        <v>#REF!</v>
      </c>
      <c r="AA52" s="61" t="e">
        <f>U50+AA51</f>
        <v>#REF!</v>
      </c>
    </row>
    <row r="53" spans="1:27" x14ac:dyDescent="0.25">
      <c r="B53" s="89" t="e">
        <f>SUM(B52:Z52)</f>
        <v>#REF!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AA53"/>
  <sheetViews>
    <sheetView showGridLines="0" topLeftCell="A14" zoomScale="70" zoomScaleNormal="70" workbookViewId="0">
      <selection activeCell="D11" sqref="D11"/>
    </sheetView>
  </sheetViews>
  <sheetFormatPr defaultColWidth="9.21875" defaultRowHeight="12" x14ac:dyDescent="0.25"/>
  <cols>
    <col min="1" max="1" width="8.44140625" style="21" customWidth="1"/>
    <col min="2" max="2" width="14.44140625" style="31" customWidth="1"/>
    <col min="3" max="3" width="15.44140625" style="29" customWidth="1"/>
    <col min="4" max="4" width="16.44140625" style="29" customWidth="1"/>
    <col min="5" max="5" width="16.21875" style="29" customWidth="1"/>
    <col min="6" max="6" width="13.77734375" style="21" customWidth="1"/>
    <col min="7" max="7" width="18.77734375" style="21" customWidth="1"/>
    <col min="8" max="8" width="15.77734375" style="26" customWidth="1"/>
    <col min="9" max="10" width="16.5546875" style="21" customWidth="1"/>
    <col min="11" max="11" width="13.21875" style="21" customWidth="1"/>
    <col min="12" max="12" width="13.44140625" style="21" customWidth="1"/>
    <col min="13" max="14" width="14.77734375" style="21" customWidth="1"/>
    <col min="15" max="19" width="14.44140625" style="21" customWidth="1"/>
    <col min="20" max="20" width="14.77734375" style="21" customWidth="1"/>
    <col min="21" max="21" width="10.77734375" style="21" customWidth="1"/>
    <col min="22" max="22" width="9.21875" style="21"/>
    <col min="23" max="23" width="10.21875" style="21" customWidth="1"/>
    <col min="24" max="26" width="9.21875" style="21"/>
    <col min="27" max="27" width="10" style="21" customWidth="1"/>
    <col min="28" max="256" width="9.21875" style="21"/>
    <col min="257" max="257" width="8.44140625" style="21" customWidth="1"/>
    <col min="258" max="258" width="14.44140625" style="21" customWidth="1"/>
    <col min="259" max="259" width="15.44140625" style="21" customWidth="1"/>
    <col min="260" max="260" width="16.44140625" style="21" customWidth="1"/>
    <col min="261" max="261" width="16.21875" style="21" customWidth="1"/>
    <col min="262" max="262" width="13.77734375" style="21" customWidth="1"/>
    <col min="263" max="263" width="18.77734375" style="21" customWidth="1"/>
    <col min="264" max="264" width="15.77734375" style="21" customWidth="1"/>
    <col min="265" max="266" width="16.5546875" style="21" customWidth="1"/>
    <col min="267" max="267" width="13.21875" style="21" customWidth="1"/>
    <col min="268" max="268" width="13.44140625" style="21" customWidth="1"/>
    <col min="269" max="270" width="14.77734375" style="21" customWidth="1"/>
    <col min="271" max="275" width="14.44140625" style="21" customWidth="1"/>
    <col min="276" max="276" width="14.77734375" style="21" customWidth="1"/>
    <col min="277" max="277" width="10.77734375" style="21" customWidth="1"/>
    <col min="278" max="512" width="9.21875" style="21"/>
    <col min="513" max="513" width="8.44140625" style="21" customWidth="1"/>
    <col min="514" max="514" width="14.44140625" style="21" customWidth="1"/>
    <col min="515" max="515" width="15.44140625" style="21" customWidth="1"/>
    <col min="516" max="516" width="16.44140625" style="21" customWidth="1"/>
    <col min="517" max="517" width="16.21875" style="21" customWidth="1"/>
    <col min="518" max="518" width="13.77734375" style="21" customWidth="1"/>
    <col min="519" max="519" width="18.77734375" style="21" customWidth="1"/>
    <col min="520" max="520" width="15.77734375" style="21" customWidth="1"/>
    <col min="521" max="522" width="16.5546875" style="21" customWidth="1"/>
    <col min="523" max="523" width="13.21875" style="21" customWidth="1"/>
    <col min="524" max="524" width="13.44140625" style="21" customWidth="1"/>
    <col min="525" max="526" width="14.77734375" style="21" customWidth="1"/>
    <col min="527" max="531" width="14.44140625" style="21" customWidth="1"/>
    <col min="532" max="532" width="14.77734375" style="21" customWidth="1"/>
    <col min="533" max="533" width="10.77734375" style="21" customWidth="1"/>
    <col min="534" max="768" width="9.21875" style="21"/>
    <col min="769" max="769" width="8.44140625" style="21" customWidth="1"/>
    <col min="770" max="770" width="14.44140625" style="21" customWidth="1"/>
    <col min="771" max="771" width="15.44140625" style="21" customWidth="1"/>
    <col min="772" max="772" width="16.44140625" style="21" customWidth="1"/>
    <col min="773" max="773" width="16.21875" style="21" customWidth="1"/>
    <col min="774" max="774" width="13.77734375" style="21" customWidth="1"/>
    <col min="775" max="775" width="18.77734375" style="21" customWidth="1"/>
    <col min="776" max="776" width="15.77734375" style="21" customWidth="1"/>
    <col min="777" max="778" width="16.5546875" style="21" customWidth="1"/>
    <col min="779" max="779" width="13.21875" style="21" customWidth="1"/>
    <col min="780" max="780" width="13.44140625" style="21" customWidth="1"/>
    <col min="781" max="782" width="14.77734375" style="21" customWidth="1"/>
    <col min="783" max="787" width="14.44140625" style="21" customWidth="1"/>
    <col min="788" max="788" width="14.77734375" style="21" customWidth="1"/>
    <col min="789" max="789" width="10.77734375" style="21" customWidth="1"/>
    <col min="790" max="1024" width="9.21875" style="21"/>
    <col min="1025" max="1025" width="8.44140625" style="21" customWidth="1"/>
    <col min="1026" max="1026" width="14.44140625" style="21" customWidth="1"/>
    <col min="1027" max="1027" width="15.44140625" style="21" customWidth="1"/>
    <col min="1028" max="1028" width="16.44140625" style="21" customWidth="1"/>
    <col min="1029" max="1029" width="16.21875" style="21" customWidth="1"/>
    <col min="1030" max="1030" width="13.77734375" style="21" customWidth="1"/>
    <col min="1031" max="1031" width="18.77734375" style="21" customWidth="1"/>
    <col min="1032" max="1032" width="15.77734375" style="21" customWidth="1"/>
    <col min="1033" max="1034" width="16.5546875" style="21" customWidth="1"/>
    <col min="1035" max="1035" width="13.21875" style="21" customWidth="1"/>
    <col min="1036" max="1036" width="13.44140625" style="21" customWidth="1"/>
    <col min="1037" max="1038" width="14.77734375" style="21" customWidth="1"/>
    <col min="1039" max="1043" width="14.44140625" style="21" customWidth="1"/>
    <col min="1044" max="1044" width="14.77734375" style="21" customWidth="1"/>
    <col min="1045" max="1045" width="10.77734375" style="21" customWidth="1"/>
    <col min="1046" max="1280" width="9.21875" style="21"/>
    <col min="1281" max="1281" width="8.44140625" style="21" customWidth="1"/>
    <col min="1282" max="1282" width="14.44140625" style="21" customWidth="1"/>
    <col min="1283" max="1283" width="15.44140625" style="21" customWidth="1"/>
    <col min="1284" max="1284" width="16.44140625" style="21" customWidth="1"/>
    <col min="1285" max="1285" width="16.21875" style="21" customWidth="1"/>
    <col min="1286" max="1286" width="13.77734375" style="21" customWidth="1"/>
    <col min="1287" max="1287" width="18.77734375" style="21" customWidth="1"/>
    <col min="1288" max="1288" width="15.77734375" style="21" customWidth="1"/>
    <col min="1289" max="1290" width="16.5546875" style="21" customWidth="1"/>
    <col min="1291" max="1291" width="13.21875" style="21" customWidth="1"/>
    <col min="1292" max="1292" width="13.44140625" style="21" customWidth="1"/>
    <col min="1293" max="1294" width="14.77734375" style="21" customWidth="1"/>
    <col min="1295" max="1299" width="14.44140625" style="21" customWidth="1"/>
    <col min="1300" max="1300" width="14.77734375" style="21" customWidth="1"/>
    <col min="1301" max="1301" width="10.77734375" style="21" customWidth="1"/>
    <col min="1302" max="1536" width="9.21875" style="21"/>
    <col min="1537" max="1537" width="8.44140625" style="21" customWidth="1"/>
    <col min="1538" max="1538" width="14.44140625" style="21" customWidth="1"/>
    <col min="1539" max="1539" width="15.44140625" style="21" customWidth="1"/>
    <col min="1540" max="1540" width="16.44140625" style="21" customWidth="1"/>
    <col min="1541" max="1541" width="16.21875" style="21" customWidth="1"/>
    <col min="1542" max="1542" width="13.77734375" style="21" customWidth="1"/>
    <col min="1543" max="1543" width="18.77734375" style="21" customWidth="1"/>
    <col min="1544" max="1544" width="15.77734375" style="21" customWidth="1"/>
    <col min="1545" max="1546" width="16.5546875" style="21" customWidth="1"/>
    <col min="1547" max="1547" width="13.21875" style="21" customWidth="1"/>
    <col min="1548" max="1548" width="13.44140625" style="21" customWidth="1"/>
    <col min="1549" max="1550" width="14.77734375" style="21" customWidth="1"/>
    <col min="1551" max="1555" width="14.44140625" style="21" customWidth="1"/>
    <col min="1556" max="1556" width="14.77734375" style="21" customWidth="1"/>
    <col min="1557" max="1557" width="10.77734375" style="21" customWidth="1"/>
    <col min="1558" max="1792" width="9.21875" style="21"/>
    <col min="1793" max="1793" width="8.44140625" style="21" customWidth="1"/>
    <col min="1794" max="1794" width="14.44140625" style="21" customWidth="1"/>
    <col min="1795" max="1795" width="15.44140625" style="21" customWidth="1"/>
    <col min="1796" max="1796" width="16.44140625" style="21" customWidth="1"/>
    <col min="1797" max="1797" width="16.21875" style="21" customWidth="1"/>
    <col min="1798" max="1798" width="13.77734375" style="21" customWidth="1"/>
    <col min="1799" max="1799" width="18.77734375" style="21" customWidth="1"/>
    <col min="1800" max="1800" width="15.77734375" style="21" customWidth="1"/>
    <col min="1801" max="1802" width="16.5546875" style="21" customWidth="1"/>
    <col min="1803" max="1803" width="13.21875" style="21" customWidth="1"/>
    <col min="1804" max="1804" width="13.44140625" style="21" customWidth="1"/>
    <col min="1805" max="1806" width="14.77734375" style="21" customWidth="1"/>
    <col min="1807" max="1811" width="14.44140625" style="21" customWidth="1"/>
    <col min="1812" max="1812" width="14.77734375" style="21" customWidth="1"/>
    <col min="1813" max="1813" width="10.77734375" style="21" customWidth="1"/>
    <col min="1814" max="2048" width="9.21875" style="21"/>
    <col min="2049" max="2049" width="8.44140625" style="21" customWidth="1"/>
    <col min="2050" max="2050" width="14.44140625" style="21" customWidth="1"/>
    <col min="2051" max="2051" width="15.44140625" style="21" customWidth="1"/>
    <col min="2052" max="2052" width="16.44140625" style="21" customWidth="1"/>
    <col min="2053" max="2053" width="16.21875" style="21" customWidth="1"/>
    <col min="2054" max="2054" width="13.77734375" style="21" customWidth="1"/>
    <col min="2055" max="2055" width="18.77734375" style="21" customWidth="1"/>
    <col min="2056" max="2056" width="15.77734375" style="21" customWidth="1"/>
    <col min="2057" max="2058" width="16.5546875" style="21" customWidth="1"/>
    <col min="2059" max="2059" width="13.21875" style="21" customWidth="1"/>
    <col min="2060" max="2060" width="13.44140625" style="21" customWidth="1"/>
    <col min="2061" max="2062" width="14.77734375" style="21" customWidth="1"/>
    <col min="2063" max="2067" width="14.44140625" style="21" customWidth="1"/>
    <col min="2068" max="2068" width="14.77734375" style="21" customWidth="1"/>
    <col min="2069" max="2069" width="10.77734375" style="21" customWidth="1"/>
    <col min="2070" max="2304" width="9.21875" style="21"/>
    <col min="2305" max="2305" width="8.44140625" style="21" customWidth="1"/>
    <col min="2306" max="2306" width="14.44140625" style="21" customWidth="1"/>
    <col min="2307" max="2307" width="15.44140625" style="21" customWidth="1"/>
    <col min="2308" max="2308" width="16.44140625" style="21" customWidth="1"/>
    <col min="2309" max="2309" width="16.21875" style="21" customWidth="1"/>
    <col min="2310" max="2310" width="13.77734375" style="21" customWidth="1"/>
    <col min="2311" max="2311" width="18.77734375" style="21" customWidth="1"/>
    <col min="2312" max="2312" width="15.77734375" style="21" customWidth="1"/>
    <col min="2313" max="2314" width="16.5546875" style="21" customWidth="1"/>
    <col min="2315" max="2315" width="13.21875" style="21" customWidth="1"/>
    <col min="2316" max="2316" width="13.44140625" style="21" customWidth="1"/>
    <col min="2317" max="2318" width="14.77734375" style="21" customWidth="1"/>
    <col min="2319" max="2323" width="14.44140625" style="21" customWidth="1"/>
    <col min="2324" max="2324" width="14.77734375" style="21" customWidth="1"/>
    <col min="2325" max="2325" width="10.77734375" style="21" customWidth="1"/>
    <col min="2326" max="2560" width="9.21875" style="21"/>
    <col min="2561" max="2561" width="8.44140625" style="21" customWidth="1"/>
    <col min="2562" max="2562" width="14.44140625" style="21" customWidth="1"/>
    <col min="2563" max="2563" width="15.44140625" style="21" customWidth="1"/>
    <col min="2564" max="2564" width="16.44140625" style="21" customWidth="1"/>
    <col min="2565" max="2565" width="16.21875" style="21" customWidth="1"/>
    <col min="2566" max="2566" width="13.77734375" style="21" customWidth="1"/>
    <col min="2567" max="2567" width="18.77734375" style="21" customWidth="1"/>
    <col min="2568" max="2568" width="15.77734375" style="21" customWidth="1"/>
    <col min="2569" max="2570" width="16.5546875" style="21" customWidth="1"/>
    <col min="2571" max="2571" width="13.21875" style="21" customWidth="1"/>
    <col min="2572" max="2572" width="13.44140625" style="21" customWidth="1"/>
    <col min="2573" max="2574" width="14.77734375" style="21" customWidth="1"/>
    <col min="2575" max="2579" width="14.44140625" style="21" customWidth="1"/>
    <col min="2580" max="2580" width="14.77734375" style="21" customWidth="1"/>
    <col min="2581" max="2581" width="10.77734375" style="21" customWidth="1"/>
    <col min="2582" max="2816" width="9.21875" style="21"/>
    <col min="2817" max="2817" width="8.44140625" style="21" customWidth="1"/>
    <col min="2818" max="2818" width="14.44140625" style="21" customWidth="1"/>
    <col min="2819" max="2819" width="15.44140625" style="21" customWidth="1"/>
    <col min="2820" max="2820" width="16.44140625" style="21" customWidth="1"/>
    <col min="2821" max="2821" width="16.21875" style="21" customWidth="1"/>
    <col min="2822" max="2822" width="13.77734375" style="21" customWidth="1"/>
    <col min="2823" max="2823" width="18.77734375" style="21" customWidth="1"/>
    <col min="2824" max="2824" width="15.77734375" style="21" customWidth="1"/>
    <col min="2825" max="2826" width="16.5546875" style="21" customWidth="1"/>
    <col min="2827" max="2827" width="13.21875" style="21" customWidth="1"/>
    <col min="2828" max="2828" width="13.44140625" style="21" customWidth="1"/>
    <col min="2829" max="2830" width="14.77734375" style="21" customWidth="1"/>
    <col min="2831" max="2835" width="14.44140625" style="21" customWidth="1"/>
    <col min="2836" max="2836" width="14.77734375" style="21" customWidth="1"/>
    <col min="2837" max="2837" width="10.77734375" style="21" customWidth="1"/>
    <col min="2838" max="3072" width="9.21875" style="21"/>
    <col min="3073" max="3073" width="8.44140625" style="21" customWidth="1"/>
    <col min="3074" max="3074" width="14.44140625" style="21" customWidth="1"/>
    <col min="3075" max="3075" width="15.44140625" style="21" customWidth="1"/>
    <col min="3076" max="3076" width="16.44140625" style="21" customWidth="1"/>
    <col min="3077" max="3077" width="16.21875" style="21" customWidth="1"/>
    <col min="3078" max="3078" width="13.77734375" style="21" customWidth="1"/>
    <col min="3079" max="3079" width="18.77734375" style="21" customWidth="1"/>
    <col min="3080" max="3080" width="15.77734375" style="21" customWidth="1"/>
    <col min="3081" max="3082" width="16.5546875" style="21" customWidth="1"/>
    <col min="3083" max="3083" width="13.21875" style="21" customWidth="1"/>
    <col min="3084" max="3084" width="13.44140625" style="21" customWidth="1"/>
    <col min="3085" max="3086" width="14.77734375" style="21" customWidth="1"/>
    <col min="3087" max="3091" width="14.44140625" style="21" customWidth="1"/>
    <col min="3092" max="3092" width="14.77734375" style="21" customWidth="1"/>
    <col min="3093" max="3093" width="10.77734375" style="21" customWidth="1"/>
    <col min="3094" max="3328" width="9.21875" style="21"/>
    <col min="3329" max="3329" width="8.44140625" style="21" customWidth="1"/>
    <col min="3330" max="3330" width="14.44140625" style="21" customWidth="1"/>
    <col min="3331" max="3331" width="15.44140625" style="21" customWidth="1"/>
    <col min="3332" max="3332" width="16.44140625" style="21" customWidth="1"/>
    <col min="3333" max="3333" width="16.21875" style="21" customWidth="1"/>
    <col min="3334" max="3334" width="13.77734375" style="21" customWidth="1"/>
    <col min="3335" max="3335" width="18.77734375" style="21" customWidth="1"/>
    <col min="3336" max="3336" width="15.77734375" style="21" customWidth="1"/>
    <col min="3337" max="3338" width="16.5546875" style="21" customWidth="1"/>
    <col min="3339" max="3339" width="13.21875" style="21" customWidth="1"/>
    <col min="3340" max="3340" width="13.44140625" style="21" customWidth="1"/>
    <col min="3341" max="3342" width="14.77734375" style="21" customWidth="1"/>
    <col min="3343" max="3347" width="14.44140625" style="21" customWidth="1"/>
    <col min="3348" max="3348" width="14.77734375" style="21" customWidth="1"/>
    <col min="3349" max="3349" width="10.77734375" style="21" customWidth="1"/>
    <col min="3350" max="3584" width="9.21875" style="21"/>
    <col min="3585" max="3585" width="8.44140625" style="21" customWidth="1"/>
    <col min="3586" max="3586" width="14.44140625" style="21" customWidth="1"/>
    <col min="3587" max="3587" width="15.44140625" style="21" customWidth="1"/>
    <col min="3588" max="3588" width="16.44140625" style="21" customWidth="1"/>
    <col min="3589" max="3589" width="16.21875" style="21" customWidth="1"/>
    <col min="3590" max="3590" width="13.77734375" style="21" customWidth="1"/>
    <col min="3591" max="3591" width="18.77734375" style="21" customWidth="1"/>
    <col min="3592" max="3592" width="15.77734375" style="21" customWidth="1"/>
    <col min="3593" max="3594" width="16.5546875" style="21" customWidth="1"/>
    <col min="3595" max="3595" width="13.21875" style="21" customWidth="1"/>
    <col min="3596" max="3596" width="13.44140625" style="21" customWidth="1"/>
    <col min="3597" max="3598" width="14.77734375" style="21" customWidth="1"/>
    <col min="3599" max="3603" width="14.44140625" style="21" customWidth="1"/>
    <col min="3604" max="3604" width="14.77734375" style="21" customWidth="1"/>
    <col min="3605" max="3605" width="10.77734375" style="21" customWidth="1"/>
    <col min="3606" max="3840" width="9.21875" style="21"/>
    <col min="3841" max="3841" width="8.44140625" style="21" customWidth="1"/>
    <col min="3842" max="3842" width="14.44140625" style="21" customWidth="1"/>
    <col min="3843" max="3843" width="15.44140625" style="21" customWidth="1"/>
    <col min="3844" max="3844" width="16.44140625" style="21" customWidth="1"/>
    <col min="3845" max="3845" width="16.21875" style="21" customWidth="1"/>
    <col min="3846" max="3846" width="13.77734375" style="21" customWidth="1"/>
    <col min="3847" max="3847" width="18.77734375" style="21" customWidth="1"/>
    <col min="3848" max="3848" width="15.77734375" style="21" customWidth="1"/>
    <col min="3849" max="3850" width="16.5546875" style="21" customWidth="1"/>
    <col min="3851" max="3851" width="13.21875" style="21" customWidth="1"/>
    <col min="3852" max="3852" width="13.44140625" style="21" customWidth="1"/>
    <col min="3853" max="3854" width="14.77734375" style="21" customWidth="1"/>
    <col min="3855" max="3859" width="14.44140625" style="21" customWidth="1"/>
    <col min="3860" max="3860" width="14.77734375" style="21" customWidth="1"/>
    <col min="3861" max="3861" width="10.77734375" style="21" customWidth="1"/>
    <col min="3862" max="4096" width="9.21875" style="21"/>
    <col min="4097" max="4097" width="8.44140625" style="21" customWidth="1"/>
    <col min="4098" max="4098" width="14.44140625" style="21" customWidth="1"/>
    <col min="4099" max="4099" width="15.44140625" style="21" customWidth="1"/>
    <col min="4100" max="4100" width="16.44140625" style="21" customWidth="1"/>
    <col min="4101" max="4101" width="16.21875" style="21" customWidth="1"/>
    <col min="4102" max="4102" width="13.77734375" style="21" customWidth="1"/>
    <col min="4103" max="4103" width="18.77734375" style="21" customWidth="1"/>
    <col min="4104" max="4104" width="15.77734375" style="21" customWidth="1"/>
    <col min="4105" max="4106" width="16.5546875" style="21" customWidth="1"/>
    <col min="4107" max="4107" width="13.21875" style="21" customWidth="1"/>
    <col min="4108" max="4108" width="13.44140625" style="21" customWidth="1"/>
    <col min="4109" max="4110" width="14.77734375" style="21" customWidth="1"/>
    <col min="4111" max="4115" width="14.44140625" style="21" customWidth="1"/>
    <col min="4116" max="4116" width="14.77734375" style="21" customWidth="1"/>
    <col min="4117" max="4117" width="10.77734375" style="21" customWidth="1"/>
    <col min="4118" max="4352" width="9.21875" style="21"/>
    <col min="4353" max="4353" width="8.44140625" style="21" customWidth="1"/>
    <col min="4354" max="4354" width="14.44140625" style="21" customWidth="1"/>
    <col min="4355" max="4355" width="15.44140625" style="21" customWidth="1"/>
    <col min="4356" max="4356" width="16.44140625" style="21" customWidth="1"/>
    <col min="4357" max="4357" width="16.21875" style="21" customWidth="1"/>
    <col min="4358" max="4358" width="13.77734375" style="21" customWidth="1"/>
    <col min="4359" max="4359" width="18.77734375" style="21" customWidth="1"/>
    <col min="4360" max="4360" width="15.77734375" style="21" customWidth="1"/>
    <col min="4361" max="4362" width="16.5546875" style="21" customWidth="1"/>
    <col min="4363" max="4363" width="13.21875" style="21" customWidth="1"/>
    <col min="4364" max="4364" width="13.44140625" style="21" customWidth="1"/>
    <col min="4365" max="4366" width="14.77734375" style="21" customWidth="1"/>
    <col min="4367" max="4371" width="14.44140625" style="21" customWidth="1"/>
    <col min="4372" max="4372" width="14.77734375" style="21" customWidth="1"/>
    <col min="4373" max="4373" width="10.77734375" style="21" customWidth="1"/>
    <col min="4374" max="4608" width="9.21875" style="21"/>
    <col min="4609" max="4609" width="8.44140625" style="21" customWidth="1"/>
    <col min="4610" max="4610" width="14.44140625" style="21" customWidth="1"/>
    <col min="4611" max="4611" width="15.44140625" style="21" customWidth="1"/>
    <col min="4612" max="4612" width="16.44140625" style="21" customWidth="1"/>
    <col min="4613" max="4613" width="16.21875" style="21" customWidth="1"/>
    <col min="4614" max="4614" width="13.77734375" style="21" customWidth="1"/>
    <col min="4615" max="4615" width="18.77734375" style="21" customWidth="1"/>
    <col min="4616" max="4616" width="15.77734375" style="21" customWidth="1"/>
    <col min="4617" max="4618" width="16.5546875" style="21" customWidth="1"/>
    <col min="4619" max="4619" width="13.21875" style="21" customWidth="1"/>
    <col min="4620" max="4620" width="13.44140625" style="21" customWidth="1"/>
    <col min="4621" max="4622" width="14.77734375" style="21" customWidth="1"/>
    <col min="4623" max="4627" width="14.44140625" style="21" customWidth="1"/>
    <col min="4628" max="4628" width="14.77734375" style="21" customWidth="1"/>
    <col min="4629" max="4629" width="10.77734375" style="21" customWidth="1"/>
    <col min="4630" max="4864" width="9.21875" style="21"/>
    <col min="4865" max="4865" width="8.44140625" style="21" customWidth="1"/>
    <col min="4866" max="4866" width="14.44140625" style="21" customWidth="1"/>
    <col min="4867" max="4867" width="15.44140625" style="21" customWidth="1"/>
    <col min="4868" max="4868" width="16.44140625" style="21" customWidth="1"/>
    <col min="4869" max="4869" width="16.21875" style="21" customWidth="1"/>
    <col min="4870" max="4870" width="13.77734375" style="21" customWidth="1"/>
    <col min="4871" max="4871" width="18.77734375" style="21" customWidth="1"/>
    <col min="4872" max="4872" width="15.77734375" style="21" customWidth="1"/>
    <col min="4873" max="4874" width="16.5546875" style="21" customWidth="1"/>
    <col min="4875" max="4875" width="13.21875" style="21" customWidth="1"/>
    <col min="4876" max="4876" width="13.44140625" style="21" customWidth="1"/>
    <col min="4877" max="4878" width="14.77734375" style="21" customWidth="1"/>
    <col min="4879" max="4883" width="14.44140625" style="21" customWidth="1"/>
    <col min="4884" max="4884" width="14.77734375" style="21" customWidth="1"/>
    <col min="4885" max="4885" width="10.77734375" style="21" customWidth="1"/>
    <col min="4886" max="5120" width="9.21875" style="21"/>
    <col min="5121" max="5121" width="8.44140625" style="21" customWidth="1"/>
    <col min="5122" max="5122" width="14.44140625" style="21" customWidth="1"/>
    <col min="5123" max="5123" width="15.44140625" style="21" customWidth="1"/>
    <col min="5124" max="5124" width="16.44140625" style="21" customWidth="1"/>
    <col min="5125" max="5125" width="16.21875" style="21" customWidth="1"/>
    <col min="5126" max="5126" width="13.77734375" style="21" customWidth="1"/>
    <col min="5127" max="5127" width="18.77734375" style="21" customWidth="1"/>
    <col min="5128" max="5128" width="15.77734375" style="21" customWidth="1"/>
    <col min="5129" max="5130" width="16.5546875" style="21" customWidth="1"/>
    <col min="5131" max="5131" width="13.21875" style="21" customWidth="1"/>
    <col min="5132" max="5132" width="13.44140625" style="21" customWidth="1"/>
    <col min="5133" max="5134" width="14.77734375" style="21" customWidth="1"/>
    <col min="5135" max="5139" width="14.44140625" style="21" customWidth="1"/>
    <col min="5140" max="5140" width="14.77734375" style="21" customWidth="1"/>
    <col min="5141" max="5141" width="10.77734375" style="21" customWidth="1"/>
    <col min="5142" max="5376" width="9.21875" style="21"/>
    <col min="5377" max="5377" width="8.44140625" style="21" customWidth="1"/>
    <col min="5378" max="5378" width="14.44140625" style="21" customWidth="1"/>
    <col min="5379" max="5379" width="15.44140625" style="21" customWidth="1"/>
    <col min="5380" max="5380" width="16.44140625" style="21" customWidth="1"/>
    <col min="5381" max="5381" width="16.21875" style="21" customWidth="1"/>
    <col min="5382" max="5382" width="13.77734375" style="21" customWidth="1"/>
    <col min="5383" max="5383" width="18.77734375" style="21" customWidth="1"/>
    <col min="5384" max="5384" width="15.77734375" style="21" customWidth="1"/>
    <col min="5385" max="5386" width="16.5546875" style="21" customWidth="1"/>
    <col min="5387" max="5387" width="13.21875" style="21" customWidth="1"/>
    <col min="5388" max="5388" width="13.44140625" style="21" customWidth="1"/>
    <col min="5389" max="5390" width="14.77734375" style="21" customWidth="1"/>
    <col min="5391" max="5395" width="14.44140625" style="21" customWidth="1"/>
    <col min="5396" max="5396" width="14.77734375" style="21" customWidth="1"/>
    <col min="5397" max="5397" width="10.77734375" style="21" customWidth="1"/>
    <col min="5398" max="5632" width="9.21875" style="21"/>
    <col min="5633" max="5633" width="8.44140625" style="21" customWidth="1"/>
    <col min="5634" max="5634" width="14.44140625" style="21" customWidth="1"/>
    <col min="5635" max="5635" width="15.44140625" style="21" customWidth="1"/>
    <col min="5636" max="5636" width="16.44140625" style="21" customWidth="1"/>
    <col min="5637" max="5637" width="16.21875" style="21" customWidth="1"/>
    <col min="5638" max="5638" width="13.77734375" style="21" customWidth="1"/>
    <col min="5639" max="5639" width="18.77734375" style="21" customWidth="1"/>
    <col min="5640" max="5640" width="15.77734375" style="21" customWidth="1"/>
    <col min="5641" max="5642" width="16.5546875" style="21" customWidth="1"/>
    <col min="5643" max="5643" width="13.21875" style="21" customWidth="1"/>
    <col min="5644" max="5644" width="13.44140625" style="21" customWidth="1"/>
    <col min="5645" max="5646" width="14.77734375" style="21" customWidth="1"/>
    <col min="5647" max="5651" width="14.44140625" style="21" customWidth="1"/>
    <col min="5652" max="5652" width="14.77734375" style="21" customWidth="1"/>
    <col min="5653" max="5653" width="10.77734375" style="21" customWidth="1"/>
    <col min="5654" max="5888" width="9.21875" style="21"/>
    <col min="5889" max="5889" width="8.44140625" style="21" customWidth="1"/>
    <col min="5890" max="5890" width="14.44140625" style="21" customWidth="1"/>
    <col min="5891" max="5891" width="15.44140625" style="21" customWidth="1"/>
    <col min="5892" max="5892" width="16.44140625" style="21" customWidth="1"/>
    <col min="5893" max="5893" width="16.21875" style="21" customWidth="1"/>
    <col min="5894" max="5894" width="13.77734375" style="21" customWidth="1"/>
    <col min="5895" max="5895" width="18.77734375" style="21" customWidth="1"/>
    <col min="5896" max="5896" width="15.77734375" style="21" customWidth="1"/>
    <col min="5897" max="5898" width="16.5546875" style="21" customWidth="1"/>
    <col min="5899" max="5899" width="13.21875" style="21" customWidth="1"/>
    <col min="5900" max="5900" width="13.44140625" style="21" customWidth="1"/>
    <col min="5901" max="5902" width="14.77734375" style="21" customWidth="1"/>
    <col min="5903" max="5907" width="14.44140625" style="21" customWidth="1"/>
    <col min="5908" max="5908" width="14.77734375" style="21" customWidth="1"/>
    <col min="5909" max="5909" width="10.77734375" style="21" customWidth="1"/>
    <col min="5910" max="6144" width="9.21875" style="21"/>
    <col min="6145" max="6145" width="8.44140625" style="21" customWidth="1"/>
    <col min="6146" max="6146" width="14.44140625" style="21" customWidth="1"/>
    <col min="6147" max="6147" width="15.44140625" style="21" customWidth="1"/>
    <col min="6148" max="6148" width="16.44140625" style="21" customWidth="1"/>
    <col min="6149" max="6149" width="16.21875" style="21" customWidth="1"/>
    <col min="6150" max="6150" width="13.77734375" style="21" customWidth="1"/>
    <col min="6151" max="6151" width="18.77734375" style="21" customWidth="1"/>
    <col min="6152" max="6152" width="15.77734375" style="21" customWidth="1"/>
    <col min="6153" max="6154" width="16.5546875" style="21" customWidth="1"/>
    <col min="6155" max="6155" width="13.21875" style="21" customWidth="1"/>
    <col min="6156" max="6156" width="13.44140625" style="21" customWidth="1"/>
    <col min="6157" max="6158" width="14.77734375" style="21" customWidth="1"/>
    <col min="6159" max="6163" width="14.44140625" style="21" customWidth="1"/>
    <col min="6164" max="6164" width="14.77734375" style="21" customWidth="1"/>
    <col min="6165" max="6165" width="10.77734375" style="21" customWidth="1"/>
    <col min="6166" max="6400" width="9.21875" style="21"/>
    <col min="6401" max="6401" width="8.44140625" style="21" customWidth="1"/>
    <col min="6402" max="6402" width="14.44140625" style="21" customWidth="1"/>
    <col min="6403" max="6403" width="15.44140625" style="21" customWidth="1"/>
    <col min="6404" max="6404" width="16.44140625" style="21" customWidth="1"/>
    <col min="6405" max="6405" width="16.21875" style="21" customWidth="1"/>
    <col min="6406" max="6406" width="13.77734375" style="21" customWidth="1"/>
    <col min="6407" max="6407" width="18.77734375" style="21" customWidth="1"/>
    <col min="6408" max="6408" width="15.77734375" style="21" customWidth="1"/>
    <col min="6409" max="6410" width="16.5546875" style="21" customWidth="1"/>
    <col min="6411" max="6411" width="13.21875" style="21" customWidth="1"/>
    <col min="6412" max="6412" width="13.44140625" style="21" customWidth="1"/>
    <col min="6413" max="6414" width="14.77734375" style="21" customWidth="1"/>
    <col min="6415" max="6419" width="14.44140625" style="21" customWidth="1"/>
    <col min="6420" max="6420" width="14.77734375" style="21" customWidth="1"/>
    <col min="6421" max="6421" width="10.77734375" style="21" customWidth="1"/>
    <col min="6422" max="6656" width="9.21875" style="21"/>
    <col min="6657" max="6657" width="8.44140625" style="21" customWidth="1"/>
    <col min="6658" max="6658" width="14.44140625" style="21" customWidth="1"/>
    <col min="6659" max="6659" width="15.44140625" style="21" customWidth="1"/>
    <col min="6660" max="6660" width="16.44140625" style="21" customWidth="1"/>
    <col min="6661" max="6661" width="16.21875" style="21" customWidth="1"/>
    <col min="6662" max="6662" width="13.77734375" style="21" customWidth="1"/>
    <col min="6663" max="6663" width="18.77734375" style="21" customWidth="1"/>
    <col min="6664" max="6664" width="15.77734375" style="21" customWidth="1"/>
    <col min="6665" max="6666" width="16.5546875" style="21" customWidth="1"/>
    <col min="6667" max="6667" width="13.21875" style="21" customWidth="1"/>
    <col min="6668" max="6668" width="13.44140625" style="21" customWidth="1"/>
    <col min="6669" max="6670" width="14.77734375" style="21" customWidth="1"/>
    <col min="6671" max="6675" width="14.44140625" style="21" customWidth="1"/>
    <col min="6676" max="6676" width="14.77734375" style="21" customWidth="1"/>
    <col min="6677" max="6677" width="10.77734375" style="21" customWidth="1"/>
    <col min="6678" max="6912" width="9.21875" style="21"/>
    <col min="6913" max="6913" width="8.44140625" style="21" customWidth="1"/>
    <col min="6914" max="6914" width="14.44140625" style="21" customWidth="1"/>
    <col min="6915" max="6915" width="15.44140625" style="21" customWidth="1"/>
    <col min="6916" max="6916" width="16.44140625" style="21" customWidth="1"/>
    <col min="6917" max="6917" width="16.21875" style="21" customWidth="1"/>
    <col min="6918" max="6918" width="13.77734375" style="21" customWidth="1"/>
    <col min="6919" max="6919" width="18.77734375" style="21" customWidth="1"/>
    <col min="6920" max="6920" width="15.77734375" style="21" customWidth="1"/>
    <col min="6921" max="6922" width="16.5546875" style="21" customWidth="1"/>
    <col min="6923" max="6923" width="13.21875" style="21" customWidth="1"/>
    <col min="6924" max="6924" width="13.44140625" style="21" customWidth="1"/>
    <col min="6925" max="6926" width="14.77734375" style="21" customWidth="1"/>
    <col min="6927" max="6931" width="14.44140625" style="21" customWidth="1"/>
    <col min="6932" max="6932" width="14.77734375" style="21" customWidth="1"/>
    <col min="6933" max="6933" width="10.77734375" style="21" customWidth="1"/>
    <col min="6934" max="7168" width="9.21875" style="21"/>
    <col min="7169" max="7169" width="8.44140625" style="21" customWidth="1"/>
    <col min="7170" max="7170" width="14.44140625" style="21" customWidth="1"/>
    <col min="7171" max="7171" width="15.44140625" style="21" customWidth="1"/>
    <col min="7172" max="7172" width="16.44140625" style="21" customWidth="1"/>
    <col min="7173" max="7173" width="16.21875" style="21" customWidth="1"/>
    <col min="7174" max="7174" width="13.77734375" style="21" customWidth="1"/>
    <col min="7175" max="7175" width="18.77734375" style="21" customWidth="1"/>
    <col min="7176" max="7176" width="15.77734375" style="21" customWidth="1"/>
    <col min="7177" max="7178" width="16.5546875" style="21" customWidth="1"/>
    <col min="7179" max="7179" width="13.21875" style="21" customWidth="1"/>
    <col min="7180" max="7180" width="13.44140625" style="21" customWidth="1"/>
    <col min="7181" max="7182" width="14.77734375" style="21" customWidth="1"/>
    <col min="7183" max="7187" width="14.44140625" style="21" customWidth="1"/>
    <col min="7188" max="7188" width="14.77734375" style="21" customWidth="1"/>
    <col min="7189" max="7189" width="10.77734375" style="21" customWidth="1"/>
    <col min="7190" max="7424" width="9.21875" style="21"/>
    <col min="7425" max="7425" width="8.44140625" style="21" customWidth="1"/>
    <col min="7426" max="7426" width="14.44140625" style="21" customWidth="1"/>
    <col min="7427" max="7427" width="15.44140625" style="21" customWidth="1"/>
    <col min="7428" max="7428" width="16.44140625" style="21" customWidth="1"/>
    <col min="7429" max="7429" width="16.21875" style="21" customWidth="1"/>
    <col min="7430" max="7430" width="13.77734375" style="21" customWidth="1"/>
    <col min="7431" max="7431" width="18.77734375" style="21" customWidth="1"/>
    <col min="7432" max="7432" width="15.77734375" style="21" customWidth="1"/>
    <col min="7433" max="7434" width="16.5546875" style="21" customWidth="1"/>
    <col min="7435" max="7435" width="13.21875" style="21" customWidth="1"/>
    <col min="7436" max="7436" width="13.44140625" style="21" customWidth="1"/>
    <col min="7437" max="7438" width="14.77734375" style="21" customWidth="1"/>
    <col min="7439" max="7443" width="14.44140625" style="21" customWidth="1"/>
    <col min="7444" max="7444" width="14.77734375" style="21" customWidth="1"/>
    <col min="7445" max="7445" width="10.77734375" style="21" customWidth="1"/>
    <col min="7446" max="7680" width="9.21875" style="21"/>
    <col min="7681" max="7681" width="8.44140625" style="21" customWidth="1"/>
    <col min="7682" max="7682" width="14.44140625" style="21" customWidth="1"/>
    <col min="7683" max="7683" width="15.44140625" style="21" customWidth="1"/>
    <col min="7684" max="7684" width="16.44140625" style="21" customWidth="1"/>
    <col min="7685" max="7685" width="16.21875" style="21" customWidth="1"/>
    <col min="7686" max="7686" width="13.77734375" style="21" customWidth="1"/>
    <col min="7687" max="7687" width="18.77734375" style="21" customWidth="1"/>
    <col min="7688" max="7688" width="15.77734375" style="21" customWidth="1"/>
    <col min="7689" max="7690" width="16.5546875" style="21" customWidth="1"/>
    <col min="7691" max="7691" width="13.21875" style="21" customWidth="1"/>
    <col min="7692" max="7692" width="13.44140625" style="21" customWidth="1"/>
    <col min="7693" max="7694" width="14.77734375" style="21" customWidth="1"/>
    <col min="7695" max="7699" width="14.44140625" style="21" customWidth="1"/>
    <col min="7700" max="7700" width="14.77734375" style="21" customWidth="1"/>
    <col min="7701" max="7701" width="10.77734375" style="21" customWidth="1"/>
    <col min="7702" max="7936" width="9.21875" style="21"/>
    <col min="7937" max="7937" width="8.44140625" style="21" customWidth="1"/>
    <col min="7938" max="7938" width="14.44140625" style="21" customWidth="1"/>
    <col min="7939" max="7939" width="15.44140625" style="21" customWidth="1"/>
    <col min="7940" max="7940" width="16.44140625" style="21" customWidth="1"/>
    <col min="7941" max="7941" width="16.21875" style="21" customWidth="1"/>
    <col min="7942" max="7942" width="13.77734375" style="21" customWidth="1"/>
    <col min="7943" max="7943" width="18.77734375" style="21" customWidth="1"/>
    <col min="7944" max="7944" width="15.77734375" style="21" customWidth="1"/>
    <col min="7945" max="7946" width="16.5546875" style="21" customWidth="1"/>
    <col min="7947" max="7947" width="13.21875" style="21" customWidth="1"/>
    <col min="7948" max="7948" width="13.44140625" style="21" customWidth="1"/>
    <col min="7949" max="7950" width="14.77734375" style="21" customWidth="1"/>
    <col min="7951" max="7955" width="14.44140625" style="21" customWidth="1"/>
    <col min="7956" max="7956" width="14.77734375" style="21" customWidth="1"/>
    <col min="7957" max="7957" width="10.77734375" style="21" customWidth="1"/>
    <col min="7958" max="8192" width="9.21875" style="21"/>
    <col min="8193" max="8193" width="8.44140625" style="21" customWidth="1"/>
    <col min="8194" max="8194" width="14.44140625" style="21" customWidth="1"/>
    <col min="8195" max="8195" width="15.44140625" style="21" customWidth="1"/>
    <col min="8196" max="8196" width="16.44140625" style="21" customWidth="1"/>
    <col min="8197" max="8197" width="16.21875" style="21" customWidth="1"/>
    <col min="8198" max="8198" width="13.77734375" style="21" customWidth="1"/>
    <col min="8199" max="8199" width="18.77734375" style="21" customWidth="1"/>
    <col min="8200" max="8200" width="15.77734375" style="21" customWidth="1"/>
    <col min="8201" max="8202" width="16.5546875" style="21" customWidth="1"/>
    <col min="8203" max="8203" width="13.21875" style="21" customWidth="1"/>
    <col min="8204" max="8204" width="13.44140625" style="21" customWidth="1"/>
    <col min="8205" max="8206" width="14.77734375" style="21" customWidth="1"/>
    <col min="8207" max="8211" width="14.44140625" style="21" customWidth="1"/>
    <col min="8212" max="8212" width="14.77734375" style="21" customWidth="1"/>
    <col min="8213" max="8213" width="10.77734375" style="21" customWidth="1"/>
    <col min="8214" max="8448" width="9.21875" style="21"/>
    <col min="8449" max="8449" width="8.44140625" style="21" customWidth="1"/>
    <col min="8450" max="8450" width="14.44140625" style="21" customWidth="1"/>
    <col min="8451" max="8451" width="15.44140625" style="21" customWidth="1"/>
    <col min="8452" max="8452" width="16.44140625" style="21" customWidth="1"/>
    <col min="8453" max="8453" width="16.21875" style="21" customWidth="1"/>
    <col min="8454" max="8454" width="13.77734375" style="21" customWidth="1"/>
    <col min="8455" max="8455" width="18.77734375" style="21" customWidth="1"/>
    <col min="8456" max="8456" width="15.77734375" style="21" customWidth="1"/>
    <col min="8457" max="8458" width="16.5546875" style="21" customWidth="1"/>
    <col min="8459" max="8459" width="13.21875" style="21" customWidth="1"/>
    <col min="8460" max="8460" width="13.44140625" style="21" customWidth="1"/>
    <col min="8461" max="8462" width="14.77734375" style="21" customWidth="1"/>
    <col min="8463" max="8467" width="14.44140625" style="21" customWidth="1"/>
    <col min="8468" max="8468" width="14.77734375" style="21" customWidth="1"/>
    <col min="8469" max="8469" width="10.77734375" style="21" customWidth="1"/>
    <col min="8470" max="8704" width="9.21875" style="21"/>
    <col min="8705" max="8705" width="8.44140625" style="21" customWidth="1"/>
    <col min="8706" max="8706" width="14.44140625" style="21" customWidth="1"/>
    <col min="8707" max="8707" width="15.44140625" style="21" customWidth="1"/>
    <col min="8708" max="8708" width="16.44140625" style="21" customWidth="1"/>
    <col min="8709" max="8709" width="16.21875" style="21" customWidth="1"/>
    <col min="8710" max="8710" width="13.77734375" style="21" customWidth="1"/>
    <col min="8711" max="8711" width="18.77734375" style="21" customWidth="1"/>
    <col min="8712" max="8712" width="15.77734375" style="21" customWidth="1"/>
    <col min="8713" max="8714" width="16.5546875" style="21" customWidth="1"/>
    <col min="8715" max="8715" width="13.21875" style="21" customWidth="1"/>
    <col min="8716" max="8716" width="13.44140625" style="21" customWidth="1"/>
    <col min="8717" max="8718" width="14.77734375" style="21" customWidth="1"/>
    <col min="8719" max="8723" width="14.44140625" style="21" customWidth="1"/>
    <col min="8724" max="8724" width="14.77734375" style="21" customWidth="1"/>
    <col min="8725" max="8725" width="10.77734375" style="21" customWidth="1"/>
    <col min="8726" max="8960" width="9.21875" style="21"/>
    <col min="8961" max="8961" width="8.44140625" style="21" customWidth="1"/>
    <col min="8962" max="8962" width="14.44140625" style="21" customWidth="1"/>
    <col min="8963" max="8963" width="15.44140625" style="21" customWidth="1"/>
    <col min="8964" max="8964" width="16.44140625" style="21" customWidth="1"/>
    <col min="8965" max="8965" width="16.21875" style="21" customWidth="1"/>
    <col min="8966" max="8966" width="13.77734375" style="21" customWidth="1"/>
    <col min="8967" max="8967" width="18.77734375" style="21" customWidth="1"/>
    <col min="8968" max="8968" width="15.77734375" style="21" customWidth="1"/>
    <col min="8969" max="8970" width="16.5546875" style="21" customWidth="1"/>
    <col min="8971" max="8971" width="13.21875" style="21" customWidth="1"/>
    <col min="8972" max="8972" width="13.44140625" style="21" customWidth="1"/>
    <col min="8973" max="8974" width="14.77734375" style="21" customWidth="1"/>
    <col min="8975" max="8979" width="14.44140625" style="21" customWidth="1"/>
    <col min="8980" max="8980" width="14.77734375" style="21" customWidth="1"/>
    <col min="8981" max="8981" width="10.77734375" style="21" customWidth="1"/>
    <col min="8982" max="9216" width="9.21875" style="21"/>
    <col min="9217" max="9217" width="8.44140625" style="21" customWidth="1"/>
    <col min="9218" max="9218" width="14.44140625" style="21" customWidth="1"/>
    <col min="9219" max="9219" width="15.44140625" style="21" customWidth="1"/>
    <col min="9220" max="9220" width="16.44140625" style="21" customWidth="1"/>
    <col min="9221" max="9221" width="16.21875" style="21" customWidth="1"/>
    <col min="9222" max="9222" width="13.77734375" style="21" customWidth="1"/>
    <col min="9223" max="9223" width="18.77734375" style="21" customWidth="1"/>
    <col min="9224" max="9224" width="15.77734375" style="21" customWidth="1"/>
    <col min="9225" max="9226" width="16.5546875" style="21" customWidth="1"/>
    <col min="9227" max="9227" width="13.21875" style="21" customWidth="1"/>
    <col min="9228" max="9228" width="13.44140625" style="21" customWidth="1"/>
    <col min="9229" max="9230" width="14.77734375" style="21" customWidth="1"/>
    <col min="9231" max="9235" width="14.44140625" style="21" customWidth="1"/>
    <col min="9236" max="9236" width="14.77734375" style="21" customWidth="1"/>
    <col min="9237" max="9237" width="10.77734375" style="21" customWidth="1"/>
    <col min="9238" max="9472" width="9.21875" style="21"/>
    <col min="9473" max="9473" width="8.44140625" style="21" customWidth="1"/>
    <col min="9474" max="9474" width="14.44140625" style="21" customWidth="1"/>
    <col min="9475" max="9475" width="15.44140625" style="21" customWidth="1"/>
    <col min="9476" max="9476" width="16.44140625" style="21" customWidth="1"/>
    <col min="9477" max="9477" width="16.21875" style="21" customWidth="1"/>
    <col min="9478" max="9478" width="13.77734375" style="21" customWidth="1"/>
    <col min="9479" max="9479" width="18.77734375" style="21" customWidth="1"/>
    <col min="9480" max="9480" width="15.77734375" style="21" customWidth="1"/>
    <col min="9481" max="9482" width="16.5546875" style="21" customWidth="1"/>
    <col min="9483" max="9483" width="13.21875" style="21" customWidth="1"/>
    <col min="9484" max="9484" width="13.44140625" style="21" customWidth="1"/>
    <col min="9485" max="9486" width="14.77734375" style="21" customWidth="1"/>
    <col min="9487" max="9491" width="14.44140625" style="21" customWidth="1"/>
    <col min="9492" max="9492" width="14.77734375" style="21" customWidth="1"/>
    <col min="9493" max="9493" width="10.77734375" style="21" customWidth="1"/>
    <col min="9494" max="9728" width="9.21875" style="21"/>
    <col min="9729" max="9729" width="8.44140625" style="21" customWidth="1"/>
    <col min="9730" max="9730" width="14.44140625" style="21" customWidth="1"/>
    <col min="9731" max="9731" width="15.44140625" style="21" customWidth="1"/>
    <col min="9732" max="9732" width="16.44140625" style="21" customWidth="1"/>
    <col min="9733" max="9733" width="16.21875" style="21" customWidth="1"/>
    <col min="9734" max="9734" width="13.77734375" style="21" customWidth="1"/>
    <col min="9735" max="9735" width="18.77734375" style="21" customWidth="1"/>
    <col min="9736" max="9736" width="15.77734375" style="21" customWidth="1"/>
    <col min="9737" max="9738" width="16.5546875" style="21" customWidth="1"/>
    <col min="9739" max="9739" width="13.21875" style="21" customWidth="1"/>
    <col min="9740" max="9740" width="13.44140625" style="21" customWidth="1"/>
    <col min="9741" max="9742" width="14.77734375" style="21" customWidth="1"/>
    <col min="9743" max="9747" width="14.44140625" style="21" customWidth="1"/>
    <col min="9748" max="9748" width="14.77734375" style="21" customWidth="1"/>
    <col min="9749" max="9749" width="10.77734375" style="21" customWidth="1"/>
    <col min="9750" max="9984" width="9.21875" style="21"/>
    <col min="9985" max="9985" width="8.44140625" style="21" customWidth="1"/>
    <col min="9986" max="9986" width="14.44140625" style="21" customWidth="1"/>
    <col min="9987" max="9987" width="15.44140625" style="21" customWidth="1"/>
    <col min="9988" max="9988" width="16.44140625" style="21" customWidth="1"/>
    <col min="9989" max="9989" width="16.21875" style="21" customWidth="1"/>
    <col min="9990" max="9990" width="13.77734375" style="21" customWidth="1"/>
    <col min="9991" max="9991" width="18.77734375" style="21" customWidth="1"/>
    <col min="9992" max="9992" width="15.77734375" style="21" customWidth="1"/>
    <col min="9993" max="9994" width="16.5546875" style="21" customWidth="1"/>
    <col min="9995" max="9995" width="13.21875" style="21" customWidth="1"/>
    <col min="9996" max="9996" width="13.44140625" style="21" customWidth="1"/>
    <col min="9997" max="9998" width="14.77734375" style="21" customWidth="1"/>
    <col min="9999" max="10003" width="14.44140625" style="21" customWidth="1"/>
    <col min="10004" max="10004" width="14.77734375" style="21" customWidth="1"/>
    <col min="10005" max="10005" width="10.77734375" style="21" customWidth="1"/>
    <col min="10006" max="10240" width="9.21875" style="21"/>
    <col min="10241" max="10241" width="8.44140625" style="21" customWidth="1"/>
    <col min="10242" max="10242" width="14.44140625" style="21" customWidth="1"/>
    <col min="10243" max="10243" width="15.44140625" style="21" customWidth="1"/>
    <col min="10244" max="10244" width="16.44140625" style="21" customWidth="1"/>
    <col min="10245" max="10245" width="16.21875" style="21" customWidth="1"/>
    <col min="10246" max="10246" width="13.77734375" style="21" customWidth="1"/>
    <col min="10247" max="10247" width="18.77734375" style="21" customWidth="1"/>
    <col min="10248" max="10248" width="15.77734375" style="21" customWidth="1"/>
    <col min="10249" max="10250" width="16.5546875" style="21" customWidth="1"/>
    <col min="10251" max="10251" width="13.21875" style="21" customWidth="1"/>
    <col min="10252" max="10252" width="13.44140625" style="21" customWidth="1"/>
    <col min="10253" max="10254" width="14.77734375" style="21" customWidth="1"/>
    <col min="10255" max="10259" width="14.44140625" style="21" customWidth="1"/>
    <col min="10260" max="10260" width="14.77734375" style="21" customWidth="1"/>
    <col min="10261" max="10261" width="10.77734375" style="21" customWidth="1"/>
    <col min="10262" max="10496" width="9.21875" style="21"/>
    <col min="10497" max="10497" width="8.44140625" style="21" customWidth="1"/>
    <col min="10498" max="10498" width="14.44140625" style="21" customWidth="1"/>
    <col min="10499" max="10499" width="15.44140625" style="21" customWidth="1"/>
    <col min="10500" max="10500" width="16.44140625" style="21" customWidth="1"/>
    <col min="10501" max="10501" width="16.21875" style="21" customWidth="1"/>
    <col min="10502" max="10502" width="13.77734375" style="21" customWidth="1"/>
    <col min="10503" max="10503" width="18.77734375" style="21" customWidth="1"/>
    <col min="10504" max="10504" width="15.77734375" style="21" customWidth="1"/>
    <col min="10505" max="10506" width="16.5546875" style="21" customWidth="1"/>
    <col min="10507" max="10507" width="13.21875" style="21" customWidth="1"/>
    <col min="10508" max="10508" width="13.44140625" style="21" customWidth="1"/>
    <col min="10509" max="10510" width="14.77734375" style="21" customWidth="1"/>
    <col min="10511" max="10515" width="14.44140625" style="21" customWidth="1"/>
    <col min="10516" max="10516" width="14.77734375" style="21" customWidth="1"/>
    <col min="10517" max="10517" width="10.77734375" style="21" customWidth="1"/>
    <col min="10518" max="10752" width="9.21875" style="21"/>
    <col min="10753" max="10753" width="8.44140625" style="21" customWidth="1"/>
    <col min="10754" max="10754" width="14.44140625" style="21" customWidth="1"/>
    <col min="10755" max="10755" width="15.44140625" style="21" customWidth="1"/>
    <col min="10756" max="10756" width="16.44140625" style="21" customWidth="1"/>
    <col min="10757" max="10757" width="16.21875" style="21" customWidth="1"/>
    <col min="10758" max="10758" width="13.77734375" style="21" customWidth="1"/>
    <col min="10759" max="10759" width="18.77734375" style="21" customWidth="1"/>
    <col min="10760" max="10760" width="15.77734375" style="21" customWidth="1"/>
    <col min="10761" max="10762" width="16.5546875" style="21" customWidth="1"/>
    <col min="10763" max="10763" width="13.21875" style="21" customWidth="1"/>
    <col min="10764" max="10764" width="13.44140625" style="21" customWidth="1"/>
    <col min="10765" max="10766" width="14.77734375" style="21" customWidth="1"/>
    <col min="10767" max="10771" width="14.44140625" style="21" customWidth="1"/>
    <col min="10772" max="10772" width="14.77734375" style="21" customWidth="1"/>
    <col min="10773" max="10773" width="10.77734375" style="21" customWidth="1"/>
    <col min="10774" max="11008" width="9.21875" style="21"/>
    <col min="11009" max="11009" width="8.44140625" style="21" customWidth="1"/>
    <col min="11010" max="11010" width="14.44140625" style="21" customWidth="1"/>
    <col min="11011" max="11011" width="15.44140625" style="21" customWidth="1"/>
    <col min="11012" max="11012" width="16.44140625" style="21" customWidth="1"/>
    <col min="11013" max="11013" width="16.21875" style="21" customWidth="1"/>
    <col min="11014" max="11014" width="13.77734375" style="21" customWidth="1"/>
    <col min="11015" max="11015" width="18.77734375" style="21" customWidth="1"/>
    <col min="11016" max="11016" width="15.77734375" style="21" customWidth="1"/>
    <col min="11017" max="11018" width="16.5546875" style="21" customWidth="1"/>
    <col min="11019" max="11019" width="13.21875" style="21" customWidth="1"/>
    <col min="11020" max="11020" width="13.44140625" style="21" customWidth="1"/>
    <col min="11021" max="11022" width="14.77734375" style="21" customWidth="1"/>
    <col min="11023" max="11027" width="14.44140625" style="21" customWidth="1"/>
    <col min="11028" max="11028" width="14.77734375" style="21" customWidth="1"/>
    <col min="11029" max="11029" width="10.77734375" style="21" customWidth="1"/>
    <col min="11030" max="11264" width="9.21875" style="21"/>
    <col min="11265" max="11265" width="8.44140625" style="21" customWidth="1"/>
    <col min="11266" max="11266" width="14.44140625" style="21" customWidth="1"/>
    <col min="11267" max="11267" width="15.44140625" style="21" customWidth="1"/>
    <col min="11268" max="11268" width="16.44140625" style="21" customWidth="1"/>
    <col min="11269" max="11269" width="16.21875" style="21" customWidth="1"/>
    <col min="11270" max="11270" width="13.77734375" style="21" customWidth="1"/>
    <col min="11271" max="11271" width="18.77734375" style="21" customWidth="1"/>
    <col min="11272" max="11272" width="15.77734375" style="21" customWidth="1"/>
    <col min="11273" max="11274" width="16.5546875" style="21" customWidth="1"/>
    <col min="11275" max="11275" width="13.21875" style="21" customWidth="1"/>
    <col min="11276" max="11276" width="13.44140625" style="21" customWidth="1"/>
    <col min="11277" max="11278" width="14.77734375" style="21" customWidth="1"/>
    <col min="11279" max="11283" width="14.44140625" style="21" customWidth="1"/>
    <col min="11284" max="11284" width="14.77734375" style="21" customWidth="1"/>
    <col min="11285" max="11285" width="10.77734375" style="21" customWidth="1"/>
    <col min="11286" max="11520" width="9.21875" style="21"/>
    <col min="11521" max="11521" width="8.44140625" style="21" customWidth="1"/>
    <col min="11522" max="11522" width="14.44140625" style="21" customWidth="1"/>
    <col min="11523" max="11523" width="15.44140625" style="21" customWidth="1"/>
    <col min="11524" max="11524" width="16.44140625" style="21" customWidth="1"/>
    <col min="11525" max="11525" width="16.21875" style="21" customWidth="1"/>
    <col min="11526" max="11526" width="13.77734375" style="21" customWidth="1"/>
    <col min="11527" max="11527" width="18.77734375" style="21" customWidth="1"/>
    <col min="11528" max="11528" width="15.77734375" style="21" customWidth="1"/>
    <col min="11529" max="11530" width="16.5546875" style="21" customWidth="1"/>
    <col min="11531" max="11531" width="13.21875" style="21" customWidth="1"/>
    <col min="11532" max="11532" width="13.44140625" style="21" customWidth="1"/>
    <col min="11533" max="11534" width="14.77734375" style="21" customWidth="1"/>
    <col min="11535" max="11539" width="14.44140625" style="21" customWidth="1"/>
    <col min="11540" max="11540" width="14.77734375" style="21" customWidth="1"/>
    <col min="11541" max="11541" width="10.77734375" style="21" customWidth="1"/>
    <col min="11542" max="11776" width="9.21875" style="21"/>
    <col min="11777" max="11777" width="8.44140625" style="21" customWidth="1"/>
    <col min="11778" max="11778" width="14.44140625" style="21" customWidth="1"/>
    <col min="11779" max="11779" width="15.44140625" style="21" customWidth="1"/>
    <col min="11780" max="11780" width="16.44140625" style="21" customWidth="1"/>
    <col min="11781" max="11781" width="16.21875" style="21" customWidth="1"/>
    <col min="11782" max="11782" width="13.77734375" style="21" customWidth="1"/>
    <col min="11783" max="11783" width="18.77734375" style="21" customWidth="1"/>
    <col min="11784" max="11784" width="15.77734375" style="21" customWidth="1"/>
    <col min="11785" max="11786" width="16.5546875" style="21" customWidth="1"/>
    <col min="11787" max="11787" width="13.21875" style="21" customWidth="1"/>
    <col min="11788" max="11788" width="13.44140625" style="21" customWidth="1"/>
    <col min="11789" max="11790" width="14.77734375" style="21" customWidth="1"/>
    <col min="11791" max="11795" width="14.44140625" style="21" customWidth="1"/>
    <col min="11796" max="11796" width="14.77734375" style="21" customWidth="1"/>
    <col min="11797" max="11797" width="10.77734375" style="21" customWidth="1"/>
    <col min="11798" max="12032" width="9.21875" style="21"/>
    <col min="12033" max="12033" width="8.44140625" style="21" customWidth="1"/>
    <col min="12034" max="12034" width="14.44140625" style="21" customWidth="1"/>
    <col min="12035" max="12035" width="15.44140625" style="21" customWidth="1"/>
    <col min="12036" max="12036" width="16.44140625" style="21" customWidth="1"/>
    <col min="12037" max="12037" width="16.21875" style="21" customWidth="1"/>
    <col min="12038" max="12038" width="13.77734375" style="21" customWidth="1"/>
    <col min="12039" max="12039" width="18.77734375" style="21" customWidth="1"/>
    <col min="12040" max="12040" width="15.77734375" style="21" customWidth="1"/>
    <col min="12041" max="12042" width="16.5546875" style="21" customWidth="1"/>
    <col min="12043" max="12043" width="13.21875" style="21" customWidth="1"/>
    <col min="12044" max="12044" width="13.44140625" style="21" customWidth="1"/>
    <col min="12045" max="12046" width="14.77734375" style="21" customWidth="1"/>
    <col min="12047" max="12051" width="14.44140625" style="21" customWidth="1"/>
    <col min="12052" max="12052" width="14.77734375" style="21" customWidth="1"/>
    <col min="12053" max="12053" width="10.77734375" style="21" customWidth="1"/>
    <col min="12054" max="12288" width="9.21875" style="21"/>
    <col min="12289" max="12289" width="8.44140625" style="21" customWidth="1"/>
    <col min="12290" max="12290" width="14.44140625" style="21" customWidth="1"/>
    <col min="12291" max="12291" width="15.44140625" style="21" customWidth="1"/>
    <col min="12292" max="12292" width="16.44140625" style="21" customWidth="1"/>
    <col min="12293" max="12293" width="16.21875" style="21" customWidth="1"/>
    <col min="12294" max="12294" width="13.77734375" style="21" customWidth="1"/>
    <col min="12295" max="12295" width="18.77734375" style="21" customWidth="1"/>
    <col min="12296" max="12296" width="15.77734375" style="21" customWidth="1"/>
    <col min="12297" max="12298" width="16.5546875" style="21" customWidth="1"/>
    <col min="12299" max="12299" width="13.21875" style="21" customWidth="1"/>
    <col min="12300" max="12300" width="13.44140625" style="21" customWidth="1"/>
    <col min="12301" max="12302" width="14.77734375" style="21" customWidth="1"/>
    <col min="12303" max="12307" width="14.44140625" style="21" customWidth="1"/>
    <col min="12308" max="12308" width="14.77734375" style="21" customWidth="1"/>
    <col min="12309" max="12309" width="10.77734375" style="21" customWidth="1"/>
    <col min="12310" max="12544" width="9.21875" style="21"/>
    <col min="12545" max="12545" width="8.44140625" style="21" customWidth="1"/>
    <col min="12546" max="12546" width="14.44140625" style="21" customWidth="1"/>
    <col min="12547" max="12547" width="15.44140625" style="21" customWidth="1"/>
    <col min="12548" max="12548" width="16.44140625" style="21" customWidth="1"/>
    <col min="12549" max="12549" width="16.21875" style="21" customWidth="1"/>
    <col min="12550" max="12550" width="13.77734375" style="21" customWidth="1"/>
    <col min="12551" max="12551" width="18.77734375" style="21" customWidth="1"/>
    <col min="12552" max="12552" width="15.77734375" style="21" customWidth="1"/>
    <col min="12553" max="12554" width="16.5546875" style="21" customWidth="1"/>
    <col min="12555" max="12555" width="13.21875" style="21" customWidth="1"/>
    <col min="12556" max="12556" width="13.44140625" style="21" customWidth="1"/>
    <col min="12557" max="12558" width="14.77734375" style="21" customWidth="1"/>
    <col min="12559" max="12563" width="14.44140625" style="21" customWidth="1"/>
    <col min="12564" max="12564" width="14.77734375" style="21" customWidth="1"/>
    <col min="12565" max="12565" width="10.77734375" style="21" customWidth="1"/>
    <col min="12566" max="12800" width="9.21875" style="21"/>
    <col min="12801" max="12801" width="8.44140625" style="21" customWidth="1"/>
    <col min="12802" max="12802" width="14.44140625" style="21" customWidth="1"/>
    <col min="12803" max="12803" width="15.44140625" style="21" customWidth="1"/>
    <col min="12804" max="12804" width="16.44140625" style="21" customWidth="1"/>
    <col min="12805" max="12805" width="16.21875" style="21" customWidth="1"/>
    <col min="12806" max="12806" width="13.77734375" style="21" customWidth="1"/>
    <col min="12807" max="12807" width="18.77734375" style="21" customWidth="1"/>
    <col min="12808" max="12808" width="15.77734375" style="21" customWidth="1"/>
    <col min="12809" max="12810" width="16.5546875" style="21" customWidth="1"/>
    <col min="12811" max="12811" width="13.21875" style="21" customWidth="1"/>
    <col min="12812" max="12812" width="13.44140625" style="21" customWidth="1"/>
    <col min="12813" max="12814" width="14.77734375" style="21" customWidth="1"/>
    <col min="12815" max="12819" width="14.44140625" style="21" customWidth="1"/>
    <col min="12820" max="12820" width="14.77734375" style="21" customWidth="1"/>
    <col min="12821" max="12821" width="10.77734375" style="21" customWidth="1"/>
    <col min="12822" max="13056" width="9.21875" style="21"/>
    <col min="13057" max="13057" width="8.44140625" style="21" customWidth="1"/>
    <col min="13058" max="13058" width="14.44140625" style="21" customWidth="1"/>
    <col min="13059" max="13059" width="15.44140625" style="21" customWidth="1"/>
    <col min="13060" max="13060" width="16.44140625" style="21" customWidth="1"/>
    <col min="13061" max="13061" width="16.21875" style="21" customWidth="1"/>
    <col min="13062" max="13062" width="13.77734375" style="21" customWidth="1"/>
    <col min="13063" max="13063" width="18.77734375" style="21" customWidth="1"/>
    <col min="13064" max="13064" width="15.77734375" style="21" customWidth="1"/>
    <col min="13065" max="13066" width="16.5546875" style="21" customWidth="1"/>
    <col min="13067" max="13067" width="13.21875" style="21" customWidth="1"/>
    <col min="13068" max="13068" width="13.44140625" style="21" customWidth="1"/>
    <col min="13069" max="13070" width="14.77734375" style="21" customWidth="1"/>
    <col min="13071" max="13075" width="14.44140625" style="21" customWidth="1"/>
    <col min="13076" max="13076" width="14.77734375" style="21" customWidth="1"/>
    <col min="13077" max="13077" width="10.77734375" style="21" customWidth="1"/>
    <col min="13078" max="13312" width="9.21875" style="21"/>
    <col min="13313" max="13313" width="8.44140625" style="21" customWidth="1"/>
    <col min="13314" max="13314" width="14.44140625" style="21" customWidth="1"/>
    <col min="13315" max="13315" width="15.44140625" style="21" customWidth="1"/>
    <col min="13316" max="13316" width="16.44140625" style="21" customWidth="1"/>
    <col min="13317" max="13317" width="16.21875" style="21" customWidth="1"/>
    <col min="13318" max="13318" width="13.77734375" style="21" customWidth="1"/>
    <col min="13319" max="13319" width="18.77734375" style="21" customWidth="1"/>
    <col min="13320" max="13320" width="15.77734375" style="21" customWidth="1"/>
    <col min="13321" max="13322" width="16.5546875" style="21" customWidth="1"/>
    <col min="13323" max="13323" width="13.21875" style="21" customWidth="1"/>
    <col min="13324" max="13324" width="13.44140625" style="21" customWidth="1"/>
    <col min="13325" max="13326" width="14.77734375" style="21" customWidth="1"/>
    <col min="13327" max="13331" width="14.44140625" style="21" customWidth="1"/>
    <col min="13332" max="13332" width="14.77734375" style="21" customWidth="1"/>
    <col min="13333" max="13333" width="10.77734375" style="21" customWidth="1"/>
    <col min="13334" max="13568" width="9.21875" style="21"/>
    <col min="13569" max="13569" width="8.44140625" style="21" customWidth="1"/>
    <col min="13570" max="13570" width="14.44140625" style="21" customWidth="1"/>
    <col min="13571" max="13571" width="15.44140625" style="21" customWidth="1"/>
    <col min="13572" max="13572" width="16.44140625" style="21" customWidth="1"/>
    <col min="13573" max="13573" width="16.21875" style="21" customWidth="1"/>
    <col min="13574" max="13574" width="13.77734375" style="21" customWidth="1"/>
    <col min="13575" max="13575" width="18.77734375" style="21" customWidth="1"/>
    <col min="13576" max="13576" width="15.77734375" style="21" customWidth="1"/>
    <col min="13577" max="13578" width="16.5546875" style="21" customWidth="1"/>
    <col min="13579" max="13579" width="13.21875" style="21" customWidth="1"/>
    <col min="13580" max="13580" width="13.44140625" style="21" customWidth="1"/>
    <col min="13581" max="13582" width="14.77734375" style="21" customWidth="1"/>
    <col min="13583" max="13587" width="14.44140625" style="21" customWidth="1"/>
    <col min="13588" max="13588" width="14.77734375" style="21" customWidth="1"/>
    <col min="13589" max="13589" width="10.77734375" style="21" customWidth="1"/>
    <col min="13590" max="13824" width="9.21875" style="21"/>
    <col min="13825" max="13825" width="8.44140625" style="21" customWidth="1"/>
    <col min="13826" max="13826" width="14.44140625" style="21" customWidth="1"/>
    <col min="13827" max="13827" width="15.44140625" style="21" customWidth="1"/>
    <col min="13828" max="13828" width="16.44140625" style="21" customWidth="1"/>
    <col min="13829" max="13829" width="16.21875" style="21" customWidth="1"/>
    <col min="13830" max="13830" width="13.77734375" style="21" customWidth="1"/>
    <col min="13831" max="13831" width="18.77734375" style="21" customWidth="1"/>
    <col min="13832" max="13832" width="15.77734375" style="21" customWidth="1"/>
    <col min="13833" max="13834" width="16.5546875" style="21" customWidth="1"/>
    <col min="13835" max="13835" width="13.21875" style="21" customWidth="1"/>
    <col min="13836" max="13836" width="13.44140625" style="21" customWidth="1"/>
    <col min="13837" max="13838" width="14.77734375" style="21" customWidth="1"/>
    <col min="13839" max="13843" width="14.44140625" style="21" customWidth="1"/>
    <col min="13844" max="13844" width="14.77734375" style="21" customWidth="1"/>
    <col min="13845" max="13845" width="10.77734375" style="21" customWidth="1"/>
    <col min="13846" max="14080" width="9.21875" style="21"/>
    <col min="14081" max="14081" width="8.44140625" style="21" customWidth="1"/>
    <col min="14082" max="14082" width="14.44140625" style="21" customWidth="1"/>
    <col min="14083" max="14083" width="15.44140625" style="21" customWidth="1"/>
    <col min="14084" max="14084" width="16.44140625" style="21" customWidth="1"/>
    <col min="14085" max="14085" width="16.21875" style="21" customWidth="1"/>
    <col min="14086" max="14086" width="13.77734375" style="21" customWidth="1"/>
    <col min="14087" max="14087" width="18.77734375" style="21" customWidth="1"/>
    <col min="14088" max="14088" width="15.77734375" style="21" customWidth="1"/>
    <col min="14089" max="14090" width="16.5546875" style="21" customWidth="1"/>
    <col min="14091" max="14091" width="13.21875" style="21" customWidth="1"/>
    <col min="14092" max="14092" width="13.44140625" style="21" customWidth="1"/>
    <col min="14093" max="14094" width="14.77734375" style="21" customWidth="1"/>
    <col min="14095" max="14099" width="14.44140625" style="21" customWidth="1"/>
    <col min="14100" max="14100" width="14.77734375" style="21" customWidth="1"/>
    <col min="14101" max="14101" width="10.77734375" style="21" customWidth="1"/>
    <col min="14102" max="14336" width="9.21875" style="21"/>
    <col min="14337" max="14337" width="8.44140625" style="21" customWidth="1"/>
    <col min="14338" max="14338" width="14.44140625" style="21" customWidth="1"/>
    <col min="14339" max="14339" width="15.44140625" style="21" customWidth="1"/>
    <col min="14340" max="14340" width="16.44140625" style="21" customWidth="1"/>
    <col min="14341" max="14341" width="16.21875" style="21" customWidth="1"/>
    <col min="14342" max="14342" width="13.77734375" style="21" customWidth="1"/>
    <col min="14343" max="14343" width="18.77734375" style="21" customWidth="1"/>
    <col min="14344" max="14344" width="15.77734375" style="21" customWidth="1"/>
    <col min="14345" max="14346" width="16.5546875" style="21" customWidth="1"/>
    <col min="14347" max="14347" width="13.21875" style="21" customWidth="1"/>
    <col min="14348" max="14348" width="13.44140625" style="21" customWidth="1"/>
    <col min="14349" max="14350" width="14.77734375" style="21" customWidth="1"/>
    <col min="14351" max="14355" width="14.44140625" style="21" customWidth="1"/>
    <col min="14356" max="14356" width="14.77734375" style="21" customWidth="1"/>
    <col min="14357" max="14357" width="10.77734375" style="21" customWidth="1"/>
    <col min="14358" max="14592" width="9.21875" style="21"/>
    <col min="14593" max="14593" width="8.44140625" style="21" customWidth="1"/>
    <col min="14594" max="14594" width="14.44140625" style="21" customWidth="1"/>
    <col min="14595" max="14595" width="15.44140625" style="21" customWidth="1"/>
    <col min="14596" max="14596" width="16.44140625" style="21" customWidth="1"/>
    <col min="14597" max="14597" width="16.21875" style="21" customWidth="1"/>
    <col min="14598" max="14598" width="13.77734375" style="21" customWidth="1"/>
    <col min="14599" max="14599" width="18.77734375" style="21" customWidth="1"/>
    <col min="14600" max="14600" width="15.77734375" style="21" customWidth="1"/>
    <col min="14601" max="14602" width="16.5546875" style="21" customWidth="1"/>
    <col min="14603" max="14603" width="13.21875" style="21" customWidth="1"/>
    <col min="14604" max="14604" width="13.44140625" style="21" customWidth="1"/>
    <col min="14605" max="14606" width="14.77734375" style="21" customWidth="1"/>
    <col min="14607" max="14611" width="14.44140625" style="21" customWidth="1"/>
    <col min="14612" max="14612" width="14.77734375" style="21" customWidth="1"/>
    <col min="14613" max="14613" width="10.77734375" style="21" customWidth="1"/>
    <col min="14614" max="14848" width="9.21875" style="21"/>
    <col min="14849" max="14849" width="8.44140625" style="21" customWidth="1"/>
    <col min="14850" max="14850" width="14.44140625" style="21" customWidth="1"/>
    <col min="14851" max="14851" width="15.44140625" style="21" customWidth="1"/>
    <col min="14852" max="14852" width="16.44140625" style="21" customWidth="1"/>
    <col min="14853" max="14853" width="16.21875" style="21" customWidth="1"/>
    <col min="14854" max="14854" width="13.77734375" style="21" customWidth="1"/>
    <col min="14855" max="14855" width="18.77734375" style="21" customWidth="1"/>
    <col min="14856" max="14856" width="15.77734375" style="21" customWidth="1"/>
    <col min="14857" max="14858" width="16.5546875" style="21" customWidth="1"/>
    <col min="14859" max="14859" width="13.21875" style="21" customWidth="1"/>
    <col min="14860" max="14860" width="13.44140625" style="21" customWidth="1"/>
    <col min="14861" max="14862" width="14.77734375" style="21" customWidth="1"/>
    <col min="14863" max="14867" width="14.44140625" style="21" customWidth="1"/>
    <col min="14868" max="14868" width="14.77734375" style="21" customWidth="1"/>
    <col min="14869" max="14869" width="10.77734375" style="21" customWidth="1"/>
    <col min="14870" max="15104" width="9.21875" style="21"/>
    <col min="15105" max="15105" width="8.44140625" style="21" customWidth="1"/>
    <col min="15106" max="15106" width="14.44140625" style="21" customWidth="1"/>
    <col min="15107" max="15107" width="15.44140625" style="21" customWidth="1"/>
    <col min="15108" max="15108" width="16.44140625" style="21" customWidth="1"/>
    <col min="15109" max="15109" width="16.21875" style="21" customWidth="1"/>
    <col min="15110" max="15110" width="13.77734375" style="21" customWidth="1"/>
    <col min="15111" max="15111" width="18.77734375" style="21" customWidth="1"/>
    <col min="15112" max="15112" width="15.77734375" style="21" customWidth="1"/>
    <col min="15113" max="15114" width="16.5546875" style="21" customWidth="1"/>
    <col min="15115" max="15115" width="13.21875" style="21" customWidth="1"/>
    <col min="15116" max="15116" width="13.44140625" style="21" customWidth="1"/>
    <col min="15117" max="15118" width="14.77734375" style="21" customWidth="1"/>
    <col min="15119" max="15123" width="14.44140625" style="21" customWidth="1"/>
    <col min="15124" max="15124" width="14.77734375" style="21" customWidth="1"/>
    <col min="15125" max="15125" width="10.77734375" style="21" customWidth="1"/>
    <col min="15126" max="15360" width="9.21875" style="21"/>
    <col min="15361" max="15361" width="8.44140625" style="21" customWidth="1"/>
    <col min="15362" max="15362" width="14.44140625" style="21" customWidth="1"/>
    <col min="15363" max="15363" width="15.44140625" style="21" customWidth="1"/>
    <col min="15364" max="15364" width="16.44140625" style="21" customWidth="1"/>
    <col min="15365" max="15365" width="16.21875" style="21" customWidth="1"/>
    <col min="15366" max="15366" width="13.77734375" style="21" customWidth="1"/>
    <col min="15367" max="15367" width="18.77734375" style="21" customWidth="1"/>
    <col min="15368" max="15368" width="15.77734375" style="21" customWidth="1"/>
    <col min="15369" max="15370" width="16.5546875" style="21" customWidth="1"/>
    <col min="15371" max="15371" width="13.21875" style="21" customWidth="1"/>
    <col min="15372" max="15372" width="13.44140625" style="21" customWidth="1"/>
    <col min="15373" max="15374" width="14.77734375" style="21" customWidth="1"/>
    <col min="15375" max="15379" width="14.44140625" style="21" customWidth="1"/>
    <col min="15380" max="15380" width="14.77734375" style="21" customWidth="1"/>
    <col min="15381" max="15381" width="10.77734375" style="21" customWidth="1"/>
    <col min="15382" max="15616" width="9.21875" style="21"/>
    <col min="15617" max="15617" width="8.44140625" style="21" customWidth="1"/>
    <col min="15618" max="15618" width="14.44140625" style="21" customWidth="1"/>
    <col min="15619" max="15619" width="15.44140625" style="21" customWidth="1"/>
    <col min="15620" max="15620" width="16.44140625" style="21" customWidth="1"/>
    <col min="15621" max="15621" width="16.21875" style="21" customWidth="1"/>
    <col min="15622" max="15622" width="13.77734375" style="21" customWidth="1"/>
    <col min="15623" max="15623" width="18.77734375" style="21" customWidth="1"/>
    <col min="15624" max="15624" width="15.77734375" style="21" customWidth="1"/>
    <col min="15625" max="15626" width="16.5546875" style="21" customWidth="1"/>
    <col min="15627" max="15627" width="13.21875" style="21" customWidth="1"/>
    <col min="15628" max="15628" width="13.44140625" style="21" customWidth="1"/>
    <col min="15629" max="15630" width="14.77734375" style="21" customWidth="1"/>
    <col min="15631" max="15635" width="14.44140625" style="21" customWidth="1"/>
    <col min="15636" max="15636" width="14.77734375" style="21" customWidth="1"/>
    <col min="15637" max="15637" width="10.77734375" style="21" customWidth="1"/>
    <col min="15638" max="15872" width="9.21875" style="21"/>
    <col min="15873" max="15873" width="8.44140625" style="21" customWidth="1"/>
    <col min="15874" max="15874" width="14.44140625" style="21" customWidth="1"/>
    <col min="15875" max="15875" width="15.44140625" style="21" customWidth="1"/>
    <col min="15876" max="15876" width="16.44140625" style="21" customWidth="1"/>
    <col min="15877" max="15877" width="16.21875" style="21" customWidth="1"/>
    <col min="15878" max="15878" width="13.77734375" style="21" customWidth="1"/>
    <col min="15879" max="15879" width="18.77734375" style="21" customWidth="1"/>
    <col min="15880" max="15880" width="15.77734375" style="21" customWidth="1"/>
    <col min="15881" max="15882" width="16.5546875" style="21" customWidth="1"/>
    <col min="15883" max="15883" width="13.21875" style="21" customWidth="1"/>
    <col min="15884" max="15884" width="13.44140625" style="21" customWidth="1"/>
    <col min="15885" max="15886" width="14.77734375" style="21" customWidth="1"/>
    <col min="15887" max="15891" width="14.44140625" style="21" customWidth="1"/>
    <col min="15892" max="15892" width="14.77734375" style="21" customWidth="1"/>
    <col min="15893" max="15893" width="10.77734375" style="21" customWidth="1"/>
    <col min="15894" max="16128" width="9.21875" style="21"/>
    <col min="16129" max="16129" width="8.44140625" style="21" customWidth="1"/>
    <col min="16130" max="16130" width="14.44140625" style="21" customWidth="1"/>
    <col min="16131" max="16131" width="15.44140625" style="21" customWidth="1"/>
    <col min="16132" max="16132" width="16.44140625" style="21" customWidth="1"/>
    <col min="16133" max="16133" width="16.21875" style="21" customWidth="1"/>
    <col min="16134" max="16134" width="13.77734375" style="21" customWidth="1"/>
    <col min="16135" max="16135" width="18.77734375" style="21" customWidth="1"/>
    <col min="16136" max="16136" width="15.77734375" style="21" customWidth="1"/>
    <col min="16137" max="16138" width="16.5546875" style="21" customWidth="1"/>
    <col min="16139" max="16139" width="13.21875" style="21" customWidth="1"/>
    <col min="16140" max="16140" width="13.44140625" style="21" customWidth="1"/>
    <col min="16141" max="16142" width="14.77734375" style="21" customWidth="1"/>
    <col min="16143" max="16147" width="14.44140625" style="21" customWidth="1"/>
    <col min="16148" max="16148" width="14.77734375" style="21" customWidth="1"/>
    <col min="16149" max="16149" width="10.77734375" style="21" customWidth="1"/>
    <col min="16150" max="16384" width="9.21875" style="21"/>
  </cols>
  <sheetData>
    <row r="1" spans="1:10" ht="18" customHeight="1" x14ac:dyDescent="0.25">
      <c r="A1" s="428" t="s">
        <v>205</v>
      </c>
      <c r="B1" s="428"/>
      <c r="C1" s="428"/>
      <c r="D1" s="428"/>
      <c r="E1" s="428"/>
      <c r="F1" s="428"/>
      <c r="G1" s="428"/>
      <c r="H1" s="428"/>
      <c r="I1" s="428"/>
      <c r="J1" s="428"/>
    </row>
    <row r="2" spans="1:10" x14ac:dyDescent="0.25">
      <c r="A2" s="22"/>
      <c r="B2" s="23"/>
      <c r="C2" s="24"/>
      <c r="D2" s="24"/>
      <c r="E2" s="25"/>
      <c r="F2" s="25"/>
    </row>
    <row r="3" spans="1:10" x14ac:dyDescent="0.25">
      <c r="A3" s="22" t="s">
        <v>206</v>
      </c>
      <c r="B3" s="429" t="str">
        <f>+CC!B13</f>
        <v>Tramo 4: km 450 - km 525, Accesos y Linea 1</v>
      </c>
      <c r="C3" s="429"/>
      <c r="D3" s="429"/>
      <c r="E3" s="429"/>
      <c r="F3" s="429"/>
      <c r="G3" s="429"/>
      <c r="H3" s="429"/>
      <c r="I3" s="429"/>
      <c r="J3" s="27"/>
    </row>
    <row r="4" spans="1:10" x14ac:dyDescent="0.25">
      <c r="A4" s="28"/>
      <c r="B4" s="429"/>
      <c r="C4" s="429"/>
      <c r="D4" s="429"/>
      <c r="E4" s="429"/>
      <c r="F4" s="429"/>
      <c r="G4" s="429"/>
      <c r="H4" s="429"/>
      <c r="I4" s="429"/>
      <c r="J4" s="27"/>
    </row>
    <row r="5" spans="1:10" ht="15" customHeight="1" x14ac:dyDescent="0.25">
      <c r="A5" s="430" t="str">
        <f>CONCATENATE("PLAZO: ",A42," MESES (",A43,")")</f>
        <v>PLAZO: 24 MESES (720 dias)</v>
      </c>
      <c r="B5" s="430"/>
      <c r="C5" s="430"/>
      <c r="E5" s="30" t="s">
        <v>207</v>
      </c>
    </row>
    <row r="7" spans="1:10" x14ac:dyDescent="0.25">
      <c r="C7" s="32" t="s">
        <v>208</v>
      </c>
      <c r="D7" s="431"/>
      <c r="E7" s="431"/>
      <c r="F7" s="431"/>
      <c r="H7" s="32" t="s">
        <v>209</v>
      </c>
      <c r="I7" s="33">
        <f ca="1">NOW()</f>
        <v>43616.674115740738</v>
      </c>
    </row>
    <row r="8" spans="1:10" x14ac:dyDescent="0.25">
      <c r="C8" s="32" t="str">
        <f>IF(D7=0,"MONTO ESTIMADO CON IVA:","MONTO DE CONTRATO CON IVA:")</f>
        <v>MONTO ESTIMADO CON IVA:</v>
      </c>
      <c r="D8" s="34">
        <f>+CC!E13</f>
        <v>111000000</v>
      </c>
      <c r="E8" s="35" t="s">
        <v>210</v>
      </c>
      <c r="F8" s="21" t="s">
        <v>211</v>
      </c>
      <c r="H8" s="26" t="s">
        <v>212</v>
      </c>
      <c r="I8" s="36">
        <v>1</v>
      </c>
    </row>
    <row r="9" spans="1:10" hidden="1" x14ac:dyDescent="0.25">
      <c r="C9" s="32"/>
      <c r="D9" s="34"/>
      <c r="E9" s="29" t="s">
        <v>213</v>
      </c>
      <c r="I9" s="37"/>
    </row>
    <row r="10" spans="1:10" hidden="1" x14ac:dyDescent="0.25">
      <c r="C10" s="32"/>
      <c r="D10" s="34"/>
      <c r="E10" s="29" t="s">
        <v>210</v>
      </c>
      <c r="I10" s="37"/>
    </row>
    <row r="11" spans="1:10" x14ac:dyDescent="0.25">
      <c r="B11" s="21"/>
      <c r="C11" s="32" t="str">
        <f>IF(D7=0,"MONTO ESTIMADO SIN IVA:","MONTO DE CONTRATO SIN IVA:")</f>
        <v>MONTO ESTIMADO SIN IVA:</v>
      </c>
      <c r="D11" s="38">
        <f>D8</f>
        <v>111000000</v>
      </c>
      <c r="E11" s="39" t="s">
        <v>213</v>
      </c>
      <c r="F11" s="29"/>
    </row>
    <row r="12" spans="1:10" x14ac:dyDescent="0.25">
      <c r="B12" s="21"/>
      <c r="C12" s="32" t="s">
        <v>214</v>
      </c>
      <c r="D12" s="36">
        <v>100</v>
      </c>
      <c r="F12" s="29" t="s">
        <v>215</v>
      </c>
    </row>
    <row r="13" spans="1:10" x14ac:dyDescent="0.25">
      <c r="B13" s="21"/>
      <c r="C13" s="32" t="s">
        <v>216</v>
      </c>
      <c r="D13" s="40">
        <f>100-D12</f>
        <v>0</v>
      </c>
      <c r="F13" s="29"/>
    </row>
    <row r="14" spans="1:10" x14ac:dyDescent="0.25">
      <c r="B14" s="21"/>
      <c r="C14" s="32" t="s">
        <v>217</v>
      </c>
      <c r="D14" s="37">
        <v>20</v>
      </c>
      <c r="F14" s="29"/>
    </row>
    <row r="15" spans="1:10" x14ac:dyDescent="0.25">
      <c r="B15" s="32" t="s">
        <v>218</v>
      </c>
      <c r="C15" s="432"/>
      <c r="D15" s="432"/>
      <c r="E15" s="295" t="s">
        <v>219</v>
      </c>
      <c r="F15" s="296"/>
      <c r="H15" s="41" t="s">
        <v>220</v>
      </c>
      <c r="I15" s="36">
        <v>10</v>
      </c>
    </row>
    <row r="16" spans="1:10" ht="12.6" thickBot="1" x14ac:dyDescent="0.3">
      <c r="F16" s="42"/>
    </row>
    <row r="17" spans="1:11" ht="36.6" thickBot="1" x14ac:dyDescent="0.3">
      <c r="A17" s="43" t="s">
        <v>221</v>
      </c>
      <c r="B17" s="44" t="s">
        <v>222</v>
      </c>
      <c r="C17" s="44" t="s">
        <v>223</v>
      </c>
      <c r="D17" s="45" t="str">
        <f>CONCATENATE("MONTO MENSUAL DESCONTADO ",ROUND(D14,0),"% ANTICIPO")</f>
        <v>MONTO MENSUAL DESCONTADO 20% ANTICIPO</v>
      </c>
      <c r="E17" s="46" t="s">
        <v>224</v>
      </c>
      <c r="F17" s="47" t="s">
        <v>225</v>
      </c>
      <c r="G17" s="48" t="s">
        <v>226</v>
      </c>
      <c r="H17" s="49" t="s">
        <v>227</v>
      </c>
      <c r="I17" s="50" t="str">
        <f>CONCATENATE("DESEMBOLSOS FONDO LOCAL (",ROUND(D13,0),"%) + IVA")</f>
        <v>DESEMBOLSOS FONDO LOCAL (0%) + IVA</v>
      </c>
      <c r="J17" s="50" t="str">
        <f>CONCATENATE("DESEMBOLSOS FONDO EXTERNO (",ROUND(D12,0),"%)")</f>
        <v>DESEMBOLSOS FONDO EXTERNO (100%)</v>
      </c>
      <c r="K17" s="217"/>
    </row>
    <row r="18" spans="1:11" ht="12.75" customHeight="1" x14ac:dyDescent="0.25">
      <c r="A18" s="51">
        <v>0</v>
      </c>
      <c r="B18" s="52">
        <f>D14/100</f>
        <v>0.2</v>
      </c>
      <c r="C18" s="52">
        <v>0</v>
      </c>
      <c r="D18" s="53">
        <f>ROUND(B18*D11,0)</f>
        <v>22200000</v>
      </c>
      <c r="E18" s="54">
        <f>D18</f>
        <v>22200000</v>
      </c>
      <c r="F18" s="55">
        <f>E18/$E$42</f>
        <v>0.2</v>
      </c>
      <c r="G18" s="56" t="s">
        <v>228</v>
      </c>
      <c r="H18" s="57">
        <f t="shared" ref="H18:H33" si="0">ROUND(D18*0.1,0)</f>
        <v>2220000</v>
      </c>
      <c r="I18" s="58">
        <f t="shared" ref="I18:I42" si="1">ROUNDUP((D18+H18-J18),-(LEN(D18)-$I$15))</f>
        <v>2220000</v>
      </c>
      <c r="J18" s="58">
        <f t="shared" ref="J18:J33" si="2">ROUNDUP(D18*$D$12/100,-(LEN(D18)-$I$15))</f>
        <v>22200000</v>
      </c>
      <c r="K18" s="217"/>
    </row>
    <row r="19" spans="1:11" ht="12.6" thickBot="1" x14ac:dyDescent="0.3">
      <c r="A19" s="59">
        <v>1</v>
      </c>
      <c r="B19" s="60">
        <v>2.5000000000000001E-2</v>
      </c>
      <c r="C19" s="60">
        <f t="shared" ref="C19:C42" si="3">B19+C18</f>
        <v>2.5000000000000001E-2</v>
      </c>
      <c r="D19" s="61">
        <f>ROUND(B19*$D$11*(100-$D$14)/100,0)</f>
        <v>2220000</v>
      </c>
      <c r="E19" s="62">
        <f t="shared" ref="E19:E33" si="4">E18+D19</f>
        <v>24420000</v>
      </c>
      <c r="F19" s="63">
        <f>E19/$E$42</f>
        <v>0.22</v>
      </c>
      <c r="G19" s="64" t="s">
        <v>35</v>
      </c>
      <c r="H19" s="65">
        <f t="shared" si="0"/>
        <v>222000</v>
      </c>
      <c r="I19" s="66">
        <f t="shared" si="1"/>
        <v>222000</v>
      </c>
      <c r="J19" s="66">
        <f t="shared" si="2"/>
        <v>2220000</v>
      </c>
      <c r="K19" s="217"/>
    </row>
    <row r="20" spans="1:11" x14ac:dyDescent="0.25">
      <c r="A20" s="59">
        <v>2</v>
      </c>
      <c r="B20" s="60">
        <v>0.03</v>
      </c>
      <c r="C20" s="60">
        <f t="shared" si="3"/>
        <v>5.5E-2</v>
      </c>
      <c r="D20" s="61">
        <f t="shared" ref="D20:D42" si="5">ROUND(B20*$D$11*(100-$D$14)/100,0)</f>
        <v>2664000</v>
      </c>
      <c r="E20" s="62">
        <f t="shared" si="4"/>
        <v>27084000</v>
      </c>
      <c r="F20" s="55">
        <f t="shared" ref="F20:F42" si="6">E20/$E$42</f>
        <v>0.24399999999999999</v>
      </c>
      <c r="G20" s="64" t="s">
        <v>36</v>
      </c>
      <c r="H20" s="65">
        <f t="shared" si="0"/>
        <v>266400</v>
      </c>
      <c r="I20" s="66">
        <f t="shared" si="1"/>
        <v>266400</v>
      </c>
      <c r="J20" s="66">
        <f t="shared" si="2"/>
        <v>2664000</v>
      </c>
      <c r="K20" s="218"/>
    </row>
    <row r="21" spans="1:11" ht="12.6" thickBot="1" x14ac:dyDescent="0.3">
      <c r="A21" s="59">
        <v>3</v>
      </c>
      <c r="B21" s="60">
        <v>3.5000000000000003E-2</v>
      </c>
      <c r="C21" s="60">
        <f>B21+C20</f>
        <v>0.09</v>
      </c>
      <c r="D21" s="61">
        <f t="shared" si="5"/>
        <v>3108000</v>
      </c>
      <c r="E21" s="62">
        <f t="shared" si="4"/>
        <v>30192000</v>
      </c>
      <c r="F21" s="63">
        <f t="shared" si="6"/>
        <v>0.27200000000000002</v>
      </c>
      <c r="G21" s="64" t="s">
        <v>37</v>
      </c>
      <c r="H21" s="65">
        <f t="shared" si="0"/>
        <v>310800</v>
      </c>
      <c r="I21" s="66">
        <f t="shared" si="1"/>
        <v>310800</v>
      </c>
      <c r="J21" s="66">
        <f t="shared" si="2"/>
        <v>3108000</v>
      </c>
      <c r="K21" s="217"/>
    </row>
    <row r="22" spans="1:11" x14ac:dyDescent="0.25">
      <c r="A22" s="59">
        <v>4</v>
      </c>
      <c r="B22" s="60">
        <v>3.5000000000000003E-2</v>
      </c>
      <c r="C22" s="60">
        <f t="shared" si="3"/>
        <v>0.125</v>
      </c>
      <c r="D22" s="61">
        <f t="shared" si="5"/>
        <v>3108000</v>
      </c>
      <c r="E22" s="62">
        <f t="shared" si="4"/>
        <v>33300000</v>
      </c>
      <c r="F22" s="55">
        <f t="shared" si="6"/>
        <v>0.3</v>
      </c>
      <c r="G22" s="64" t="s">
        <v>38</v>
      </c>
      <c r="H22" s="65">
        <f t="shared" si="0"/>
        <v>310800</v>
      </c>
      <c r="I22" s="66">
        <f t="shared" si="1"/>
        <v>310800</v>
      </c>
      <c r="J22" s="66">
        <f t="shared" si="2"/>
        <v>3108000</v>
      </c>
      <c r="K22" s="219"/>
    </row>
    <row r="23" spans="1:11" ht="12.6" thickBot="1" x14ac:dyDescent="0.3">
      <c r="A23" s="59">
        <v>5</v>
      </c>
      <c r="B23" s="60">
        <v>0.04</v>
      </c>
      <c r="C23" s="60">
        <f t="shared" si="3"/>
        <v>0.16500000000000001</v>
      </c>
      <c r="D23" s="61">
        <f t="shared" si="5"/>
        <v>3552000</v>
      </c>
      <c r="E23" s="62">
        <f t="shared" si="4"/>
        <v>36852000</v>
      </c>
      <c r="F23" s="63">
        <f t="shared" si="6"/>
        <v>0.33200000000000002</v>
      </c>
      <c r="G23" s="64" t="s">
        <v>39</v>
      </c>
      <c r="H23" s="65">
        <f t="shared" si="0"/>
        <v>355200</v>
      </c>
      <c r="I23" s="66">
        <f t="shared" si="1"/>
        <v>355200</v>
      </c>
      <c r="J23" s="66">
        <f t="shared" si="2"/>
        <v>3552000</v>
      </c>
      <c r="K23" s="219"/>
    </row>
    <row r="24" spans="1:11" x14ac:dyDescent="0.25">
      <c r="A24" s="59">
        <v>6</v>
      </c>
      <c r="B24" s="60">
        <v>4.4999999999999998E-2</v>
      </c>
      <c r="C24" s="60">
        <f t="shared" si="3"/>
        <v>0.21000000000000002</v>
      </c>
      <c r="D24" s="61">
        <f t="shared" si="5"/>
        <v>3996000</v>
      </c>
      <c r="E24" s="62">
        <f t="shared" si="4"/>
        <v>40848000</v>
      </c>
      <c r="F24" s="55">
        <f t="shared" si="6"/>
        <v>0.36799999999999999</v>
      </c>
      <c r="G24" s="64" t="s">
        <v>40</v>
      </c>
      <c r="H24" s="65">
        <f t="shared" si="0"/>
        <v>399600</v>
      </c>
      <c r="I24" s="66">
        <f t="shared" si="1"/>
        <v>399600</v>
      </c>
      <c r="J24" s="66">
        <f t="shared" si="2"/>
        <v>3996000</v>
      </c>
      <c r="K24" s="219"/>
    </row>
    <row r="25" spans="1:11" ht="12.6" thickBot="1" x14ac:dyDescent="0.3">
      <c r="A25" s="59">
        <v>7</v>
      </c>
      <c r="B25" s="60">
        <v>4.4999999999999998E-2</v>
      </c>
      <c r="C25" s="60">
        <f t="shared" si="3"/>
        <v>0.255</v>
      </c>
      <c r="D25" s="61">
        <f t="shared" si="5"/>
        <v>3996000</v>
      </c>
      <c r="E25" s="62">
        <f t="shared" si="4"/>
        <v>44844000</v>
      </c>
      <c r="F25" s="63">
        <f t="shared" si="6"/>
        <v>0.40400000000000003</v>
      </c>
      <c r="G25" s="64" t="s">
        <v>41</v>
      </c>
      <c r="H25" s="65">
        <f t="shared" si="0"/>
        <v>399600</v>
      </c>
      <c r="I25" s="66">
        <f t="shared" si="1"/>
        <v>399600</v>
      </c>
      <c r="J25" s="66">
        <f t="shared" si="2"/>
        <v>3996000</v>
      </c>
      <c r="K25" s="220"/>
    </row>
    <row r="26" spans="1:11" x14ac:dyDescent="0.25">
      <c r="A26" s="59">
        <v>8</v>
      </c>
      <c r="B26" s="60">
        <v>0.05</v>
      </c>
      <c r="C26" s="60">
        <f t="shared" si="3"/>
        <v>0.30499999999999999</v>
      </c>
      <c r="D26" s="61">
        <f t="shared" si="5"/>
        <v>4440000</v>
      </c>
      <c r="E26" s="62">
        <f t="shared" si="4"/>
        <v>49284000</v>
      </c>
      <c r="F26" s="55">
        <f t="shared" si="6"/>
        <v>0.44400000000000001</v>
      </c>
      <c r="G26" s="64" t="s">
        <v>42</v>
      </c>
      <c r="H26" s="65">
        <f t="shared" si="0"/>
        <v>444000</v>
      </c>
      <c r="I26" s="66">
        <f t="shared" si="1"/>
        <v>444000</v>
      </c>
      <c r="J26" s="66">
        <f t="shared" si="2"/>
        <v>4440000</v>
      </c>
      <c r="K26" s="219"/>
    </row>
    <row r="27" spans="1:11" ht="12.6" thickBot="1" x14ac:dyDescent="0.3">
      <c r="A27" s="59">
        <v>9</v>
      </c>
      <c r="B27" s="60">
        <v>5.5E-2</v>
      </c>
      <c r="C27" s="60">
        <f t="shared" si="3"/>
        <v>0.36</v>
      </c>
      <c r="D27" s="61">
        <f t="shared" si="5"/>
        <v>4884000</v>
      </c>
      <c r="E27" s="62">
        <f t="shared" si="4"/>
        <v>54168000</v>
      </c>
      <c r="F27" s="63">
        <f t="shared" si="6"/>
        <v>0.48799999999999999</v>
      </c>
      <c r="G27" s="64" t="s">
        <v>43</v>
      </c>
      <c r="H27" s="65">
        <f t="shared" si="0"/>
        <v>488400</v>
      </c>
      <c r="I27" s="66">
        <f t="shared" si="1"/>
        <v>488400</v>
      </c>
      <c r="J27" s="66">
        <f t="shared" si="2"/>
        <v>4884000</v>
      </c>
      <c r="K27" s="219"/>
    </row>
    <row r="28" spans="1:11" x14ac:dyDescent="0.25">
      <c r="A28" s="59">
        <v>10</v>
      </c>
      <c r="B28" s="60">
        <v>5.5E-2</v>
      </c>
      <c r="C28" s="60">
        <f t="shared" si="3"/>
        <v>0.41499999999999998</v>
      </c>
      <c r="D28" s="61">
        <f t="shared" si="5"/>
        <v>4884000</v>
      </c>
      <c r="E28" s="62">
        <f t="shared" si="4"/>
        <v>59052000</v>
      </c>
      <c r="F28" s="55">
        <f t="shared" si="6"/>
        <v>0.53200000000000003</v>
      </c>
      <c r="G28" s="64" t="s">
        <v>44</v>
      </c>
      <c r="H28" s="65">
        <f t="shared" si="0"/>
        <v>488400</v>
      </c>
      <c r="I28" s="66">
        <f t="shared" si="1"/>
        <v>488400</v>
      </c>
      <c r="J28" s="66">
        <f t="shared" si="2"/>
        <v>4884000</v>
      </c>
      <c r="K28" s="219"/>
    </row>
    <row r="29" spans="1:11" ht="12.6" thickBot="1" x14ac:dyDescent="0.3">
      <c r="A29" s="59">
        <v>11</v>
      </c>
      <c r="B29" s="60">
        <v>5.5E-2</v>
      </c>
      <c r="C29" s="60">
        <f t="shared" si="3"/>
        <v>0.47</v>
      </c>
      <c r="D29" s="61">
        <f t="shared" si="5"/>
        <v>4884000</v>
      </c>
      <c r="E29" s="62">
        <f t="shared" si="4"/>
        <v>63936000</v>
      </c>
      <c r="F29" s="63">
        <f t="shared" si="6"/>
        <v>0.57599999999999996</v>
      </c>
      <c r="G29" s="64" t="s">
        <v>45</v>
      </c>
      <c r="H29" s="65">
        <f t="shared" si="0"/>
        <v>488400</v>
      </c>
      <c r="I29" s="66">
        <f t="shared" si="1"/>
        <v>488400</v>
      </c>
      <c r="J29" s="66">
        <f t="shared" si="2"/>
        <v>4884000</v>
      </c>
      <c r="K29" s="219"/>
    </row>
    <row r="30" spans="1:11" x14ac:dyDescent="0.25">
      <c r="A30" s="59">
        <v>12</v>
      </c>
      <c r="B30" s="60">
        <v>0.06</v>
      </c>
      <c r="C30" s="60">
        <f t="shared" si="3"/>
        <v>0.53</v>
      </c>
      <c r="D30" s="61">
        <f t="shared" si="5"/>
        <v>5328000</v>
      </c>
      <c r="E30" s="62">
        <f t="shared" si="4"/>
        <v>69264000</v>
      </c>
      <c r="F30" s="55">
        <f t="shared" si="6"/>
        <v>0.624</v>
      </c>
      <c r="G30" s="64" t="s">
        <v>46</v>
      </c>
      <c r="H30" s="65">
        <f t="shared" si="0"/>
        <v>532800</v>
      </c>
      <c r="I30" s="66">
        <f t="shared" si="1"/>
        <v>532800</v>
      </c>
      <c r="J30" s="66">
        <f t="shared" si="2"/>
        <v>5328000</v>
      </c>
      <c r="K30" s="219"/>
    </row>
    <row r="31" spans="1:11" ht="12.6" thickBot="1" x14ac:dyDescent="0.3">
      <c r="A31" s="59">
        <v>13</v>
      </c>
      <c r="B31" s="60">
        <v>7.0000000000000007E-2</v>
      </c>
      <c r="C31" s="60">
        <f t="shared" si="3"/>
        <v>0.60000000000000009</v>
      </c>
      <c r="D31" s="61">
        <f t="shared" si="5"/>
        <v>6216000</v>
      </c>
      <c r="E31" s="62">
        <f t="shared" si="4"/>
        <v>75480000</v>
      </c>
      <c r="F31" s="63">
        <f t="shared" si="6"/>
        <v>0.68</v>
      </c>
      <c r="G31" s="64" t="s">
        <v>47</v>
      </c>
      <c r="H31" s="65">
        <f t="shared" si="0"/>
        <v>621600</v>
      </c>
      <c r="I31" s="66">
        <f t="shared" si="1"/>
        <v>621600</v>
      </c>
      <c r="J31" s="66">
        <f t="shared" si="2"/>
        <v>6216000</v>
      </c>
      <c r="K31" s="219"/>
    </row>
    <row r="32" spans="1:11" x14ac:dyDescent="0.25">
      <c r="A32" s="59">
        <v>14</v>
      </c>
      <c r="B32" s="60">
        <v>7.0000000000000007E-2</v>
      </c>
      <c r="C32" s="60">
        <f t="shared" si="3"/>
        <v>0.67000000000000015</v>
      </c>
      <c r="D32" s="61">
        <f t="shared" si="5"/>
        <v>6216000</v>
      </c>
      <c r="E32" s="62">
        <f t="shared" si="4"/>
        <v>81696000</v>
      </c>
      <c r="F32" s="55">
        <f t="shared" si="6"/>
        <v>0.73599999999999999</v>
      </c>
      <c r="G32" s="64" t="s">
        <v>48</v>
      </c>
      <c r="H32" s="65">
        <f t="shared" si="0"/>
        <v>621600</v>
      </c>
      <c r="I32" s="66">
        <f t="shared" si="1"/>
        <v>621600</v>
      </c>
      <c r="J32" s="66">
        <f t="shared" si="2"/>
        <v>6216000</v>
      </c>
      <c r="K32" s="221"/>
    </row>
    <row r="33" spans="1:11" ht="12.6" thickBot="1" x14ac:dyDescent="0.3">
      <c r="A33" s="59">
        <v>15</v>
      </c>
      <c r="B33" s="60">
        <v>6.5000000000000002E-2</v>
      </c>
      <c r="C33" s="60">
        <f t="shared" si="3"/>
        <v>0.7350000000000001</v>
      </c>
      <c r="D33" s="61">
        <f t="shared" si="5"/>
        <v>5772000</v>
      </c>
      <c r="E33" s="62">
        <f t="shared" si="4"/>
        <v>87468000</v>
      </c>
      <c r="F33" s="63">
        <f t="shared" si="6"/>
        <v>0.78800000000000003</v>
      </c>
      <c r="G33" s="64" t="s">
        <v>49</v>
      </c>
      <c r="H33" s="65">
        <f t="shared" si="0"/>
        <v>577200</v>
      </c>
      <c r="I33" s="66">
        <f t="shared" si="1"/>
        <v>577200</v>
      </c>
      <c r="J33" s="66">
        <f t="shared" si="2"/>
        <v>5772000</v>
      </c>
      <c r="K33" s="219"/>
    </row>
    <row r="34" spans="1:11" x14ac:dyDescent="0.25">
      <c r="A34" s="59">
        <v>16</v>
      </c>
      <c r="B34" s="60">
        <v>6.5000000000000002E-2</v>
      </c>
      <c r="C34" s="60">
        <f t="shared" si="3"/>
        <v>0.8</v>
      </c>
      <c r="D34" s="61">
        <f t="shared" si="5"/>
        <v>5772000</v>
      </c>
      <c r="E34" s="62">
        <f>E33+D34</f>
        <v>93240000</v>
      </c>
      <c r="F34" s="55">
        <f t="shared" si="6"/>
        <v>0.84</v>
      </c>
      <c r="G34" s="64" t="s">
        <v>50</v>
      </c>
      <c r="H34" s="65">
        <f>ROUND(D34*0.1,0)</f>
        <v>577200</v>
      </c>
      <c r="I34" s="66">
        <f t="shared" si="1"/>
        <v>577200</v>
      </c>
      <c r="J34" s="66">
        <f>ROUNDUP(D34*$D$12/100,-(LEN(D34)-$I$15))</f>
        <v>5772000</v>
      </c>
      <c r="K34" s="219"/>
    </row>
    <row r="35" spans="1:11" ht="12.6" thickBot="1" x14ac:dyDescent="0.3">
      <c r="A35" s="59">
        <v>17</v>
      </c>
      <c r="B35" s="60">
        <v>0.05</v>
      </c>
      <c r="C35" s="60">
        <f t="shared" si="3"/>
        <v>0.85000000000000009</v>
      </c>
      <c r="D35" s="61">
        <f t="shared" si="5"/>
        <v>4440000</v>
      </c>
      <c r="E35" s="62">
        <f>E34+D35</f>
        <v>97680000</v>
      </c>
      <c r="F35" s="63">
        <f t="shared" si="6"/>
        <v>0.88</v>
      </c>
      <c r="G35" s="64" t="s">
        <v>51</v>
      </c>
      <c r="H35" s="65">
        <f>ROUND(D35*0.1,0)</f>
        <v>444000</v>
      </c>
      <c r="I35" s="66">
        <f t="shared" si="1"/>
        <v>444000</v>
      </c>
      <c r="J35" s="66">
        <f>ROUNDUP(D35*$D$12/100,-(LEN(D35)-$I$15))</f>
        <v>4440000</v>
      </c>
      <c r="K35" s="219"/>
    </row>
    <row r="36" spans="1:11" ht="12.6" thickBot="1" x14ac:dyDescent="0.3">
      <c r="A36" s="71">
        <v>18</v>
      </c>
      <c r="B36" s="60">
        <v>0.05</v>
      </c>
      <c r="C36" s="60">
        <f t="shared" si="3"/>
        <v>0.90000000000000013</v>
      </c>
      <c r="D36" s="61">
        <f t="shared" si="5"/>
        <v>4440000</v>
      </c>
      <c r="E36" s="74">
        <f>E35+D36</f>
        <v>102120000</v>
      </c>
      <c r="F36" s="55">
        <f t="shared" si="6"/>
        <v>0.92</v>
      </c>
      <c r="G36" s="76" t="s">
        <v>52</v>
      </c>
      <c r="H36" s="77">
        <f>ROUND(D36*0.1,0)</f>
        <v>444000</v>
      </c>
      <c r="I36" s="66">
        <f t="shared" si="1"/>
        <v>444000</v>
      </c>
      <c r="J36" s="78">
        <f>ROUNDUP(D36*$D$12/100,-(LEN(D36)-$I$15))</f>
        <v>4440000</v>
      </c>
      <c r="K36" s="221"/>
    </row>
    <row r="37" spans="1:11" ht="12.6" thickBot="1" x14ac:dyDescent="0.3">
      <c r="A37" s="59">
        <v>19</v>
      </c>
      <c r="B37" s="60">
        <v>0.04</v>
      </c>
      <c r="C37" s="60">
        <f t="shared" si="3"/>
        <v>0.94000000000000017</v>
      </c>
      <c r="D37" s="61">
        <f t="shared" si="5"/>
        <v>3552000</v>
      </c>
      <c r="E37" s="62">
        <f t="shared" ref="E37:E42" si="7">E36+D37</f>
        <v>105672000</v>
      </c>
      <c r="F37" s="63">
        <f t="shared" si="6"/>
        <v>0.95199999999999996</v>
      </c>
      <c r="G37" s="64" t="s">
        <v>53</v>
      </c>
      <c r="H37" s="65">
        <f t="shared" ref="H37:H42" si="8">ROUND(D37*0.1,0)</f>
        <v>355200</v>
      </c>
      <c r="I37" s="66">
        <f t="shared" si="1"/>
        <v>355200</v>
      </c>
      <c r="J37" s="78">
        <f t="shared" ref="J37:J42" si="9">ROUNDUP(D37*$D$12/100,-(LEN(D37)-$I$15))</f>
        <v>3552000</v>
      </c>
      <c r="K37" s="221"/>
    </row>
    <row r="38" spans="1:11" ht="12.6" thickBot="1" x14ac:dyDescent="0.3">
      <c r="A38" s="71">
        <v>20</v>
      </c>
      <c r="B38" s="60">
        <v>0.02</v>
      </c>
      <c r="C38" s="60">
        <f t="shared" si="3"/>
        <v>0.96000000000000019</v>
      </c>
      <c r="D38" s="61">
        <f t="shared" si="5"/>
        <v>1776000</v>
      </c>
      <c r="E38" s="74">
        <f t="shared" si="7"/>
        <v>107448000</v>
      </c>
      <c r="F38" s="55">
        <f t="shared" si="6"/>
        <v>0.96799999999999997</v>
      </c>
      <c r="G38" s="76" t="s">
        <v>54</v>
      </c>
      <c r="H38" s="77">
        <f t="shared" si="8"/>
        <v>177600</v>
      </c>
      <c r="I38" s="66">
        <f t="shared" si="1"/>
        <v>177600</v>
      </c>
      <c r="J38" s="78">
        <f t="shared" si="9"/>
        <v>1776000</v>
      </c>
      <c r="K38" s="221"/>
    </row>
    <row r="39" spans="1:11" ht="12.6" thickBot="1" x14ac:dyDescent="0.3">
      <c r="A39" s="59">
        <v>21</v>
      </c>
      <c r="B39" s="90">
        <v>0.01</v>
      </c>
      <c r="C39" s="60">
        <f t="shared" si="3"/>
        <v>0.9700000000000002</v>
      </c>
      <c r="D39" s="61">
        <f t="shared" si="5"/>
        <v>888000</v>
      </c>
      <c r="E39" s="62">
        <f t="shared" si="7"/>
        <v>108336000</v>
      </c>
      <c r="F39" s="63">
        <f t="shared" si="6"/>
        <v>0.97599999999999998</v>
      </c>
      <c r="G39" s="64" t="s">
        <v>55</v>
      </c>
      <c r="H39" s="65">
        <f t="shared" si="8"/>
        <v>88800</v>
      </c>
      <c r="I39" s="78">
        <f>ROUNDUP((D39+H39-J39),-(LEN(D39)-$I$15))</f>
        <v>88800</v>
      </c>
      <c r="J39" s="78">
        <f t="shared" si="9"/>
        <v>888000</v>
      </c>
      <c r="K39" s="221"/>
    </row>
    <row r="40" spans="1:11" ht="12.6" thickBot="1" x14ac:dyDescent="0.3">
      <c r="A40" s="71">
        <v>22</v>
      </c>
      <c r="B40" s="60">
        <v>0.01</v>
      </c>
      <c r="C40" s="60">
        <f t="shared" si="3"/>
        <v>0.9800000000000002</v>
      </c>
      <c r="D40" s="61">
        <f t="shared" si="5"/>
        <v>888000</v>
      </c>
      <c r="E40" s="74">
        <f t="shared" si="7"/>
        <v>109224000</v>
      </c>
      <c r="F40" s="55">
        <f t="shared" si="6"/>
        <v>0.98399999999999999</v>
      </c>
      <c r="G40" s="76" t="s">
        <v>56</v>
      </c>
      <c r="H40" s="77">
        <f t="shared" si="8"/>
        <v>88800</v>
      </c>
      <c r="I40" s="66">
        <f t="shared" si="1"/>
        <v>88800</v>
      </c>
      <c r="J40" s="78">
        <f t="shared" si="9"/>
        <v>888000</v>
      </c>
      <c r="K40" s="221"/>
    </row>
    <row r="41" spans="1:11" ht="12.6" thickBot="1" x14ac:dyDescent="0.3">
      <c r="A41" s="59">
        <v>23</v>
      </c>
      <c r="B41" s="60">
        <v>0.01</v>
      </c>
      <c r="C41" s="60">
        <f t="shared" si="3"/>
        <v>0.99000000000000021</v>
      </c>
      <c r="D41" s="61">
        <f t="shared" si="5"/>
        <v>888000</v>
      </c>
      <c r="E41" s="62">
        <f t="shared" si="7"/>
        <v>110112000</v>
      </c>
      <c r="F41" s="63">
        <f t="shared" si="6"/>
        <v>0.99199999999999999</v>
      </c>
      <c r="G41" s="64" t="s">
        <v>57</v>
      </c>
      <c r="H41" s="65">
        <f t="shared" si="8"/>
        <v>88800</v>
      </c>
      <c r="I41" s="66">
        <f t="shared" si="1"/>
        <v>88800</v>
      </c>
      <c r="J41" s="78">
        <f t="shared" si="9"/>
        <v>888000</v>
      </c>
      <c r="K41" s="221"/>
    </row>
    <row r="42" spans="1:11" ht="12.6" thickBot="1" x14ac:dyDescent="0.3">
      <c r="A42" s="71">
        <v>24</v>
      </c>
      <c r="B42" s="72">
        <v>0.01</v>
      </c>
      <c r="C42" s="60">
        <f t="shared" si="3"/>
        <v>1.0000000000000002</v>
      </c>
      <c r="D42" s="61">
        <f t="shared" si="5"/>
        <v>888000</v>
      </c>
      <c r="E42" s="74">
        <f t="shared" si="7"/>
        <v>111000000</v>
      </c>
      <c r="F42" s="55">
        <f t="shared" si="6"/>
        <v>1</v>
      </c>
      <c r="G42" s="76" t="s">
        <v>58</v>
      </c>
      <c r="H42" s="77">
        <f t="shared" si="8"/>
        <v>88800</v>
      </c>
      <c r="I42" s="78">
        <f t="shared" si="1"/>
        <v>88800</v>
      </c>
      <c r="J42" s="78">
        <f t="shared" si="9"/>
        <v>888000</v>
      </c>
      <c r="K42" s="221"/>
    </row>
    <row r="43" spans="1:11" ht="20.25" customHeight="1" thickBot="1" x14ac:dyDescent="0.3">
      <c r="A43" s="79" t="str">
        <f>A42*30 &amp; " dias"</f>
        <v>720 dias</v>
      </c>
      <c r="B43" s="80">
        <f>SUM(B19:B42)</f>
        <v>1.0000000000000002</v>
      </c>
      <c r="C43" s="81"/>
      <c r="D43" s="82">
        <f>SUM(D18:D42)</f>
        <v>111000000</v>
      </c>
      <c r="E43" s="21"/>
      <c r="H43" s="21"/>
      <c r="I43" s="83">
        <f>SUM(I18:I42)</f>
        <v>11100000</v>
      </c>
      <c r="J43" s="83">
        <f>SUM(J18:J42)</f>
        <v>111000000</v>
      </c>
      <c r="K43" s="219"/>
    </row>
    <row r="44" spans="1:11" ht="15" customHeight="1" x14ac:dyDescent="0.25">
      <c r="A44" s="26"/>
      <c r="F44" s="29"/>
      <c r="G44" s="29"/>
      <c r="H44" s="32" t="s">
        <v>229</v>
      </c>
      <c r="I44" s="426">
        <f>I43+J43</f>
        <v>122100000</v>
      </c>
      <c r="J44" s="427"/>
    </row>
    <row r="45" spans="1:11" x14ac:dyDescent="0.25">
      <c r="A45" s="25" t="s">
        <v>230</v>
      </c>
      <c r="B45" s="25"/>
      <c r="C45" s="25"/>
      <c r="H45" s="32" t="s">
        <v>231</v>
      </c>
      <c r="I45" s="41">
        <f>I44/1.1-D11</f>
        <v>0</v>
      </c>
    </row>
    <row r="46" spans="1:11" x14ac:dyDescent="0.25">
      <c r="B46" s="84"/>
    </row>
    <row r="47" spans="1:11" x14ac:dyDescent="0.25">
      <c r="B47" s="84"/>
    </row>
    <row r="49" spans="1:27" s="87" customFormat="1" ht="12.75" customHeight="1" x14ac:dyDescent="0.25">
      <c r="A49" s="85"/>
      <c r="B49" s="86" t="s">
        <v>232</v>
      </c>
      <c r="C49" s="86" t="s">
        <v>35</v>
      </c>
      <c r="D49" s="86" t="s">
        <v>36</v>
      </c>
      <c r="E49" s="86" t="s">
        <v>37</v>
      </c>
      <c r="F49" s="86" t="s">
        <v>38</v>
      </c>
      <c r="G49" s="86" t="s">
        <v>39</v>
      </c>
      <c r="H49" s="86" t="s">
        <v>40</v>
      </c>
      <c r="I49" s="86" t="s">
        <v>41</v>
      </c>
      <c r="J49" s="86" t="s">
        <v>42</v>
      </c>
      <c r="K49" s="86" t="s">
        <v>43</v>
      </c>
      <c r="L49" s="86" t="s">
        <v>44</v>
      </c>
      <c r="M49" s="86" t="s">
        <v>45</v>
      </c>
      <c r="N49" s="86" t="s">
        <v>46</v>
      </c>
      <c r="O49" s="86" t="s">
        <v>47</v>
      </c>
      <c r="P49" s="86" t="s">
        <v>48</v>
      </c>
      <c r="Q49" s="86" t="s">
        <v>49</v>
      </c>
      <c r="R49" s="86" t="s">
        <v>50</v>
      </c>
      <c r="S49" s="86" t="s">
        <v>51</v>
      </c>
      <c r="T49" s="86" t="s">
        <v>52</v>
      </c>
      <c r="U49" s="86" t="s">
        <v>53</v>
      </c>
      <c r="V49" s="86" t="s">
        <v>54</v>
      </c>
      <c r="W49" s="86" t="s">
        <v>55</v>
      </c>
      <c r="X49" s="86" t="s">
        <v>56</v>
      </c>
      <c r="Y49" s="86" t="s">
        <v>57</v>
      </c>
      <c r="Z49" s="86" t="s">
        <v>58</v>
      </c>
    </row>
    <row r="50" spans="1:27" x14ac:dyDescent="0.25">
      <c r="A50" s="88" t="s">
        <v>233</v>
      </c>
      <c r="B50" s="61">
        <v>0</v>
      </c>
      <c r="C50" s="61">
        <v>0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1">
        <v>0</v>
      </c>
      <c r="R50" s="61">
        <v>0</v>
      </c>
      <c r="S50" s="61">
        <v>0</v>
      </c>
      <c r="T50" s="61">
        <v>0</v>
      </c>
      <c r="U50" s="29">
        <f>SUM(B50:T50)</f>
        <v>0</v>
      </c>
      <c r="V50" s="29">
        <f t="shared" ref="V50:AA50" si="10">SUM(C50:U50)</f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</row>
    <row r="51" spans="1:27" x14ac:dyDescent="0.25">
      <c r="A51" s="88" t="s">
        <v>234</v>
      </c>
      <c r="B51" s="61">
        <f>$J18</f>
        <v>22200000</v>
      </c>
      <c r="C51" s="61">
        <f>$J19</f>
        <v>2220000</v>
      </c>
      <c r="D51" s="61">
        <f>$J20</f>
        <v>2664000</v>
      </c>
      <c r="E51" s="61">
        <f>$J21</f>
        <v>3108000</v>
      </c>
      <c r="F51" s="61">
        <f>$J22</f>
        <v>3108000</v>
      </c>
      <c r="G51" s="61">
        <f>$J23</f>
        <v>3552000</v>
      </c>
      <c r="H51" s="61">
        <f>$J24</f>
        <v>3996000</v>
      </c>
      <c r="I51" s="61">
        <f>$J25</f>
        <v>3996000</v>
      </c>
      <c r="J51" s="61">
        <f>$J26</f>
        <v>4440000</v>
      </c>
      <c r="K51" s="61">
        <f>$J27</f>
        <v>4884000</v>
      </c>
      <c r="L51" s="61">
        <f>$J28</f>
        <v>4884000</v>
      </c>
      <c r="M51" s="61">
        <f>$J29</f>
        <v>4884000</v>
      </c>
      <c r="N51" s="61">
        <f>$J30</f>
        <v>5328000</v>
      </c>
      <c r="O51" s="61">
        <f>$J31</f>
        <v>6216000</v>
      </c>
      <c r="P51" s="61">
        <f>$J32</f>
        <v>6216000</v>
      </c>
      <c r="Q51" s="61">
        <f>$J33</f>
        <v>5772000</v>
      </c>
      <c r="R51" s="61">
        <f>$J34</f>
        <v>5772000</v>
      </c>
      <c r="S51" s="61">
        <f>$J35</f>
        <v>4440000</v>
      </c>
      <c r="T51" s="61">
        <f>$J36</f>
        <v>4440000</v>
      </c>
      <c r="U51" s="61">
        <f>$J37</f>
        <v>3552000</v>
      </c>
      <c r="V51" s="61">
        <f>$J38</f>
        <v>1776000</v>
      </c>
      <c r="W51" s="61">
        <f>$J39</f>
        <v>888000</v>
      </c>
      <c r="X51" s="61">
        <f>$J40</f>
        <v>888000</v>
      </c>
      <c r="Y51" s="61">
        <f>$J41</f>
        <v>888000</v>
      </c>
      <c r="Z51" s="61">
        <f>$J42</f>
        <v>888000</v>
      </c>
      <c r="AA51" s="29">
        <f>SUM(B51:Z51)</f>
        <v>111000000</v>
      </c>
    </row>
    <row r="52" spans="1:27" x14ac:dyDescent="0.25">
      <c r="B52" s="61">
        <f>B50+B51</f>
        <v>22200000</v>
      </c>
      <c r="C52" s="61">
        <f t="shared" ref="C52:Z52" si="11">C50+C51</f>
        <v>2220000</v>
      </c>
      <c r="D52" s="61">
        <f t="shared" si="11"/>
        <v>2664000</v>
      </c>
      <c r="E52" s="61">
        <f t="shared" si="11"/>
        <v>3108000</v>
      </c>
      <c r="F52" s="61">
        <f t="shared" si="11"/>
        <v>3108000</v>
      </c>
      <c r="G52" s="61">
        <f t="shared" si="11"/>
        <v>3552000</v>
      </c>
      <c r="H52" s="61">
        <f t="shared" si="11"/>
        <v>3996000</v>
      </c>
      <c r="I52" s="61">
        <f t="shared" si="11"/>
        <v>3996000</v>
      </c>
      <c r="J52" s="61">
        <f t="shared" si="11"/>
        <v>4440000</v>
      </c>
      <c r="K52" s="61">
        <f t="shared" si="11"/>
        <v>4884000</v>
      </c>
      <c r="L52" s="61">
        <f t="shared" si="11"/>
        <v>4884000</v>
      </c>
      <c r="M52" s="61">
        <f t="shared" si="11"/>
        <v>4884000</v>
      </c>
      <c r="N52" s="61">
        <f t="shared" si="11"/>
        <v>5328000</v>
      </c>
      <c r="O52" s="61">
        <f t="shared" si="11"/>
        <v>6216000</v>
      </c>
      <c r="P52" s="61">
        <f t="shared" si="11"/>
        <v>6216000</v>
      </c>
      <c r="Q52" s="61">
        <f t="shared" si="11"/>
        <v>5772000</v>
      </c>
      <c r="R52" s="61">
        <f t="shared" si="11"/>
        <v>5772000</v>
      </c>
      <c r="S52" s="61">
        <f t="shared" si="11"/>
        <v>4440000</v>
      </c>
      <c r="T52" s="61">
        <f t="shared" si="11"/>
        <v>4440000</v>
      </c>
      <c r="U52" s="61">
        <f t="shared" si="11"/>
        <v>3552000</v>
      </c>
      <c r="V52" s="61">
        <f t="shared" si="11"/>
        <v>1776000</v>
      </c>
      <c r="W52" s="61">
        <f t="shared" si="11"/>
        <v>888000</v>
      </c>
      <c r="X52" s="61">
        <f t="shared" si="11"/>
        <v>888000</v>
      </c>
      <c r="Y52" s="61">
        <f t="shared" si="11"/>
        <v>888000</v>
      </c>
      <c r="Z52" s="61">
        <f t="shared" si="11"/>
        <v>888000</v>
      </c>
      <c r="AA52" s="61">
        <f>U50+AA51</f>
        <v>111000000</v>
      </c>
    </row>
    <row r="53" spans="1:27" x14ac:dyDescent="0.25">
      <c r="B53" s="89">
        <f>SUM(B52:Z52)</f>
        <v>111000000</v>
      </c>
    </row>
  </sheetData>
  <mergeCells count="6">
    <mergeCell ref="I44:J44"/>
    <mergeCell ref="A1:J1"/>
    <mergeCell ref="B3:I4"/>
    <mergeCell ref="A5:C5"/>
    <mergeCell ref="D7:F7"/>
    <mergeCell ref="C15:D15"/>
  </mergeCells>
  <printOptions horizontalCentered="1"/>
  <pageMargins left="0.39370078740157483" right="0.39370078740157483" top="1.0236220472440944" bottom="0.78740157480314965" header="0.39370078740157483" footer="0.59055118110236227"/>
  <pageSetup scale="58" orientation="landscape" blackAndWhite="1" r:id="rId1"/>
  <headerFooter alignWithMargins="0">
    <oddHeader>&amp;C&amp;14Ministerio de Obras Públicas y Comunicaciones
Dirección de Caminos Vecinales
Departamento de Planificación y Proyectos</oddHeader>
    <oddFooter>&amp;L&amp;A&amp;C&amp;N&amp;R&amp;D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AF41E64800BD74D8D0F3353FD166F16" ma:contentTypeVersion="2994" ma:contentTypeDescription="A content type to manage public (operations) IDB documents" ma:contentTypeScope="" ma:versionID="d73f6a039a7d7879419f3d39ec923f3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Baladi Rodriguez,Aziz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TaxCatchAll xmlns="cdc7663a-08f0-4737-9e8c-148ce897a09c">
      <Value>5</Value>
      <Value>4</Value>
      <Value>3</Value>
      <Value>79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AR-L1307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R0001228914</Record_x0020_Number>
    <_dlc_DocId xmlns="cdc7663a-08f0-4737-9e8c-148ce897a09c">EZSHARE-323354554-16</_dlc_DocId>
    <_dlc_DocIdUrl xmlns="cdc7663a-08f0-4737-9e8c-148ce897a09c">
      <Url>https://idbg.sharepoint.com/teams/EZ-AR-LON/AR-L1307/_layouts/15/DocIdRedir.aspx?ID=EZSHARE-323354554-16</Url>
      <Description>EZSHARE-323354554-16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  <Related_x0020_SisCor_x0020_Number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7E4A0FE-207A-4715-BC72-24B9F9B635E0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36B709BF-A3ED-4CB0-AAE9-ED9905ABF630}"/>
</file>

<file path=customXml/itemProps3.xml><?xml version="1.0" encoding="utf-8"?>
<ds:datastoreItem xmlns:ds="http://schemas.openxmlformats.org/officeDocument/2006/customXml" ds:itemID="{34735278-74D6-42C3-A0FF-5ADE2EFD26B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A5D1211-09C8-4320-8C5C-E9BC3F2E04FC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D63B311B-CE9A-47E3-90A4-C424D4B0652D}">
  <ds:schemaRefs>
    <ds:schemaRef ds:uri="cdc7663a-08f0-4737-9e8c-148ce897a09c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customXml/itemProps6.xml><?xml version="1.0" encoding="utf-8"?>
<ds:datastoreItem xmlns:ds="http://schemas.openxmlformats.org/officeDocument/2006/customXml" ds:itemID="{84F9C15E-766F-4927-89C9-192ECD0803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</vt:i4>
      </vt:variant>
    </vt:vector>
  </HeadingPairs>
  <TitlesOfParts>
    <vt:vector size="15" baseType="lpstr">
      <vt:lpstr>CC (2)</vt:lpstr>
      <vt:lpstr>CC</vt:lpstr>
      <vt:lpstr>PEP (2)</vt:lpstr>
      <vt:lpstr>Detalle Plan de Adquisiciones</vt:lpstr>
      <vt:lpstr>Plan de Adquisiciones</vt:lpstr>
      <vt:lpstr>PA</vt:lpstr>
      <vt:lpstr>R41</vt:lpstr>
      <vt:lpstr>Re</vt:lpstr>
      <vt:lpstr>Tramo 4</vt:lpstr>
      <vt:lpstr>Inspeccion R41</vt:lpstr>
      <vt:lpstr>Inspeccion Re</vt:lpstr>
      <vt:lpstr>Fisc Tramo 2</vt:lpstr>
      <vt:lpstr>'R41'!Print_Area</vt:lpstr>
      <vt:lpstr>Re!Print_Area</vt:lpstr>
      <vt:lpstr>'Tramo 4'!Print_Area</vt:lpstr>
    </vt:vector>
  </TitlesOfParts>
  <Manager/>
  <Company>Piratas Unidos S.A.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PGODOY</dc:creator>
  <cp:keywords/>
  <dc:description/>
  <cp:lastModifiedBy>Abad, Julieta</cp:lastModifiedBy>
  <cp:revision/>
  <cp:lastPrinted>2017-09-22T18:24:58Z</cp:lastPrinted>
  <dcterms:created xsi:type="dcterms:W3CDTF">2012-11-30T15:52:30Z</dcterms:created>
  <dcterms:modified xsi:type="dcterms:W3CDTF">2019-05-31T19:10:43Z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unction Operations IDB">
    <vt:lpwstr>1;#Project Preparation, Planning and Design|29ca0c72-1fc4-435f-a09c-28585cb5eac9</vt:lpwstr>
  </property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79;#MAJOR HIGHWAYS|59b49cf2-c4cd-4316-ac14-b3a0ffc7d51d</vt:lpwstr>
  </property>
  <property fmtid="{D5CDD505-2E9C-101B-9397-08002B2CF9AE}" pid="7" name="Fund IDB">
    <vt:lpwstr>4;#ORC|c028a4b2-ad8b-4cf4-9cac-a2ae6a778e23</vt:lpwstr>
  </property>
  <property fmtid="{D5CDD505-2E9C-101B-9397-08002B2CF9AE}" pid="8" name="Country">
    <vt:lpwstr>5;#Argentina|eb1b705c-195f-4c3b-9661-b201f2fee3c5</vt:lpwstr>
  </property>
  <property fmtid="{D5CDD505-2E9C-101B-9397-08002B2CF9AE}" pid="9" name="Sector IDB">
    <vt:lpwstr>3;#TRANSPORT|5a25d1a8-4baf-41a8-9e3b-e167accda6ea</vt:lpwstr>
  </property>
  <property fmtid="{D5CDD505-2E9C-101B-9397-08002B2CF9AE}" pid="10" name="_dlc_DocIdItemGuid">
    <vt:lpwstr>b78c2eec-ce26-478a-8e8f-28623d42f56d</vt:lpwstr>
  </property>
  <property fmtid="{D5CDD505-2E9C-101B-9397-08002B2CF9AE}" pid="11" name="Disclosure Activity">
    <vt:lpwstr>NON-APPLICABLE</vt:lpwstr>
  </property>
  <property fmtid="{D5CDD505-2E9C-101B-9397-08002B2CF9AE}" pid="12" name="ContentTypeId">
    <vt:lpwstr>0x0101001A458A224826124E8B45B1D613300CFC007AF41E64800BD74D8D0F3353FD166F16</vt:lpwstr>
  </property>
</Properties>
</file>