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 firstSheet="1" activeTab="1"/>
  </bookViews>
  <sheets>
    <sheet name="Análisis Integrado" sheetId="1" r:id="rId1"/>
    <sheet name="Componente de Información" sheetId="2" r:id="rId2"/>
    <sheet name="Componente de Prevencion" sheetId="3" r:id="rId3"/>
    <sheet name="Subcomponente 1-Hotspots" sheetId="4" r:id="rId4"/>
    <sheet name="Subcomponente 3- Jovenes" sheetId="5" r:id="rId5"/>
    <sheet name="Subcomponente 2-Atencion VIF" sheetId="6" r:id="rId6"/>
  </sheets>
  <calcPr calcId="145621"/>
</workbook>
</file>

<file path=xl/calcChain.xml><?xml version="1.0" encoding="utf-8"?>
<calcChain xmlns="http://schemas.openxmlformats.org/spreadsheetml/2006/main">
  <c r="C15" i="2" l="1"/>
  <c r="B2" i="5" l="1"/>
  <c r="E8" i="6" l="1"/>
  <c r="I2" i="5"/>
  <c r="E4" i="5"/>
  <c r="B17" i="5" s="1"/>
  <c r="E3" i="5"/>
  <c r="B15" i="5" l="1"/>
  <c r="B16" i="5"/>
  <c r="C15" i="4"/>
  <c r="C13" i="4"/>
  <c r="C17" i="3" l="1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B13" i="3"/>
  <c r="B8" i="1"/>
  <c r="C16" i="6" l="1"/>
  <c r="C15" i="6"/>
  <c r="C14" i="6"/>
  <c r="C13" i="6"/>
  <c r="C15" i="5"/>
  <c r="C16" i="3" s="1"/>
  <c r="C14" i="5"/>
  <c r="C13" i="5"/>
  <c r="C12" i="5"/>
  <c r="C11" i="5"/>
  <c r="C16" i="4"/>
  <c r="C14" i="4"/>
  <c r="C16" i="2"/>
  <c r="C14" i="2"/>
  <c r="C13" i="2"/>
  <c r="C12" i="2"/>
  <c r="C11" i="2"/>
  <c r="C33" i="6" l="1"/>
  <c r="C31" i="2"/>
  <c r="F14" i="5"/>
  <c r="C15" i="3"/>
  <c r="F12" i="5"/>
  <c r="C13" i="3"/>
  <c r="F13" i="5"/>
  <c r="C14" i="3"/>
  <c r="B6" i="6"/>
  <c r="B15" i="6" s="1"/>
  <c r="B3" i="4"/>
  <c r="B12" i="3"/>
  <c r="F14" i="6"/>
  <c r="F13" i="6"/>
  <c r="E13" i="6"/>
  <c r="D14" i="6"/>
  <c r="D13" i="6"/>
  <c r="A14" i="6"/>
  <c r="A15" i="6" s="1"/>
  <c r="E6" i="4"/>
  <c r="C31" i="5"/>
  <c r="A12" i="5"/>
  <c r="A13" i="5" s="1"/>
  <c r="F11" i="5"/>
  <c r="E11" i="5"/>
  <c r="D11" i="5"/>
  <c r="F14" i="4"/>
  <c r="F15" i="4"/>
  <c r="C33" i="4"/>
  <c r="D13" i="4"/>
  <c r="A14" i="4"/>
  <c r="A15" i="4" s="1"/>
  <c r="E13" i="4"/>
  <c r="A16" i="4" l="1"/>
  <c r="E15" i="4"/>
  <c r="D15" i="4"/>
  <c r="A16" i="6"/>
  <c r="E15" i="6"/>
  <c r="E14" i="4"/>
  <c r="E14" i="6"/>
  <c r="B17" i="4"/>
  <c r="D14" i="4"/>
  <c r="F13" i="3"/>
  <c r="F15" i="6"/>
  <c r="E12" i="5"/>
  <c r="F13" i="4"/>
  <c r="C12" i="3"/>
  <c r="F16" i="4"/>
  <c r="B5" i="5"/>
  <c r="A14" i="5"/>
  <c r="E13" i="5"/>
  <c r="D13" i="5"/>
  <c r="D12" i="5"/>
  <c r="I3" i="3"/>
  <c r="A17" i="6" l="1"/>
  <c r="E16" i="6"/>
  <c r="A17" i="4"/>
  <c r="E16" i="4"/>
  <c r="D15" i="6"/>
  <c r="B17" i="6"/>
  <c r="D17" i="6" s="1"/>
  <c r="B16" i="6"/>
  <c r="D16" i="6" s="1"/>
  <c r="B18" i="6"/>
  <c r="B14" i="3"/>
  <c r="F15" i="5"/>
  <c r="F16" i="5"/>
  <c r="F17" i="5"/>
  <c r="E14" i="5"/>
  <c r="D14" i="5"/>
  <c r="B19" i="5"/>
  <c r="F17" i="6"/>
  <c r="D16" i="4"/>
  <c r="B18" i="5"/>
  <c r="A15" i="5"/>
  <c r="E15" i="5" s="1"/>
  <c r="E4" i="3"/>
  <c r="A18" i="4" l="1"/>
  <c r="E17" i="4"/>
  <c r="D15" i="5"/>
  <c r="A18" i="6"/>
  <c r="E17" i="6"/>
  <c r="F16" i="6"/>
  <c r="B16" i="3"/>
  <c r="F18" i="6"/>
  <c r="B15" i="3"/>
  <c r="B10" i="1" s="1"/>
  <c r="F14" i="3"/>
  <c r="B9" i="1"/>
  <c r="F15" i="3"/>
  <c r="F18" i="5"/>
  <c r="F19" i="5"/>
  <c r="B20" i="5"/>
  <c r="F17" i="4"/>
  <c r="B18" i="4"/>
  <c r="B17" i="3" s="1"/>
  <c r="F17" i="3" s="1"/>
  <c r="D17" i="4"/>
  <c r="A16" i="5"/>
  <c r="B3" i="3"/>
  <c r="B6" i="3" s="1"/>
  <c r="B4" i="2"/>
  <c r="A19" i="4" l="1"/>
  <c r="E18" i="4"/>
  <c r="A19" i="6"/>
  <c r="E18" i="6"/>
  <c r="B19" i="6"/>
  <c r="D18" i="6"/>
  <c r="B11" i="1"/>
  <c r="F16" i="3"/>
  <c r="F20" i="5"/>
  <c r="B21" i="5"/>
  <c r="D16" i="5"/>
  <c r="B19" i="4"/>
  <c r="D18" i="4"/>
  <c r="F18" i="4"/>
  <c r="A17" i="5"/>
  <c r="E16" i="5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7" i="1"/>
  <c r="B7" i="1"/>
  <c r="D7" i="1" s="1"/>
  <c r="A8" i="1"/>
  <c r="A9" i="1" s="1"/>
  <c r="C32" i="3"/>
  <c r="D12" i="3"/>
  <c r="A14" i="3"/>
  <c r="A13" i="3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D9" i="1"/>
  <c r="E14" i="1"/>
  <c r="E17" i="1"/>
  <c r="F19" i="6"/>
  <c r="D19" i="6"/>
  <c r="D8" i="1"/>
  <c r="E24" i="1"/>
  <c r="E20" i="1"/>
  <c r="E16" i="1"/>
  <c r="E12" i="1"/>
  <c r="A15" i="3"/>
  <c r="E14" i="3"/>
  <c r="D14" i="3"/>
  <c r="E26" i="1"/>
  <c r="E18" i="1"/>
  <c r="E10" i="1"/>
  <c r="E21" i="1"/>
  <c r="E13" i="1"/>
  <c r="D13" i="3"/>
  <c r="E13" i="3"/>
  <c r="E23" i="1"/>
  <c r="E19" i="1"/>
  <c r="E15" i="1"/>
  <c r="E11" i="1"/>
  <c r="B18" i="3"/>
  <c r="A20" i="6"/>
  <c r="E19" i="6"/>
  <c r="B20" i="6"/>
  <c r="A20" i="4"/>
  <c r="E19" i="4"/>
  <c r="E9" i="1"/>
  <c r="F9" i="1"/>
  <c r="F11" i="1"/>
  <c r="E8" i="1"/>
  <c r="F8" i="1"/>
  <c r="F10" i="1"/>
  <c r="D19" i="4"/>
  <c r="B20" i="4"/>
  <c r="B19" i="3" s="1"/>
  <c r="F19" i="3" s="1"/>
  <c r="F19" i="4"/>
  <c r="F18" i="3"/>
  <c r="F21" i="5"/>
  <c r="B22" i="5"/>
  <c r="D17" i="5"/>
  <c r="C27" i="1"/>
  <c r="E7" i="1"/>
  <c r="F7" i="1"/>
  <c r="A18" i="5"/>
  <c r="E17" i="5"/>
  <c r="E12" i="3"/>
  <c r="F12" i="3"/>
  <c r="A21" i="6" l="1"/>
  <c r="E20" i="6"/>
  <c r="B21" i="6"/>
  <c r="A16" i="3"/>
  <c r="E15" i="3"/>
  <c r="D15" i="3"/>
  <c r="E22" i="1"/>
  <c r="F20" i="6"/>
  <c r="D20" i="6"/>
  <c r="E25" i="1"/>
  <c r="A21" i="4"/>
  <c r="E20" i="4"/>
  <c r="B21" i="4"/>
  <c r="B20" i="3" s="1"/>
  <c r="D20" i="4"/>
  <c r="F20" i="4"/>
  <c r="F20" i="3"/>
  <c r="F22" i="5"/>
  <c r="B23" i="5"/>
  <c r="D18" i="5"/>
  <c r="E27" i="1"/>
  <c r="E18" i="5"/>
  <c r="A19" i="5"/>
  <c r="B22" i="4"/>
  <c r="F21" i="4"/>
  <c r="D21" i="4"/>
  <c r="E4" i="2"/>
  <c r="F12" i="2"/>
  <c r="F13" i="2"/>
  <c r="F11" i="2"/>
  <c r="E11" i="2"/>
  <c r="D11" i="2"/>
  <c r="A12" i="2"/>
  <c r="E12" i="2" s="1"/>
  <c r="B5" i="2"/>
  <c r="D12" i="2" l="1"/>
  <c r="A22" i="4"/>
  <c r="E21" i="4"/>
  <c r="A17" i="3"/>
  <c r="E16" i="3"/>
  <c r="D16" i="3"/>
  <c r="A22" i="6"/>
  <c r="E21" i="6"/>
  <c r="B22" i="6"/>
  <c r="F21" i="6"/>
  <c r="D21" i="6"/>
  <c r="A13" i="2"/>
  <c r="B7" i="2"/>
  <c r="B8" i="2" s="1"/>
  <c r="B22" i="2" s="1"/>
  <c r="I4" i="2"/>
  <c r="F23" i="5"/>
  <c r="B24" i="5"/>
  <c r="D19" i="5"/>
  <c r="E19" i="5"/>
  <c r="A20" i="5"/>
  <c r="B23" i="4"/>
  <c r="D22" i="4"/>
  <c r="F22" i="4"/>
  <c r="D13" i="2"/>
  <c r="B18" i="2"/>
  <c r="B14" i="1" s="1"/>
  <c r="F14" i="1" s="1"/>
  <c r="B26" i="2"/>
  <c r="B30" i="2"/>
  <c r="B19" i="2"/>
  <c r="B15" i="1" s="1"/>
  <c r="F15" i="1" s="1"/>
  <c r="B27" i="2"/>
  <c r="B16" i="2"/>
  <c r="B12" i="1" s="1"/>
  <c r="F12" i="1" s="1"/>
  <c r="B20" i="2"/>
  <c r="B28" i="2"/>
  <c r="B17" i="2"/>
  <c r="B13" i="1" s="1"/>
  <c r="F13" i="1" s="1"/>
  <c r="B21" i="2"/>
  <c r="B29" i="2"/>
  <c r="E13" i="2" l="1"/>
  <c r="A14" i="2"/>
  <c r="D22" i="6"/>
  <c r="F22" i="6"/>
  <c r="B25" i="2"/>
  <c r="B24" i="2"/>
  <c r="B23" i="2"/>
  <c r="A18" i="3"/>
  <c r="E17" i="3"/>
  <c r="D17" i="3"/>
  <c r="A23" i="6"/>
  <c r="E22" i="6"/>
  <c r="B23" i="6"/>
  <c r="B21" i="3"/>
  <c r="A23" i="4"/>
  <c r="E22" i="4"/>
  <c r="F24" i="5"/>
  <c r="B25" i="5"/>
  <c r="D20" i="5"/>
  <c r="A21" i="5"/>
  <c r="E20" i="5"/>
  <c r="B24" i="4"/>
  <c r="F23" i="4"/>
  <c r="D23" i="4"/>
  <c r="D12" i="1"/>
  <c r="D10" i="1"/>
  <c r="D11" i="1"/>
  <c r="D14" i="1"/>
  <c r="D13" i="1"/>
  <c r="D15" i="1"/>
  <c r="F24" i="2"/>
  <c r="F27" i="2"/>
  <c r="F30" i="2"/>
  <c r="F20" i="2"/>
  <c r="F23" i="2"/>
  <c r="F26" i="2"/>
  <c r="F16" i="2"/>
  <c r="F19" i="2"/>
  <c r="F22" i="2"/>
  <c r="F25" i="2"/>
  <c r="F21" i="2"/>
  <c r="F17" i="2"/>
  <c r="F29" i="2"/>
  <c r="F28" i="2"/>
  <c r="F14" i="2"/>
  <c r="D14" i="2"/>
  <c r="F15" i="2"/>
  <c r="F18" i="2"/>
  <c r="F21" i="3" l="1"/>
  <c r="B16" i="1"/>
  <c r="F23" i="6"/>
  <c r="D23" i="6"/>
  <c r="A19" i="3"/>
  <c r="E18" i="3"/>
  <c r="D18" i="3"/>
  <c r="A15" i="2"/>
  <c r="E14" i="2"/>
  <c r="A24" i="4"/>
  <c r="E23" i="4"/>
  <c r="A24" i="6"/>
  <c r="E23" i="6"/>
  <c r="B24" i="6"/>
  <c r="B22" i="3"/>
  <c r="F25" i="5"/>
  <c r="B26" i="5"/>
  <c r="D21" i="5"/>
  <c r="A22" i="5"/>
  <c r="E21" i="5"/>
  <c r="B25" i="4"/>
  <c r="F24" i="4"/>
  <c r="F33" i="2"/>
  <c r="F22" i="3" l="1"/>
  <c r="B17" i="1"/>
  <c r="A16" i="2"/>
  <c r="E15" i="2"/>
  <c r="D15" i="2"/>
  <c r="F16" i="1"/>
  <c r="D16" i="1"/>
  <c r="A25" i="4"/>
  <c r="E24" i="4"/>
  <c r="F24" i="6"/>
  <c r="D24" i="6"/>
  <c r="D24" i="4"/>
  <c r="A25" i="6"/>
  <c r="E24" i="6"/>
  <c r="B25" i="6"/>
  <c r="A20" i="3"/>
  <c r="E19" i="3"/>
  <c r="D19" i="3"/>
  <c r="B23" i="3"/>
  <c r="F26" i="5"/>
  <c r="B27" i="5"/>
  <c r="D22" i="5"/>
  <c r="E22" i="5"/>
  <c r="A23" i="5"/>
  <c r="B26" i="4"/>
  <c r="F25" i="4"/>
  <c r="D25" i="4"/>
  <c r="A26" i="6" l="1"/>
  <c r="E25" i="6"/>
  <c r="B26" i="6"/>
  <c r="A17" i="2"/>
  <c r="E16" i="2"/>
  <c r="D16" i="2"/>
  <c r="F17" i="1"/>
  <c r="D17" i="1"/>
  <c r="B18" i="1"/>
  <c r="F23" i="3"/>
  <c r="D25" i="6"/>
  <c r="F25" i="6"/>
  <c r="A26" i="4"/>
  <c r="E25" i="4"/>
  <c r="B25" i="3"/>
  <c r="B20" i="1" s="1"/>
  <c r="F20" i="1" s="1"/>
  <c r="A21" i="3"/>
  <c r="E20" i="3"/>
  <c r="D20" i="3"/>
  <c r="B24" i="3"/>
  <c r="F27" i="5"/>
  <c r="B28" i="5"/>
  <c r="D23" i="5"/>
  <c r="E23" i="5"/>
  <c r="A24" i="5"/>
  <c r="B27" i="4"/>
  <c r="D26" i="4"/>
  <c r="F26" i="4"/>
  <c r="F24" i="3" l="1"/>
  <c r="B19" i="1"/>
  <c r="F25" i="3"/>
  <c r="D26" i="6"/>
  <c r="F26" i="6"/>
  <c r="A27" i="4"/>
  <c r="E26" i="4"/>
  <c r="D17" i="2"/>
  <c r="E17" i="2"/>
  <c r="A18" i="2"/>
  <c r="A22" i="3"/>
  <c r="E21" i="3"/>
  <c r="D21" i="3"/>
  <c r="F18" i="1"/>
  <c r="D18" i="1"/>
  <c r="A27" i="6"/>
  <c r="E26" i="6"/>
  <c r="B27" i="6"/>
  <c r="D20" i="1"/>
  <c r="F28" i="5"/>
  <c r="B29" i="5"/>
  <c r="D24" i="5"/>
  <c r="A25" i="5"/>
  <c r="E24" i="5"/>
  <c r="B28" i="4"/>
  <c r="D27" i="4"/>
  <c r="F27" i="4"/>
  <c r="A28" i="6" l="1"/>
  <c r="E27" i="6"/>
  <c r="B28" i="6"/>
  <c r="A23" i="3"/>
  <c r="E22" i="3"/>
  <c r="D22" i="3"/>
  <c r="F19" i="1"/>
  <c r="D19" i="1"/>
  <c r="F27" i="6"/>
  <c r="D27" i="6"/>
  <c r="A19" i="2"/>
  <c r="E18" i="2"/>
  <c r="D18" i="2"/>
  <c r="A28" i="4"/>
  <c r="E27" i="4"/>
  <c r="B26" i="3"/>
  <c r="F29" i="5"/>
  <c r="B30" i="5"/>
  <c r="D25" i="5"/>
  <c r="A26" i="5"/>
  <c r="E25" i="5"/>
  <c r="B29" i="4"/>
  <c r="F28" i="4"/>
  <c r="A20" i="2" l="1"/>
  <c r="E19" i="2"/>
  <c r="D19" i="2"/>
  <c r="D28" i="6"/>
  <c r="F28" i="6"/>
  <c r="A29" i="4"/>
  <c r="E28" i="4"/>
  <c r="D28" i="4"/>
  <c r="B27" i="3"/>
  <c r="A24" i="3"/>
  <c r="E23" i="3"/>
  <c r="D23" i="3"/>
  <c r="F26" i="3"/>
  <c r="B21" i="1"/>
  <c r="A29" i="6"/>
  <c r="E28" i="6"/>
  <c r="B29" i="6"/>
  <c r="F30" i="5"/>
  <c r="D26" i="5"/>
  <c r="E26" i="5"/>
  <c r="A27" i="5"/>
  <c r="D27" i="5" s="1"/>
  <c r="B30" i="4"/>
  <c r="F29" i="4"/>
  <c r="D29" i="4"/>
  <c r="D29" i="6" l="1"/>
  <c r="F29" i="6"/>
  <c r="E24" i="3"/>
  <c r="A25" i="3"/>
  <c r="D24" i="3"/>
  <c r="A30" i="4"/>
  <c r="E29" i="4"/>
  <c r="A30" i="6"/>
  <c r="E29" i="6"/>
  <c r="B30" i="6"/>
  <c r="B28" i="3"/>
  <c r="F21" i="1"/>
  <c r="D21" i="1"/>
  <c r="B22" i="1"/>
  <c r="F27" i="3"/>
  <c r="D20" i="2"/>
  <c r="A21" i="2"/>
  <c r="E20" i="2"/>
  <c r="E27" i="5"/>
  <c r="A28" i="5"/>
  <c r="D28" i="5" s="1"/>
  <c r="B31" i="4"/>
  <c r="F30" i="4"/>
  <c r="F22" i="1" l="1"/>
  <c r="D22" i="1"/>
  <c r="B23" i="1"/>
  <c r="F28" i="3"/>
  <c r="F30" i="6"/>
  <c r="D30" i="6"/>
  <c r="A31" i="4"/>
  <c r="E30" i="4"/>
  <c r="D30" i="4"/>
  <c r="B29" i="3"/>
  <c r="A31" i="6"/>
  <c r="E30" i="6"/>
  <c r="B31" i="6"/>
  <c r="E25" i="3"/>
  <c r="A26" i="3"/>
  <c r="D25" i="3"/>
  <c r="B30" i="3"/>
  <c r="D21" i="2"/>
  <c r="A22" i="2"/>
  <c r="E21" i="2"/>
  <c r="F30" i="3"/>
  <c r="B25" i="1"/>
  <c r="F25" i="1" s="1"/>
  <c r="A29" i="5"/>
  <c r="D29" i="5" s="1"/>
  <c r="E28" i="5"/>
  <c r="B32" i="4"/>
  <c r="F31" i="4"/>
  <c r="E22" i="2" l="1"/>
  <c r="D22" i="2"/>
  <c r="A23" i="2"/>
  <c r="A27" i="3"/>
  <c r="E26" i="3"/>
  <c r="D26" i="3"/>
  <c r="A32" i="6"/>
  <c r="E32" i="6" s="1"/>
  <c r="E33" i="6" s="1"/>
  <c r="E31" i="6"/>
  <c r="B32" i="6"/>
  <c r="A32" i="4"/>
  <c r="E32" i="4" s="1"/>
  <c r="E31" i="4"/>
  <c r="F23" i="1"/>
  <c r="D23" i="1"/>
  <c r="B31" i="3"/>
  <c r="F31" i="3" s="1"/>
  <c r="B24" i="1"/>
  <c r="F29" i="3"/>
  <c r="D31" i="6"/>
  <c r="F31" i="6"/>
  <c r="D31" i="4"/>
  <c r="B26" i="1"/>
  <c r="F26" i="1" s="1"/>
  <c r="D25" i="1"/>
  <c r="A30" i="5"/>
  <c r="E29" i="5"/>
  <c r="F32" i="4"/>
  <c r="E39" i="4" s="1"/>
  <c r="B33" i="4"/>
  <c r="F24" i="1" l="1"/>
  <c r="F31" i="1" s="1"/>
  <c r="D24" i="1"/>
  <c r="A24" i="2"/>
  <c r="D23" i="2"/>
  <c r="E23" i="2"/>
  <c r="E33" i="4"/>
  <c r="D32" i="4"/>
  <c r="D33" i="4" s="1"/>
  <c r="A28" i="3"/>
  <c r="E27" i="3"/>
  <c r="D27" i="3"/>
  <c r="D32" i="6"/>
  <c r="D33" i="6" s="1"/>
  <c r="F32" i="6"/>
  <c r="F35" i="6" s="1"/>
  <c r="B33" i="6"/>
  <c r="B27" i="1"/>
  <c r="D26" i="1"/>
  <c r="E30" i="5"/>
  <c r="E31" i="5" s="1"/>
  <c r="D30" i="5"/>
  <c r="E37" i="4"/>
  <c r="A29" i="3" l="1"/>
  <c r="E28" i="3"/>
  <c r="D28" i="3"/>
  <c r="D27" i="1"/>
  <c r="F32" i="1" s="1"/>
  <c r="F37" i="6"/>
  <c r="F36" i="6"/>
  <c r="E38" i="4"/>
  <c r="D24" i="2"/>
  <c r="A25" i="2"/>
  <c r="E24" i="2"/>
  <c r="F33" i="1"/>
  <c r="B32" i="3"/>
  <c r="A26" i="2" l="1"/>
  <c r="D25" i="2"/>
  <c r="E25" i="2"/>
  <c r="A30" i="3"/>
  <c r="E29" i="3"/>
  <c r="D29" i="3"/>
  <c r="F32" i="3"/>
  <c r="F35" i="3"/>
  <c r="E26" i="2" l="1"/>
  <c r="D26" i="2"/>
  <c r="A27" i="2"/>
  <c r="E30" i="3"/>
  <c r="A31" i="3"/>
  <c r="D30" i="3"/>
  <c r="E31" i="3" l="1"/>
  <c r="E32" i="3" s="1"/>
  <c r="D31" i="3"/>
  <c r="D32" i="3" s="1"/>
  <c r="A28" i="2"/>
  <c r="D27" i="2"/>
  <c r="E27" i="2"/>
  <c r="F37" i="3" l="1"/>
  <c r="F36" i="3"/>
  <c r="A29" i="2"/>
  <c r="E28" i="2"/>
  <c r="D28" i="2"/>
  <c r="B31" i="5"/>
  <c r="A30" i="2" l="1"/>
  <c r="E29" i="2"/>
  <c r="D29" i="2"/>
  <c r="F34" i="5"/>
  <c r="D31" i="5"/>
  <c r="F35" i="5" s="1"/>
  <c r="D30" i="2" l="1"/>
  <c r="D31" i="2" s="1"/>
  <c r="E30" i="2"/>
  <c r="E31" i="2" s="1"/>
  <c r="F36" i="5"/>
  <c r="F34" i="2" l="1"/>
  <c r="F35" i="2"/>
</calcChain>
</file>

<file path=xl/sharedStrings.xml><?xml version="1.0" encoding="utf-8"?>
<sst xmlns="http://schemas.openxmlformats.org/spreadsheetml/2006/main" count="129" uniqueCount="70">
  <si>
    <t>Costo anual del Crimen</t>
  </si>
  <si>
    <t>Fuente</t>
  </si>
  <si>
    <t>BID: Año 2010</t>
  </si>
  <si>
    <t>Costo del Componente</t>
  </si>
  <si>
    <t>Disminucion del Crimen</t>
  </si>
  <si>
    <t xml:space="preserve">Garicano </t>
  </si>
  <si>
    <t>Reduccion de Costos</t>
  </si>
  <si>
    <t>Año</t>
  </si>
  <si>
    <t>Beneficios</t>
  </si>
  <si>
    <t>Costos</t>
  </si>
  <si>
    <t>Valor Actual Beneficios</t>
  </si>
  <si>
    <t>Valor Actual Costos</t>
  </si>
  <si>
    <t>Flujo de Fondos</t>
  </si>
  <si>
    <t>TIR Social</t>
  </si>
  <si>
    <t>Razon Costo Beneficio</t>
  </si>
  <si>
    <t>Valor Presente Neto</t>
  </si>
  <si>
    <t>Desagregacion de Costos del Crimen</t>
  </si>
  <si>
    <t>Prevencion (publica y Priv)</t>
  </si>
  <si>
    <t>Propiedades robadas</t>
  </si>
  <si>
    <t>Corrupcion, Fallecimientos e Intangibles</t>
  </si>
  <si>
    <t>En respuesta al Crimen</t>
  </si>
  <si>
    <t>Universo Afectado</t>
  </si>
  <si>
    <t>Corrupcion</t>
  </si>
  <si>
    <t>Resto</t>
  </si>
  <si>
    <t>Jovenes tratados</t>
  </si>
  <si>
    <t>Diferencial reincidencia</t>
  </si>
  <si>
    <t>Costo anual por preso USD</t>
  </si>
  <si>
    <t>Beneficios Anuales</t>
  </si>
  <si>
    <t>Costo Total</t>
  </si>
  <si>
    <t>Totales</t>
  </si>
  <si>
    <t xml:space="preserve">Año </t>
  </si>
  <si>
    <t>Total</t>
  </si>
  <si>
    <t>Tir Social</t>
  </si>
  <si>
    <t>Razón Costo Beneficio</t>
  </si>
  <si>
    <t>Sensibilidad</t>
  </si>
  <si>
    <t>Variable</t>
  </si>
  <si>
    <t>Efecto Sobre el Crimen</t>
  </si>
  <si>
    <t>% de reincidentes</t>
  </si>
  <si>
    <t>Valor</t>
  </si>
  <si>
    <t>Valor Base</t>
  </si>
  <si>
    <t>Escenario Favorable</t>
  </si>
  <si>
    <t>Escenario Conservador</t>
  </si>
  <si>
    <t>Gasto en justica, reclusion y reab</t>
  </si>
  <si>
    <t>Presos 2012</t>
  </si>
  <si>
    <t> Alerta Americas, OEA, 2012</t>
  </si>
  <si>
    <t>Promedio</t>
  </si>
  <si>
    <t>Poder Judicial</t>
  </si>
  <si>
    <t>Ministerio de justica y trabajo</t>
  </si>
  <si>
    <t>Ministerio Publico</t>
  </si>
  <si>
    <t>Sistema Penitenciario</t>
  </si>
  <si>
    <t>Presupuesto Institucional</t>
  </si>
  <si>
    <t>Costo del Subcomponente</t>
  </si>
  <si>
    <t>Reduccion en Violencia en las Calles</t>
  </si>
  <si>
    <t>Conceptos Afectados</t>
  </si>
  <si>
    <t>Costo Anual</t>
  </si>
  <si>
    <t>Lesiones</t>
  </si>
  <si>
    <t>Vandalismo</t>
  </si>
  <si>
    <t>TOTAL</t>
  </si>
  <si>
    <t>Flujo De Fondos</t>
  </si>
  <si>
    <t>Robo Con violencia</t>
  </si>
  <si>
    <t>Total Tratados</t>
  </si>
  <si>
    <t>45 c/ 9 meses</t>
  </si>
  <si>
    <t>Diferencial</t>
  </si>
  <si>
    <t>Costo Por Violación USD</t>
  </si>
  <si>
    <t>Aboal (2013)</t>
  </si>
  <si>
    <t>La evidencia empírica de reducción de reincidencia delictiva, como herramienta para la seguridad pública y la integración social</t>
  </si>
  <si>
    <t>%reduccion de violencia</t>
  </si>
  <si>
    <t>Diferencial Reincidencia Ofensores</t>
  </si>
  <si>
    <t>Costo Subcomponente</t>
  </si>
  <si>
    <t>Ajustado por PPP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</si>
</sst>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9" fontId="0" fillId="0" borderId="0" xfId="0" applyNumberFormat="1"/>
    <xf numFmtId="0" fontId="1" fillId="0" borderId="0" xfId="0" applyFont="1"/>
    <xf numFmtId="9" fontId="1" fillId="0" borderId="0" xfId="0" applyNumberFormat="1" applyFont="1"/>
    <xf numFmtId="0" fontId="2" fillId="0" borderId="0" xfId="0" applyFont="1"/>
    <xf numFmtId="2" fontId="1" fillId="0" borderId="0" xfId="0" applyNumberFormat="1" applyFont="1"/>
    <xf numFmtId="10" fontId="0" fillId="0" borderId="0" xfId="0" applyNumberFormat="1"/>
    <xf numFmtId="0" fontId="3" fillId="0" borderId="0" xfId="1"/>
    <xf numFmtId="0" fontId="0" fillId="0" borderId="0" xfId="0" applyFont="1"/>
    <xf numFmtId="3" fontId="0" fillId="0" borderId="0" xfId="0" applyNumberFormat="1"/>
    <xf numFmtId="3" fontId="1" fillId="0" borderId="0" xfId="0" applyNumberFormat="1" applyFont="1"/>
    <xf numFmtId="0" fontId="0" fillId="0" borderId="0" xfId="0"/>
    <xf numFmtId="3" fontId="4" fillId="0" borderId="0" xfId="0" applyNumberFormat="1" applyFon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linkedin.com/redir/redirect?url=http%3A%2F%2Fwww%2Ecesc%2Euchile%2Ecl%2Fpublicaciones%2Fdebates_penitenciarios_13%2Epdf&amp;urlhash=fHDi&amp;trk=prof-publication-title-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48"/>
  <sheetViews>
    <sheetView topLeftCell="A25" workbookViewId="0">
      <selection activeCell="F33" sqref="F33"/>
    </sheetView>
  </sheetViews>
  <sheetFormatPr defaultColWidth="9.109375" defaultRowHeight="14.4" x14ac:dyDescent="0.3"/>
  <cols>
    <col min="1" max="1" width="33" customWidth="1"/>
    <col min="2" max="2" width="37.33203125" customWidth="1"/>
    <col min="3" max="3" width="23.88671875" customWidth="1"/>
    <col min="4" max="4" width="24.109375" customWidth="1"/>
    <col min="5" max="6" width="25.6640625" customWidth="1"/>
  </cols>
  <sheetData>
    <row r="6" spans="1:6" x14ac:dyDescent="0.3">
      <c r="A6" s="2" t="s">
        <v>30</v>
      </c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</row>
    <row r="7" spans="1:6" ht="15" x14ac:dyDescent="0.25">
      <c r="A7">
        <v>0</v>
      </c>
      <c r="B7">
        <f>'Componente de Información'!B11+'Componente de Prevencion'!B12</f>
        <v>0</v>
      </c>
      <c r="C7" s="9">
        <f>'Componente de Información'!C11+'Componente de Prevencion'!C12</f>
        <v>819579.17100000009</v>
      </c>
      <c r="D7">
        <f>B7/1.12^A7</f>
        <v>0</v>
      </c>
      <c r="E7">
        <f>C7/1.12^A7</f>
        <v>819579.17100000009</v>
      </c>
      <c r="F7">
        <f>B7-C7</f>
        <v>-819579.17100000009</v>
      </c>
    </row>
    <row r="8" spans="1:6" ht="15" x14ac:dyDescent="0.25">
      <c r="A8">
        <f>A7+1</f>
        <v>1</v>
      </c>
      <c r="B8" s="11">
        <f>'Componente de Información'!B12+'Componente de Prevencion'!B13</f>
        <v>0</v>
      </c>
      <c r="C8">
        <f>'Componente de Información'!C12+'Componente de Prevencion'!C13</f>
        <v>1785137.801</v>
      </c>
      <c r="D8">
        <f t="shared" ref="D8:D26" si="0">B8/1.12^A8</f>
        <v>0</v>
      </c>
      <c r="E8" s="11">
        <f t="shared" ref="E8:E26" si="1">C8/1.12^A8</f>
        <v>1593873.0366071428</v>
      </c>
      <c r="F8" s="11">
        <f t="shared" ref="F8:F26" si="2">B8-C8</f>
        <v>-1785137.801</v>
      </c>
    </row>
    <row r="9" spans="1:6" ht="15" x14ac:dyDescent="0.25">
      <c r="A9">
        <f t="shared" ref="A9:A26" si="3">A8+1</f>
        <v>2</v>
      </c>
      <c r="B9" s="11">
        <f>'Componente de Información'!B13+'Componente de Prevencion'!B14</f>
        <v>40230</v>
      </c>
      <c r="C9">
        <f>'Componente de Información'!C13+'Componente de Prevencion'!C14</f>
        <v>2884987.9789999994</v>
      </c>
      <c r="D9">
        <f t="shared" si="0"/>
        <v>32071.109693877548</v>
      </c>
      <c r="E9" s="11">
        <f t="shared" si="1"/>
        <v>2299894.753667091</v>
      </c>
      <c r="F9" s="11">
        <f t="shared" si="2"/>
        <v>-2844757.9789999994</v>
      </c>
    </row>
    <row r="10" spans="1:6" ht="15" x14ac:dyDescent="0.25">
      <c r="A10">
        <f t="shared" si="3"/>
        <v>3</v>
      </c>
      <c r="B10" s="11">
        <f>'Componente de Información'!B14+'Componente de Prevencion'!B15</f>
        <v>80460</v>
      </c>
      <c r="C10">
        <f>'Componente de Información'!C14+'Componente de Prevencion'!C15</f>
        <v>7786499.8090000004</v>
      </c>
      <c r="D10">
        <f t="shared" si="0"/>
        <v>57269.83873906704</v>
      </c>
      <c r="E10" s="11">
        <f t="shared" si="1"/>
        <v>5542276.7636490967</v>
      </c>
      <c r="F10" s="11">
        <f t="shared" si="2"/>
        <v>-7706039.8090000004</v>
      </c>
    </row>
    <row r="11" spans="1:6" ht="15" x14ac:dyDescent="0.25">
      <c r="A11">
        <f t="shared" si="3"/>
        <v>4</v>
      </c>
      <c r="B11" s="11">
        <f>'Componente de Información'!B15+'Componente de Prevencion'!B16</f>
        <v>2310172.7117647058</v>
      </c>
      <c r="C11">
        <f>'Componente de Información'!C15+'Componente de Prevencion'!C16</f>
        <v>5201470.83</v>
      </c>
      <c r="D11">
        <f t="shared" si="0"/>
        <v>1468156.5225639837</v>
      </c>
      <c r="E11" s="11">
        <f t="shared" si="1"/>
        <v>3305628.7467603823</v>
      </c>
      <c r="F11" s="11">
        <f t="shared" si="2"/>
        <v>-2891298.1182352942</v>
      </c>
    </row>
    <row r="12" spans="1:6" ht="15" x14ac:dyDescent="0.25">
      <c r="A12">
        <f t="shared" si="3"/>
        <v>5</v>
      </c>
      <c r="B12" s="11">
        <f>'Componente de Información'!B16+'Componente de Prevencion'!B17</f>
        <v>13962601.535294119</v>
      </c>
      <c r="C12">
        <f>'Componente de Información'!C16+'Componente de Prevencion'!C17</f>
        <v>95261.41</v>
      </c>
      <c r="D12">
        <f t="shared" si="0"/>
        <v>7922755.0868236283</v>
      </c>
      <c r="E12" s="11">
        <f t="shared" si="1"/>
        <v>54053.882347620325</v>
      </c>
      <c r="F12" s="11">
        <f t="shared" si="2"/>
        <v>13867340.125294119</v>
      </c>
    </row>
    <row r="13" spans="1:6" ht="15" x14ac:dyDescent="0.25">
      <c r="A13">
        <f t="shared" si="3"/>
        <v>6</v>
      </c>
      <c r="B13" s="11">
        <f>'Componente de Información'!B17+'Componente de Prevencion'!B18</f>
        <v>14122990.35882353</v>
      </c>
      <c r="C13">
        <f>'Componente de Información'!C17+'Componente de Prevencion'!C18</f>
        <v>0</v>
      </c>
      <c r="D13">
        <f t="shared" si="0"/>
        <v>7155146.4398672553</v>
      </c>
      <c r="E13" s="11">
        <f t="shared" si="1"/>
        <v>0</v>
      </c>
      <c r="F13" s="11">
        <f t="shared" si="2"/>
        <v>14122990.35882353</v>
      </c>
    </row>
    <row r="14" spans="1:6" ht="15" x14ac:dyDescent="0.25">
      <c r="A14">
        <f t="shared" si="3"/>
        <v>7</v>
      </c>
      <c r="B14" s="11">
        <f>'Componente de Información'!B18+'Componente de Prevencion'!B19</f>
        <v>14463617.41764706</v>
      </c>
      <c r="C14">
        <f>'Componente de Información'!C18+'Componente de Prevencion'!C19</f>
        <v>0</v>
      </c>
      <c r="D14">
        <f t="shared" si="0"/>
        <v>6542605.9898056723</v>
      </c>
      <c r="E14" s="11">
        <f t="shared" si="1"/>
        <v>0</v>
      </c>
      <c r="F14" s="11">
        <f t="shared" si="2"/>
        <v>14463617.41764706</v>
      </c>
    </row>
    <row r="15" spans="1:6" ht="15" x14ac:dyDescent="0.25">
      <c r="A15">
        <f t="shared" si="3"/>
        <v>8</v>
      </c>
      <c r="B15" s="11">
        <f>'Componente de Información'!B19+'Componente de Prevencion'!B20</f>
        <v>14804244.47647059</v>
      </c>
      <c r="C15">
        <f>'Componente de Información'!C19+'Componente de Prevencion'!C20</f>
        <v>0</v>
      </c>
      <c r="D15">
        <f t="shared" si="0"/>
        <v>5979186.0469526872</v>
      </c>
      <c r="E15" s="11">
        <f t="shared" si="1"/>
        <v>0</v>
      </c>
      <c r="F15" s="11">
        <f t="shared" si="2"/>
        <v>14804244.47647059</v>
      </c>
    </row>
    <row r="16" spans="1:6" ht="15" x14ac:dyDescent="0.25">
      <c r="A16">
        <f t="shared" si="3"/>
        <v>9</v>
      </c>
      <c r="B16" s="11">
        <f>'Componente de Información'!B20+'Componente de Prevencion'!B21</f>
        <v>15144871.535294119</v>
      </c>
      <c r="C16">
        <f>'Componente de Información'!C20+'Componente de Prevencion'!C21</f>
        <v>0</v>
      </c>
      <c r="D16">
        <f t="shared" si="0"/>
        <v>5461392.5026852256</v>
      </c>
      <c r="E16" s="11">
        <f t="shared" si="1"/>
        <v>0</v>
      </c>
      <c r="F16" s="11">
        <f t="shared" si="2"/>
        <v>15144871.535294119</v>
      </c>
    </row>
    <row r="17" spans="1:6" ht="15" x14ac:dyDescent="0.25">
      <c r="A17">
        <f t="shared" si="3"/>
        <v>10</v>
      </c>
      <c r="B17" s="11">
        <f>'Componente de Información'!B21+'Componente de Prevencion'!B22</f>
        <v>15485498.594117649</v>
      </c>
      <c r="C17">
        <f>'Componente de Información'!C21+'Componente de Prevencion'!C22</f>
        <v>0</v>
      </c>
      <c r="D17">
        <f t="shared" si="0"/>
        <v>4985916.1025687326</v>
      </c>
      <c r="E17" s="11">
        <f t="shared" si="1"/>
        <v>0</v>
      </c>
      <c r="F17" s="11">
        <f t="shared" si="2"/>
        <v>15485498.594117649</v>
      </c>
    </row>
    <row r="18" spans="1:6" ht="15" x14ac:dyDescent="0.25">
      <c r="A18">
        <f t="shared" si="3"/>
        <v>11</v>
      </c>
      <c r="B18" s="11">
        <f>'Componente de Información'!B22+'Componente de Prevencion'!B23</f>
        <v>15826125.652941179</v>
      </c>
      <c r="C18">
        <f>'Componente de Información'!C22+'Componente de Prevencion'!C23</f>
        <v>0</v>
      </c>
      <c r="D18">
        <f t="shared" si="0"/>
        <v>4549632.9456861718</v>
      </c>
      <c r="E18" s="11">
        <f t="shared" si="1"/>
        <v>0</v>
      </c>
      <c r="F18" s="11">
        <f t="shared" si="2"/>
        <v>15826125.652941179</v>
      </c>
    </row>
    <row r="19" spans="1:6" ht="15" x14ac:dyDescent="0.25">
      <c r="A19">
        <f t="shared" si="3"/>
        <v>12</v>
      </c>
      <c r="B19" s="11">
        <f>'Componente de Información'!B23+'Componente de Prevencion'!B24</f>
        <v>16166752.711764708</v>
      </c>
      <c r="C19">
        <f>'Componente de Información'!C23+'Componente de Prevencion'!C24</f>
        <v>0</v>
      </c>
      <c r="D19">
        <f t="shared" si="0"/>
        <v>4149602.7549173264</v>
      </c>
      <c r="E19" s="11">
        <f t="shared" si="1"/>
        <v>0</v>
      </c>
      <c r="F19" s="11">
        <f t="shared" si="2"/>
        <v>16166752.711764708</v>
      </c>
    </row>
    <row r="20" spans="1:6" ht="15" x14ac:dyDescent="0.25">
      <c r="A20">
        <f t="shared" si="3"/>
        <v>13</v>
      </c>
      <c r="B20" s="11">
        <f>'Componente de Información'!B24+'Componente de Prevencion'!B25</f>
        <v>16507379.770588238</v>
      </c>
      <c r="C20">
        <f>'Componente de Información'!C24+'Componente de Prevencion'!C25</f>
        <v>0</v>
      </c>
      <c r="D20">
        <f t="shared" si="0"/>
        <v>3783065.3900897941</v>
      </c>
      <c r="E20" s="11">
        <f t="shared" si="1"/>
        <v>0</v>
      </c>
      <c r="F20" s="11">
        <f t="shared" si="2"/>
        <v>16507379.770588238</v>
      </c>
    </row>
    <row r="21" spans="1:6" ht="15" x14ac:dyDescent="0.25">
      <c r="A21">
        <f t="shared" si="3"/>
        <v>14</v>
      </c>
      <c r="B21" s="11">
        <f>'Componente de Información'!B25+'Componente de Prevencion'!B26</f>
        <v>16848006.829411767</v>
      </c>
      <c r="C21">
        <f>'Componente de Información'!C25+'Componente de Prevencion'!C26</f>
        <v>0</v>
      </c>
      <c r="D21">
        <f t="shared" si="0"/>
        <v>3447436.0003856928</v>
      </c>
      <c r="E21" s="11">
        <f t="shared" si="1"/>
        <v>0</v>
      </c>
      <c r="F21" s="11">
        <f t="shared" si="2"/>
        <v>16848006.829411767</v>
      </c>
    </row>
    <row r="22" spans="1:6" ht="15" x14ac:dyDescent="0.25">
      <c r="A22">
        <f t="shared" si="3"/>
        <v>15</v>
      </c>
      <c r="B22" s="11">
        <f>'Componente de Información'!B26+'Componente de Prevencion'!B27</f>
        <v>17188633.888235293</v>
      </c>
      <c r="C22">
        <f>'Componente de Información'!C26+'Componente de Prevencion'!C27</f>
        <v>0</v>
      </c>
      <c r="D22">
        <f t="shared" si="0"/>
        <v>3140299.1476197047</v>
      </c>
      <c r="E22" s="11">
        <f t="shared" si="1"/>
        <v>0</v>
      </c>
      <c r="F22" s="11">
        <f t="shared" si="2"/>
        <v>17188633.888235293</v>
      </c>
    </row>
    <row r="23" spans="1:6" ht="15" x14ac:dyDescent="0.25">
      <c r="A23">
        <f t="shared" si="3"/>
        <v>16</v>
      </c>
      <c r="B23" s="11">
        <f>'Componente de Información'!B27+'Componente de Prevencion'!B28</f>
        <v>17529260.947058827</v>
      </c>
      <c r="C23">
        <f>'Componente de Información'!C27+'Componente de Prevencion'!C28</f>
        <v>0</v>
      </c>
      <c r="D23">
        <f t="shared" si="0"/>
        <v>2859402.1765644499</v>
      </c>
      <c r="E23" s="11">
        <f t="shared" si="1"/>
        <v>0</v>
      </c>
      <c r="F23" s="11">
        <f t="shared" si="2"/>
        <v>17529260.947058827</v>
      </c>
    </row>
    <row r="24" spans="1:6" ht="15" x14ac:dyDescent="0.25">
      <c r="A24">
        <f t="shared" si="3"/>
        <v>17</v>
      </c>
      <c r="B24" s="11">
        <f>'Componente de Información'!B28+'Componente de Prevencion'!B29</f>
        <v>17869888.005882353</v>
      </c>
      <c r="C24">
        <f>'Componente de Información'!C28+'Componente de Prevencion'!C29</f>
        <v>0</v>
      </c>
      <c r="D24">
        <f t="shared" si="0"/>
        <v>2602648.0611325433</v>
      </c>
      <c r="E24" s="11">
        <f t="shared" si="1"/>
        <v>0</v>
      </c>
      <c r="F24" s="11">
        <f t="shared" si="2"/>
        <v>17869888.005882353</v>
      </c>
    </row>
    <row r="25" spans="1:6" ht="15" x14ac:dyDescent="0.25">
      <c r="A25">
        <f t="shared" si="3"/>
        <v>18</v>
      </c>
      <c r="B25" s="11">
        <f>'Componente de Información'!B29+'Componente de Prevencion'!B30</f>
        <v>18210515.064705886</v>
      </c>
      <c r="C25">
        <f>'Componente de Información'!C29+'Componente de Prevencion'!C30</f>
        <v>0</v>
      </c>
      <c r="D25">
        <f t="shared" si="0"/>
        <v>2368087.9148377301</v>
      </c>
      <c r="E25" s="11">
        <f t="shared" si="1"/>
        <v>0</v>
      </c>
      <c r="F25" s="11">
        <f t="shared" si="2"/>
        <v>18210515.064705886</v>
      </c>
    </row>
    <row r="26" spans="1:6" ht="15" x14ac:dyDescent="0.25">
      <c r="A26">
        <f t="shared" si="3"/>
        <v>19</v>
      </c>
      <c r="B26" s="11">
        <f>'Componente de Información'!B30+'Componente de Prevencion'!B31</f>
        <v>18551142.123529412</v>
      </c>
      <c r="C26">
        <f>'Componente de Información'!C30+'Componente de Prevencion'!C31</f>
        <v>0</v>
      </c>
      <c r="D26">
        <f t="shared" si="0"/>
        <v>2153913.319598191</v>
      </c>
      <c r="E26" s="11">
        <f t="shared" si="1"/>
        <v>0</v>
      </c>
      <c r="F26" s="11">
        <f t="shared" si="2"/>
        <v>18551142.123529412</v>
      </c>
    </row>
    <row r="27" spans="1:6" ht="15" x14ac:dyDescent="0.25">
      <c r="A27" t="s">
        <v>31</v>
      </c>
      <c r="B27">
        <f>SUM(B7:B26)</f>
        <v>245112391.62352943</v>
      </c>
      <c r="C27">
        <f t="shared" ref="C27:E27" si="4">SUM(C7:C26)</f>
        <v>18572937</v>
      </c>
      <c r="D27" s="10">
        <f t="shared" si="4"/>
        <v>68658587.350531727</v>
      </c>
      <c r="E27" s="9">
        <f t="shared" si="4"/>
        <v>13615306.354031336</v>
      </c>
    </row>
    <row r="31" spans="1:6" ht="15" x14ac:dyDescent="0.25">
      <c r="E31" s="2" t="s">
        <v>32</v>
      </c>
      <c r="F31" s="3">
        <f>IRR(F7:F26)</f>
        <v>0.47891858691750744</v>
      </c>
    </row>
    <row r="32" spans="1:6" x14ac:dyDescent="0.3">
      <c r="E32" s="2" t="s">
        <v>33</v>
      </c>
      <c r="F32" s="5">
        <f>D27/E27</f>
        <v>5.0427500906142084</v>
      </c>
    </row>
    <row r="33" spans="1:6" ht="15" x14ac:dyDescent="0.25">
      <c r="E33" s="2" t="s">
        <v>15</v>
      </c>
      <c r="F33" s="10">
        <f>D27-E27</f>
        <v>55043280.996500388</v>
      </c>
    </row>
    <row r="37" spans="1:6" ht="15" x14ac:dyDescent="0.25">
      <c r="A37" s="2" t="s">
        <v>34</v>
      </c>
    </row>
    <row r="39" spans="1:6" ht="15" x14ac:dyDescent="0.25">
      <c r="A39" s="2" t="s">
        <v>35</v>
      </c>
      <c r="B39" s="2" t="s">
        <v>38</v>
      </c>
      <c r="C39" s="2" t="s">
        <v>39</v>
      </c>
      <c r="D39" s="2" t="s">
        <v>41</v>
      </c>
      <c r="E39" s="2" t="s">
        <v>40</v>
      </c>
    </row>
    <row r="40" spans="1:6" ht="15" x14ac:dyDescent="0.25">
      <c r="A40" t="s">
        <v>36</v>
      </c>
      <c r="B40" s="1">
        <v>7.0000000000000007E-2</v>
      </c>
      <c r="C40" s="1">
        <v>0.05</v>
      </c>
      <c r="D40" s="1">
        <v>0.03</v>
      </c>
      <c r="E40" s="1">
        <v>7.0000000000000007E-2</v>
      </c>
    </row>
    <row r="41" spans="1:6" ht="15" x14ac:dyDescent="0.25">
      <c r="A41" t="s">
        <v>37</v>
      </c>
      <c r="B41" s="1">
        <v>0.25</v>
      </c>
      <c r="C41" s="1">
        <v>0.2</v>
      </c>
      <c r="D41" s="1">
        <v>0.15</v>
      </c>
      <c r="E41" s="1">
        <v>0.25</v>
      </c>
    </row>
    <row r="42" spans="1:6" ht="15" x14ac:dyDescent="0.25">
      <c r="A42" t="s">
        <v>66</v>
      </c>
      <c r="B42" s="1">
        <v>0.3</v>
      </c>
      <c r="C42" s="1">
        <v>0.22</v>
      </c>
      <c r="D42" s="1">
        <v>0.15</v>
      </c>
      <c r="E42" s="1">
        <v>0.3</v>
      </c>
    </row>
    <row r="43" spans="1:6" ht="15" x14ac:dyDescent="0.25">
      <c r="A43" t="s">
        <v>67</v>
      </c>
      <c r="B43" s="1">
        <v>0.15</v>
      </c>
      <c r="C43" s="1">
        <v>0.13</v>
      </c>
      <c r="D43" s="1">
        <v>0.1</v>
      </c>
      <c r="E43" s="1">
        <v>0.15</v>
      </c>
    </row>
    <row r="48" spans="1:6" ht="15" x14ac:dyDescent="0.25">
      <c r="B48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F35" sqref="F35"/>
    </sheetView>
  </sheetViews>
  <sheetFormatPr defaultColWidth="11.5546875" defaultRowHeight="14.4" x14ac:dyDescent="0.3"/>
  <cols>
    <col min="1" max="1" width="23.44140625" customWidth="1"/>
    <col min="2" max="2" width="14.5546875" customWidth="1"/>
    <col min="3" max="3" width="22.44140625" customWidth="1"/>
    <col min="4" max="4" width="41.88671875" customWidth="1"/>
    <col min="5" max="5" width="20.5546875" customWidth="1"/>
    <col min="6" max="6" width="22.88671875" customWidth="1"/>
    <col min="7" max="7" width="10" bestFit="1" customWidth="1"/>
    <col min="8" max="8" width="9.109375"/>
    <col min="9" max="9" width="10" bestFit="1" customWidth="1"/>
  </cols>
  <sheetData>
    <row r="1" spans="1:9" ht="15" x14ac:dyDescent="0.25">
      <c r="C1" t="s">
        <v>1</v>
      </c>
      <c r="D1" t="s">
        <v>16</v>
      </c>
    </row>
    <row r="2" spans="1:9" x14ac:dyDescent="0.3">
      <c r="A2" t="s">
        <v>0</v>
      </c>
      <c r="B2">
        <v>1765000000</v>
      </c>
      <c r="C2" t="s">
        <v>2</v>
      </c>
      <c r="D2" t="s">
        <v>17</v>
      </c>
      <c r="E2">
        <v>332014000</v>
      </c>
    </row>
    <row r="3" spans="1:9" ht="15" x14ac:dyDescent="0.25">
      <c r="A3" t="s">
        <v>3</v>
      </c>
      <c r="B3" s="9">
        <v>9526141</v>
      </c>
      <c r="D3" t="s">
        <v>18</v>
      </c>
      <c r="E3">
        <v>550056000</v>
      </c>
    </row>
    <row r="4" spans="1:9" ht="15" x14ac:dyDescent="0.25">
      <c r="A4" t="s">
        <v>4</v>
      </c>
      <c r="B4" s="1">
        <f>'Análisis Integrado'!B40</f>
        <v>7.0000000000000007E-2</v>
      </c>
      <c r="C4" t="s">
        <v>5</v>
      </c>
      <c r="D4" t="s">
        <v>19</v>
      </c>
      <c r="E4">
        <f>1275828000-E3</f>
        <v>725772000</v>
      </c>
      <c r="F4" t="s">
        <v>22</v>
      </c>
      <c r="G4">
        <v>474459000</v>
      </c>
      <c r="H4" t="s">
        <v>23</v>
      </c>
      <c r="I4">
        <f>E4-G4</f>
        <v>251313000</v>
      </c>
    </row>
    <row r="5" spans="1:9" ht="15" x14ac:dyDescent="0.25">
      <c r="A5" t="s">
        <v>6</v>
      </c>
      <c r="B5">
        <f>B2*B4</f>
        <v>123550000.00000001</v>
      </c>
      <c r="D5" t="s">
        <v>20</v>
      </c>
      <c r="E5">
        <v>159117000</v>
      </c>
    </row>
    <row r="7" spans="1:9" ht="15" x14ac:dyDescent="0.25">
      <c r="A7" t="s">
        <v>21</v>
      </c>
      <c r="B7">
        <f>(E4+E5-G4)*0.4</f>
        <v>164172000</v>
      </c>
    </row>
    <row r="8" spans="1:9" ht="15" x14ac:dyDescent="0.25">
      <c r="A8" t="s">
        <v>8</v>
      </c>
      <c r="B8">
        <f>B4*B7</f>
        <v>11492040.000000002</v>
      </c>
    </row>
    <row r="10" spans="1:9" x14ac:dyDescent="0.3">
      <c r="A10" s="2" t="s">
        <v>7</v>
      </c>
      <c r="B10" s="2" t="s">
        <v>8</v>
      </c>
      <c r="C10" s="2" t="s">
        <v>9</v>
      </c>
      <c r="D10" s="2" t="s">
        <v>10</v>
      </c>
      <c r="E10" s="2" t="s">
        <v>11</v>
      </c>
      <c r="F10" s="2" t="s">
        <v>12</v>
      </c>
    </row>
    <row r="11" spans="1:9" ht="15" x14ac:dyDescent="0.25">
      <c r="A11">
        <v>0</v>
      </c>
      <c r="B11">
        <v>0</v>
      </c>
      <c r="C11" s="9">
        <f>0.07*B3</f>
        <v>666829.87000000011</v>
      </c>
      <c r="D11">
        <f>B11/1.12^A11</f>
        <v>0</v>
      </c>
      <c r="E11">
        <f>C11/1.12^A11</f>
        <v>666829.87000000011</v>
      </c>
      <c r="F11">
        <f>B11-C11</f>
        <v>-666829.87000000011</v>
      </c>
    </row>
    <row r="12" spans="1:9" ht="15" x14ac:dyDescent="0.25">
      <c r="A12">
        <f>A11+1</f>
        <v>1</v>
      </c>
      <c r="B12">
        <v>0</v>
      </c>
      <c r="C12">
        <f>0.11*B3</f>
        <v>1047875.51</v>
      </c>
      <c r="D12">
        <f t="shared" ref="D12:D30" si="0">B12/1.12^A12</f>
        <v>0</v>
      </c>
      <c r="E12">
        <f t="shared" ref="E12:E30" si="1">C12/1.12^A12</f>
        <v>935603.13392857136</v>
      </c>
      <c r="F12">
        <f t="shared" ref="F12:F30" si="2">B12-C12</f>
        <v>-1047875.51</v>
      </c>
    </row>
    <row r="13" spans="1:9" ht="15" x14ac:dyDescent="0.25">
      <c r="A13">
        <f t="shared" ref="A13:A30" si="3">A12+1</f>
        <v>2</v>
      </c>
      <c r="B13">
        <v>0</v>
      </c>
      <c r="C13">
        <f>0.08*B3</f>
        <v>762091.28</v>
      </c>
      <c r="D13">
        <f t="shared" si="0"/>
        <v>0</v>
      </c>
      <c r="E13">
        <f t="shared" si="1"/>
        <v>607534.50255102036</v>
      </c>
      <c r="F13">
        <f t="shared" si="2"/>
        <v>-762091.28</v>
      </c>
    </row>
    <row r="14" spans="1:9" ht="15" x14ac:dyDescent="0.25">
      <c r="A14">
        <f t="shared" si="3"/>
        <v>3</v>
      </c>
      <c r="B14">
        <v>0</v>
      </c>
      <c r="C14">
        <f>0.2*B3</f>
        <v>1905228.2000000002</v>
      </c>
      <c r="D14">
        <f t="shared" si="0"/>
        <v>0</v>
      </c>
      <c r="E14">
        <f t="shared" si="1"/>
        <v>1356103.8003370988</v>
      </c>
      <c r="F14">
        <f t="shared" si="2"/>
        <v>-1905228.2000000002</v>
      </c>
    </row>
    <row r="15" spans="1:9" ht="15" x14ac:dyDescent="0.25">
      <c r="A15">
        <f t="shared" si="3"/>
        <v>4</v>
      </c>
      <c r="B15">
        <v>0</v>
      </c>
      <c r="C15">
        <f>0.53*B3</f>
        <v>5048854.7300000004</v>
      </c>
      <c r="D15">
        <f t="shared" si="0"/>
        <v>0</v>
      </c>
      <c r="E15">
        <f t="shared" si="1"/>
        <v>3208638.4561547432</v>
      </c>
      <c r="F15">
        <f t="shared" si="2"/>
        <v>-5048854.7300000004</v>
      </c>
    </row>
    <row r="16" spans="1:9" ht="15" x14ac:dyDescent="0.25">
      <c r="A16">
        <f t="shared" si="3"/>
        <v>5</v>
      </c>
      <c r="B16">
        <f t="shared" ref="B16:B30" si="4">$B$8</f>
        <v>11492040.000000002</v>
      </c>
      <c r="C16">
        <f>0.01*B3</f>
        <v>95261.41</v>
      </c>
      <c r="D16">
        <f t="shared" si="0"/>
        <v>6520892.1229923721</v>
      </c>
      <c r="E16">
        <f t="shared" si="1"/>
        <v>54053.882347620325</v>
      </c>
      <c r="F16">
        <f t="shared" si="2"/>
        <v>11396778.590000002</v>
      </c>
    </row>
    <row r="17" spans="1:6" ht="15" x14ac:dyDescent="0.25">
      <c r="A17">
        <f t="shared" si="3"/>
        <v>6</v>
      </c>
      <c r="B17">
        <f t="shared" si="4"/>
        <v>11492040.000000002</v>
      </c>
      <c r="C17">
        <v>0</v>
      </c>
      <c r="D17">
        <f t="shared" si="0"/>
        <v>5822225.1098146169</v>
      </c>
      <c r="E17">
        <f t="shared" si="1"/>
        <v>0</v>
      </c>
      <c r="F17">
        <f t="shared" si="2"/>
        <v>11492040.000000002</v>
      </c>
    </row>
    <row r="18" spans="1:6" ht="15" x14ac:dyDescent="0.25">
      <c r="A18">
        <f t="shared" si="3"/>
        <v>7</v>
      </c>
      <c r="B18">
        <f t="shared" si="4"/>
        <v>11492040.000000002</v>
      </c>
      <c r="C18">
        <v>0</v>
      </c>
      <c r="D18">
        <f t="shared" si="0"/>
        <v>5198415.2766201934</v>
      </c>
      <c r="E18">
        <f t="shared" si="1"/>
        <v>0</v>
      </c>
      <c r="F18">
        <f t="shared" si="2"/>
        <v>11492040.000000002</v>
      </c>
    </row>
    <row r="19" spans="1:6" ht="15" x14ac:dyDescent="0.25">
      <c r="A19">
        <f t="shared" si="3"/>
        <v>8</v>
      </c>
      <c r="B19">
        <f t="shared" si="4"/>
        <v>11492040.000000002</v>
      </c>
      <c r="C19">
        <v>0</v>
      </c>
      <c r="D19">
        <f t="shared" si="0"/>
        <v>4641442.2112680301</v>
      </c>
      <c r="E19">
        <f t="shared" si="1"/>
        <v>0</v>
      </c>
      <c r="F19">
        <f t="shared" si="2"/>
        <v>11492040.000000002</v>
      </c>
    </row>
    <row r="20" spans="1:6" ht="15" x14ac:dyDescent="0.25">
      <c r="A20">
        <f t="shared" si="3"/>
        <v>9</v>
      </c>
      <c r="B20">
        <f t="shared" si="4"/>
        <v>11492040.000000002</v>
      </c>
      <c r="C20">
        <v>0</v>
      </c>
      <c r="D20">
        <f t="shared" si="0"/>
        <v>4144144.8314893125</v>
      </c>
      <c r="E20">
        <f t="shared" si="1"/>
        <v>0</v>
      </c>
      <c r="F20">
        <f t="shared" si="2"/>
        <v>11492040.000000002</v>
      </c>
    </row>
    <row r="21" spans="1:6" ht="15" x14ac:dyDescent="0.25">
      <c r="A21">
        <f t="shared" si="3"/>
        <v>10</v>
      </c>
      <c r="B21">
        <f t="shared" si="4"/>
        <v>11492040.000000002</v>
      </c>
      <c r="C21">
        <v>0</v>
      </c>
      <c r="D21">
        <f t="shared" si="0"/>
        <v>3700129.3138297428</v>
      </c>
      <c r="E21">
        <f t="shared" si="1"/>
        <v>0</v>
      </c>
      <c r="F21">
        <f t="shared" si="2"/>
        <v>11492040.000000002</v>
      </c>
    </row>
    <row r="22" spans="1:6" ht="15" x14ac:dyDescent="0.25">
      <c r="A22">
        <f t="shared" si="3"/>
        <v>11</v>
      </c>
      <c r="B22">
        <f t="shared" si="4"/>
        <v>11492040.000000002</v>
      </c>
      <c r="C22">
        <v>0</v>
      </c>
      <c r="D22">
        <f t="shared" si="0"/>
        <v>3303686.8873479841</v>
      </c>
      <c r="E22">
        <f t="shared" si="1"/>
        <v>0</v>
      </c>
      <c r="F22">
        <f t="shared" si="2"/>
        <v>11492040.000000002</v>
      </c>
    </row>
    <row r="23" spans="1:6" ht="15" x14ac:dyDescent="0.25">
      <c r="A23">
        <f t="shared" si="3"/>
        <v>12</v>
      </c>
      <c r="B23">
        <f t="shared" si="4"/>
        <v>11492040.000000002</v>
      </c>
      <c r="C23">
        <v>0</v>
      </c>
      <c r="D23">
        <f t="shared" si="0"/>
        <v>2949720.4351321287</v>
      </c>
      <c r="E23">
        <f t="shared" si="1"/>
        <v>0</v>
      </c>
      <c r="F23">
        <f t="shared" si="2"/>
        <v>11492040.000000002</v>
      </c>
    </row>
    <row r="24" spans="1:6" ht="15" x14ac:dyDescent="0.25">
      <c r="A24">
        <f t="shared" si="3"/>
        <v>13</v>
      </c>
      <c r="B24">
        <f t="shared" si="4"/>
        <v>11492040.000000002</v>
      </c>
      <c r="C24">
        <v>0</v>
      </c>
      <c r="D24">
        <f t="shared" si="0"/>
        <v>2633678.9599394002</v>
      </c>
      <c r="E24">
        <f t="shared" si="1"/>
        <v>0</v>
      </c>
      <c r="F24">
        <f t="shared" si="2"/>
        <v>11492040.000000002</v>
      </c>
    </row>
    <row r="25" spans="1:6" ht="15" x14ac:dyDescent="0.25">
      <c r="A25">
        <f t="shared" si="3"/>
        <v>14</v>
      </c>
      <c r="B25">
        <f t="shared" si="4"/>
        <v>11492040.000000002</v>
      </c>
      <c r="C25">
        <v>0</v>
      </c>
      <c r="D25">
        <f t="shared" si="0"/>
        <v>2351499.0713744643</v>
      </c>
      <c r="E25">
        <f t="shared" si="1"/>
        <v>0</v>
      </c>
      <c r="F25">
        <f t="shared" si="2"/>
        <v>11492040.000000002</v>
      </c>
    </row>
    <row r="26" spans="1:6" ht="15" x14ac:dyDescent="0.25">
      <c r="A26">
        <f t="shared" si="3"/>
        <v>15</v>
      </c>
      <c r="B26">
        <f t="shared" si="4"/>
        <v>11492040.000000002</v>
      </c>
      <c r="C26">
        <v>0</v>
      </c>
      <c r="D26">
        <f t="shared" si="0"/>
        <v>2099552.7422986291</v>
      </c>
      <c r="E26">
        <f t="shared" si="1"/>
        <v>0</v>
      </c>
      <c r="F26">
        <f t="shared" si="2"/>
        <v>11492040.000000002</v>
      </c>
    </row>
    <row r="27" spans="1:6" ht="15" x14ac:dyDescent="0.25">
      <c r="A27">
        <f t="shared" si="3"/>
        <v>16</v>
      </c>
      <c r="B27">
        <f t="shared" si="4"/>
        <v>11492040.000000002</v>
      </c>
      <c r="C27">
        <v>0</v>
      </c>
      <c r="D27">
        <f t="shared" si="0"/>
        <v>1874600.6627666326</v>
      </c>
      <c r="E27">
        <f t="shared" si="1"/>
        <v>0</v>
      </c>
      <c r="F27">
        <f t="shared" si="2"/>
        <v>11492040.000000002</v>
      </c>
    </row>
    <row r="28" spans="1:6" ht="15" x14ac:dyDescent="0.25">
      <c r="A28">
        <f t="shared" si="3"/>
        <v>17</v>
      </c>
      <c r="B28">
        <f t="shared" si="4"/>
        <v>11492040.000000002</v>
      </c>
      <c r="C28">
        <v>0</v>
      </c>
      <c r="D28">
        <f t="shared" si="0"/>
        <v>1673750.591755922</v>
      </c>
      <c r="E28">
        <f t="shared" si="1"/>
        <v>0</v>
      </c>
      <c r="F28">
        <f t="shared" si="2"/>
        <v>11492040.000000002</v>
      </c>
    </row>
    <row r="29" spans="1:6" ht="15" x14ac:dyDescent="0.25">
      <c r="A29">
        <f t="shared" si="3"/>
        <v>18</v>
      </c>
      <c r="B29">
        <f t="shared" si="4"/>
        <v>11492040.000000002</v>
      </c>
      <c r="C29">
        <v>0</v>
      </c>
      <c r="D29">
        <f t="shared" si="0"/>
        <v>1494420.1712106445</v>
      </c>
      <c r="E29">
        <f t="shared" si="1"/>
        <v>0</v>
      </c>
      <c r="F29">
        <f t="shared" si="2"/>
        <v>11492040.000000002</v>
      </c>
    </row>
    <row r="30" spans="1:6" ht="15" x14ac:dyDescent="0.25">
      <c r="A30">
        <f t="shared" si="3"/>
        <v>19</v>
      </c>
      <c r="B30">
        <f t="shared" si="4"/>
        <v>11492040.000000002</v>
      </c>
      <c r="C30">
        <v>0</v>
      </c>
      <c r="D30">
        <f t="shared" si="0"/>
        <v>1334303.7242952182</v>
      </c>
      <c r="E30">
        <f t="shared" si="1"/>
        <v>0</v>
      </c>
      <c r="F30">
        <f t="shared" si="2"/>
        <v>11492040.000000002</v>
      </c>
    </row>
    <row r="31" spans="1:6" ht="15" x14ac:dyDescent="0.25">
      <c r="C31" s="9">
        <f>SUM(C11:C30)</f>
        <v>9526141</v>
      </c>
      <c r="D31" s="9">
        <f>SUM(D11:D30)</f>
        <v>49742462.112135291</v>
      </c>
      <c r="E31" s="9">
        <f>SUM(E11:E30)</f>
        <v>6828763.6453190539</v>
      </c>
    </row>
    <row r="33" spans="5:6" ht="15" x14ac:dyDescent="0.25">
      <c r="E33" s="2" t="s">
        <v>13</v>
      </c>
      <c r="F33" s="3">
        <f>IRR(F11:F30)</f>
        <v>0.60669648360230188</v>
      </c>
    </row>
    <row r="34" spans="5:6" ht="15" x14ac:dyDescent="0.25">
      <c r="E34" s="2" t="s">
        <v>14</v>
      </c>
      <c r="F34" s="5">
        <f>D31/E31</f>
        <v>7.2842559350011333</v>
      </c>
    </row>
    <row r="35" spans="5:6" ht="15" x14ac:dyDescent="0.25">
      <c r="E35" s="2" t="s">
        <v>15</v>
      </c>
      <c r="F35" s="10">
        <f>D31-E31</f>
        <v>42913698.466816239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opLeftCell="A58" workbookViewId="0">
      <selection activeCell="F37" sqref="F37"/>
    </sheetView>
  </sheetViews>
  <sheetFormatPr defaultColWidth="9.109375" defaultRowHeight="14.4" x14ac:dyDescent="0.3"/>
  <cols>
    <col min="1" max="1" width="32.5546875" customWidth="1"/>
    <col min="2" max="2" width="24.109375" customWidth="1"/>
    <col min="3" max="3" width="17.109375" customWidth="1"/>
    <col min="4" max="4" width="30.5546875" customWidth="1"/>
    <col min="5" max="5" width="25.33203125" customWidth="1"/>
    <col min="6" max="6" width="29.5546875" customWidth="1"/>
    <col min="7" max="7" width="28.6640625" customWidth="1"/>
    <col min="8" max="8" width="13" customWidth="1"/>
  </cols>
  <sheetData>
    <row r="2" spans="1:9" ht="15" x14ac:dyDescent="0.25">
      <c r="A2" t="s">
        <v>24</v>
      </c>
      <c r="B2">
        <v>200</v>
      </c>
      <c r="D2" t="s">
        <v>42</v>
      </c>
      <c r="E2">
        <v>157917000</v>
      </c>
      <c r="G2" t="s">
        <v>46</v>
      </c>
      <c r="H2" s="2">
        <v>83736000</v>
      </c>
    </row>
    <row r="3" spans="1:9" ht="15.6" x14ac:dyDescent="0.3">
      <c r="A3" t="s">
        <v>25</v>
      </c>
      <c r="B3" s="1">
        <f>'Análisis Integrado'!B41</f>
        <v>0.25</v>
      </c>
      <c r="D3" t="s">
        <v>43</v>
      </c>
      <c r="E3">
        <v>8500</v>
      </c>
      <c r="F3" s="4" t="s">
        <v>44</v>
      </c>
      <c r="G3" t="s">
        <v>47</v>
      </c>
      <c r="H3" s="2">
        <v>19478000</v>
      </c>
      <c r="I3" s="13">
        <f>H3+H4</f>
        <v>74181000</v>
      </c>
    </row>
    <row r="4" spans="1:9" x14ac:dyDescent="0.3">
      <c r="A4" t="s">
        <v>26</v>
      </c>
      <c r="B4">
        <v>4793.03</v>
      </c>
      <c r="D4" t="s">
        <v>45</v>
      </c>
      <c r="E4">
        <f>(H3+H4)/E3</f>
        <v>8727.176470588236</v>
      </c>
      <c r="G4" t="s">
        <v>48</v>
      </c>
      <c r="H4" s="2">
        <v>54703000</v>
      </c>
      <c r="I4" s="13"/>
    </row>
    <row r="5" spans="1:9" ht="15" x14ac:dyDescent="0.25">
      <c r="A5" t="s">
        <v>28</v>
      </c>
      <c r="B5">
        <v>7000000</v>
      </c>
      <c r="G5" t="s">
        <v>49</v>
      </c>
      <c r="H5">
        <v>14567000</v>
      </c>
    </row>
    <row r="6" spans="1:9" ht="15" x14ac:dyDescent="0.25">
      <c r="A6" t="s">
        <v>27</v>
      </c>
      <c r="B6">
        <f>B2*B3*E4</f>
        <v>436358.82352941181</v>
      </c>
      <c r="G6" t="s">
        <v>50</v>
      </c>
      <c r="H6">
        <v>4911000</v>
      </c>
    </row>
    <row r="11" spans="1:9" ht="15" x14ac:dyDescent="0.25">
      <c r="A11" s="2" t="s">
        <v>27</v>
      </c>
      <c r="B11" s="2" t="s">
        <v>8</v>
      </c>
      <c r="C11" s="2" t="s">
        <v>9</v>
      </c>
      <c r="D11" s="2" t="s">
        <v>10</v>
      </c>
      <c r="E11" s="2" t="s">
        <v>11</v>
      </c>
      <c r="F11" s="2" t="s">
        <v>12</v>
      </c>
    </row>
    <row r="12" spans="1:9" ht="15" x14ac:dyDescent="0.25">
      <c r="A12">
        <v>0</v>
      </c>
      <c r="B12">
        <f>'Subcomponente 1-Hotspots'!B13+'Subcomponente 3- Jovenes'!B11+'Subcomponente 2-Atencion VIF'!B13</f>
        <v>0</v>
      </c>
      <c r="C12" s="9">
        <f>'Subcomponente 1-Hotspots'!C13+'Subcomponente 3- Jovenes'!C11+'Subcomponente 2-Atencion VIF'!C13</f>
        <v>152749.30099999998</v>
      </c>
      <c r="D12">
        <f>B12/1.12^A12</f>
        <v>0</v>
      </c>
      <c r="E12">
        <f>C12/1.12^A12</f>
        <v>152749.30099999998</v>
      </c>
      <c r="F12">
        <f>B12-C12</f>
        <v>-152749.30099999998</v>
      </c>
    </row>
    <row r="13" spans="1:9" ht="15" x14ac:dyDescent="0.25">
      <c r="A13">
        <f>A12+1</f>
        <v>1</v>
      </c>
      <c r="B13" s="11">
        <f>'Subcomponente 1-Hotspots'!B14+'Subcomponente 3- Jovenes'!B12+'Subcomponente 2-Atencion VIF'!B14</f>
        <v>0</v>
      </c>
      <c r="C13" s="9">
        <f>'Subcomponente 1-Hotspots'!C14+'Subcomponente 3- Jovenes'!C12+'Subcomponente 2-Atencion VIF'!C14</f>
        <v>737262.29099999997</v>
      </c>
      <c r="D13" s="11">
        <f t="shared" ref="D13:D31" si="0">B13/1.12^A13</f>
        <v>0</v>
      </c>
      <c r="E13" s="11">
        <f t="shared" ref="E13:E31" si="1">C13/1.12^A13</f>
        <v>658269.90267857129</v>
      </c>
      <c r="F13" s="11">
        <f t="shared" ref="F13:F31" si="2">B13-C13</f>
        <v>-737262.29099999997</v>
      </c>
    </row>
    <row r="14" spans="1:9" ht="15" x14ac:dyDescent="0.25">
      <c r="A14">
        <f t="shared" ref="A14:A30" si="3">A13+1</f>
        <v>2</v>
      </c>
      <c r="B14" s="11">
        <f>'Subcomponente 1-Hotspots'!B15+'Subcomponente 3- Jovenes'!B13+'Subcomponente 2-Atencion VIF'!B15</f>
        <v>40230</v>
      </c>
      <c r="C14" s="9">
        <f>'Subcomponente 1-Hotspots'!C15+'Subcomponente 3- Jovenes'!C13+'Subcomponente 2-Atencion VIF'!C15</f>
        <v>2122896.6989999996</v>
      </c>
      <c r="D14" s="11">
        <f t="shared" si="0"/>
        <v>32071.109693877548</v>
      </c>
      <c r="E14" s="11">
        <f t="shared" si="1"/>
        <v>1692360.2511160709</v>
      </c>
      <c r="F14" s="11">
        <f t="shared" si="2"/>
        <v>-2082666.6989999996</v>
      </c>
    </row>
    <row r="15" spans="1:9" ht="15" x14ac:dyDescent="0.25">
      <c r="A15">
        <f t="shared" si="3"/>
        <v>3</v>
      </c>
      <c r="B15" s="11">
        <f>'Subcomponente 1-Hotspots'!B16+'Subcomponente 3- Jovenes'!B14+'Subcomponente 2-Atencion VIF'!B16</f>
        <v>80460</v>
      </c>
      <c r="C15" s="9">
        <f>'Subcomponente 1-Hotspots'!C16+'Subcomponente 3- Jovenes'!C14+'Subcomponente 2-Atencion VIF'!C16</f>
        <v>5881271.6090000002</v>
      </c>
      <c r="D15" s="11">
        <f t="shared" si="0"/>
        <v>57269.83873906704</v>
      </c>
      <c r="E15" s="11">
        <f t="shared" si="1"/>
        <v>4186172.9633119977</v>
      </c>
      <c r="F15" s="11">
        <f t="shared" si="2"/>
        <v>-5800811.6090000002</v>
      </c>
    </row>
    <row r="16" spans="1:9" ht="15" x14ac:dyDescent="0.25">
      <c r="A16">
        <f t="shared" si="3"/>
        <v>4</v>
      </c>
      <c r="B16" s="11">
        <f>'Subcomponente 1-Hotspots'!B17+'Subcomponente 3- Jovenes'!B15+'Subcomponente 2-Atencion VIF'!B17</f>
        <v>2310172.7117647058</v>
      </c>
      <c r="C16" s="9">
        <f>'Subcomponente 1-Hotspots'!C17+'Subcomponente 3- Jovenes'!C15+'Subcomponente 2-Atencion VIF'!C17</f>
        <v>152616.1</v>
      </c>
      <c r="D16" s="11">
        <f t="shared" si="0"/>
        <v>1468156.5225639837</v>
      </c>
      <c r="E16" s="11">
        <f t="shared" si="1"/>
        <v>96990.290605639559</v>
      </c>
      <c r="F16" s="11">
        <f t="shared" si="2"/>
        <v>2157556.6117647057</v>
      </c>
    </row>
    <row r="17" spans="1:6" ht="15" x14ac:dyDescent="0.25">
      <c r="A17">
        <f t="shared" si="3"/>
        <v>5</v>
      </c>
      <c r="B17" s="11">
        <f>'Subcomponente 1-Hotspots'!B18+'Subcomponente 3- Jovenes'!B16+'Subcomponente 2-Atencion VIF'!B18</f>
        <v>2470561.5352941174</v>
      </c>
      <c r="C17" s="9">
        <f>'Subcomponente 1-Hotspots'!C18+'Subcomponente 3- Jovenes'!C16+'Subcomponente 2-Atencion VIF'!C18</f>
        <v>0</v>
      </c>
      <c r="D17" s="11">
        <f t="shared" si="0"/>
        <v>1401862.9638312561</v>
      </c>
      <c r="E17" s="11">
        <f t="shared" si="1"/>
        <v>0</v>
      </c>
      <c r="F17" s="11">
        <f t="shared" si="2"/>
        <v>2470561.5352941174</v>
      </c>
    </row>
    <row r="18" spans="1:6" ht="15" x14ac:dyDescent="0.25">
      <c r="A18">
        <f t="shared" si="3"/>
        <v>6</v>
      </c>
      <c r="B18" s="11">
        <f>'Subcomponente 1-Hotspots'!B19+'Subcomponente 3- Jovenes'!B17+'Subcomponente 2-Atencion VIF'!B19</f>
        <v>2630950.3588235294</v>
      </c>
      <c r="C18" s="9">
        <f>'Subcomponente 1-Hotspots'!C19+'Subcomponente 3- Jovenes'!C17+'Subcomponente 2-Atencion VIF'!C19</f>
        <v>0</v>
      </c>
      <c r="D18" s="11">
        <f t="shared" si="0"/>
        <v>1332921.3300526389</v>
      </c>
      <c r="E18" s="11">
        <f t="shared" si="1"/>
        <v>0</v>
      </c>
      <c r="F18" s="11">
        <f t="shared" si="2"/>
        <v>2630950.3588235294</v>
      </c>
    </row>
    <row r="19" spans="1:6" ht="15" x14ac:dyDescent="0.25">
      <c r="A19">
        <f t="shared" si="3"/>
        <v>7</v>
      </c>
      <c r="B19" s="11">
        <f>'Subcomponente 1-Hotspots'!B20+'Subcomponente 3- Jovenes'!B18+'Subcomponente 2-Atencion VIF'!B20</f>
        <v>2971577.4176470586</v>
      </c>
      <c r="C19" s="9">
        <f>'Subcomponente 1-Hotspots'!C20+'Subcomponente 3- Jovenes'!C18+'Subcomponente 2-Atencion VIF'!C20</f>
        <v>0</v>
      </c>
      <c r="D19" s="11">
        <f t="shared" si="0"/>
        <v>1344190.7131854792</v>
      </c>
      <c r="E19" s="11">
        <f t="shared" si="1"/>
        <v>0</v>
      </c>
      <c r="F19" s="11">
        <f t="shared" si="2"/>
        <v>2971577.4176470586</v>
      </c>
    </row>
    <row r="20" spans="1:6" ht="15" x14ac:dyDescent="0.25">
      <c r="A20">
        <f t="shared" si="3"/>
        <v>8</v>
      </c>
      <c r="B20" s="11">
        <f>'Subcomponente 1-Hotspots'!B21+'Subcomponente 3- Jovenes'!B19+'Subcomponente 2-Atencion VIF'!B21</f>
        <v>3312204.4764705878</v>
      </c>
      <c r="C20" s="9">
        <f>'Subcomponente 1-Hotspots'!C21+'Subcomponente 3- Jovenes'!C19+'Subcomponente 2-Atencion VIF'!C21</f>
        <v>0</v>
      </c>
      <c r="D20" s="11">
        <f t="shared" si="0"/>
        <v>1337743.8356846573</v>
      </c>
      <c r="E20" s="11">
        <f t="shared" si="1"/>
        <v>0</v>
      </c>
      <c r="F20" s="11">
        <f t="shared" si="2"/>
        <v>3312204.4764705878</v>
      </c>
    </row>
    <row r="21" spans="1:6" ht="15" x14ac:dyDescent="0.25">
      <c r="A21">
        <f t="shared" si="3"/>
        <v>9</v>
      </c>
      <c r="B21" s="11">
        <f>'Subcomponente 1-Hotspots'!B22+'Subcomponente 3- Jovenes'!B20+'Subcomponente 2-Atencion VIF'!B22</f>
        <v>3652831.5352941174</v>
      </c>
      <c r="C21" s="9">
        <f>'Subcomponente 1-Hotspots'!C22+'Subcomponente 3- Jovenes'!C20+'Subcomponente 2-Atencion VIF'!C22</f>
        <v>0</v>
      </c>
      <c r="D21" s="11">
        <f t="shared" si="0"/>
        <v>1317247.6711959133</v>
      </c>
      <c r="E21" s="11">
        <f t="shared" si="1"/>
        <v>0</v>
      </c>
      <c r="F21" s="11">
        <f t="shared" si="2"/>
        <v>3652831.5352941174</v>
      </c>
    </row>
    <row r="22" spans="1:6" ht="15" x14ac:dyDescent="0.25">
      <c r="A22">
        <f t="shared" si="3"/>
        <v>10</v>
      </c>
      <c r="B22" s="11">
        <f>'Subcomponente 1-Hotspots'!B23+'Subcomponente 3- Jovenes'!B21+'Subcomponente 2-Atencion VIF'!B23</f>
        <v>3993458.594117647</v>
      </c>
      <c r="C22" s="9">
        <f>'Subcomponente 1-Hotspots'!C23+'Subcomponente 3- Jovenes'!C21+'Subcomponente 2-Atencion VIF'!C23</f>
        <v>0</v>
      </c>
      <c r="D22" s="11">
        <f t="shared" si="0"/>
        <v>1285786.7887389895</v>
      </c>
      <c r="E22" s="11">
        <f t="shared" si="1"/>
        <v>0</v>
      </c>
      <c r="F22" s="11">
        <f t="shared" si="2"/>
        <v>3993458.594117647</v>
      </c>
    </row>
    <row r="23" spans="1:6" ht="15" x14ac:dyDescent="0.25">
      <c r="A23">
        <f t="shared" si="3"/>
        <v>11</v>
      </c>
      <c r="B23" s="11">
        <f>'Subcomponente 1-Hotspots'!B24+'Subcomponente 3- Jovenes'!B22+'Subcomponente 2-Atencion VIF'!B24</f>
        <v>4334085.6529411767</v>
      </c>
      <c r="C23" s="9">
        <f>'Subcomponente 1-Hotspots'!C24+'Subcomponente 3- Jovenes'!C22+'Subcomponente 2-Atencion VIF'!C24</f>
        <v>0</v>
      </c>
      <c r="D23" s="11">
        <f t="shared" si="0"/>
        <v>1245946.0583381879</v>
      </c>
      <c r="E23" s="11">
        <f t="shared" si="1"/>
        <v>0</v>
      </c>
      <c r="F23" s="11">
        <f t="shared" si="2"/>
        <v>4334085.6529411767</v>
      </c>
    </row>
    <row r="24" spans="1:6" ht="15" x14ac:dyDescent="0.25">
      <c r="A24">
        <f t="shared" si="3"/>
        <v>12</v>
      </c>
      <c r="B24" s="11">
        <f>'Subcomponente 1-Hotspots'!B25+'Subcomponente 3- Jovenes'!B23+'Subcomponente 2-Atencion VIF'!B25</f>
        <v>4674712.7117647054</v>
      </c>
      <c r="C24" s="9">
        <f>'Subcomponente 1-Hotspots'!C25+'Subcomponente 3- Jovenes'!C23+'Subcomponente 2-Atencion VIF'!C25</f>
        <v>0</v>
      </c>
      <c r="D24" s="11">
        <f t="shared" si="0"/>
        <v>1199882.3197851973</v>
      </c>
      <c r="E24" s="11">
        <f t="shared" si="1"/>
        <v>0</v>
      </c>
      <c r="F24" s="11">
        <f t="shared" si="2"/>
        <v>4674712.7117647054</v>
      </c>
    </row>
    <row r="25" spans="1:6" ht="15" x14ac:dyDescent="0.25">
      <c r="A25">
        <f>A24+1</f>
        <v>13</v>
      </c>
      <c r="B25" s="11">
        <f>'Subcomponente 1-Hotspots'!B26+'Subcomponente 3- Jovenes'!B24+'Subcomponente 2-Atencion VIF'!B26</f>
        <v>5015339.770588235</v>
      </c>
      <c r="C25" s="9">
        <f>'Subcomponente 1-Hotspots'!C26+'Subcomponente 3- Jovenes'!C24+'Subcomponente 2-Atencion VIF'!C26</f>
        <v>0</v>
      </c>
      <c r="D25" s="11">
        <f t="shared" si="0"/>
        <v>1149386.4301503939</v>
      </c>
      <c r="E25" s="11">
        <f t="shared" si="1"/>
        <v>0</v>
      </c>
      <c r="F25" s="11">
        <f t="shared" si="2"/>
        <v>5015339.770588235</v>
      </c>
    </row>
    <row r="26" spans="1:6" ht="15" x14ac:dyDescent="0.25">
      <c r="A26">
        <f t="shared" si="3"/>
        <v>14</v>
      </c>
      <c r="B26" s="11">
        <f>'Subcomponente 1-Hotspots'!B27+'Subcomponente 3- Jovenes'!B25+'Subcomponente 2-Atencion VIF'!B27</f>
        <v>5355966.8294117646</v>
      </c>
      <c r="C26" s="9">
        <f>'Subcomponente 1-Hotspots'!C27+'Subcomponente 3- Jovenes'!C25+'Subcomponente 2-Atencion VIF'!C27</f>
        <v>0</v>
      </c>
      <c r="D26" s="11">
        <f t="shared" si="0"/>
        <v>1095936.9290112283</v>
      </c>
      <c r="E26" s="11">
        <f t="shared" si="1"/>
        <v>0</v>
      </c>
      <c r="F26" s="11">
        <f t="shared" si="2"/>
        <v>5355966.8294117646</v>
      </c>
    </row>
    <row r="27" spans="1:6" ht="15" x14ac:dyDescent="0.25">
      <c r="A27">
        <f t="shared" si="3"/>
        <v>15</v>
      </c>
      <c r="B27" s="11">
        <f>'Subcomponente 1-Hotspots'!B28+'Subcomponente 3- Jovenes'!B26+'Subcomponente 2-Atencion VIF'!B28</f>
        <v>5696593.8882352933</v>
      </c>
      <c r="C27" s="9">
        <f>'Subcomponente 1-Hotspots'!C28+'Subcomponente 3- Jovenes'!C26+'Subcomponente 2-Atencion VIF'!C28</f>
        <v>0</v>
      </c>
      <c r="D27" s="11">
        <f t="shared" si="0"/>
        <v>1040746.405321076</v>
      </c>
      <c r="E27" s="11">
        <f t="shared" si="1"/>
        <v>0</v>
      </c>
      <c r="F27" s="11">
        <f t="shared" si="2"/>
        <v>5696593.8882352933</v>
      </c>
    </row>
    <row r="28" spans="1:6" ht="15" x14ac:dyDescent="0.25">
      <c r="A28">
        <f t="shared" si="3"/>
        <v>16</v>
      </c>
      <c r="B28" s="11">
        <f>'Subcomponente 1-Hotspots'!B29+'Subcomponente 3- Jovenes'!B27+'Subcomponente 2-Atencion VIF'!B29</f>
        <v>6037220.947058823</v>
      </c>
      <c r="C28" s="9">
        <f>'Subcomponente 1-Hotspots'!C29+'Subcomponente 3- Jovenes'!C27+'Subcomponente 2-Atencion VIF'!C29</f>
        <v>0</v>
      </c>
      <c r="D28" s="11">
        <f t="shared" si="0"/>
        <v>984801.51379781705</v>
      </c>
      <c r="E28" s="11">
        <f t="shared" si="1"/>
        <v>0</v>
      </c>
      <c r="F28" s="11">
        <f t="shared" si="2"/>
        <v>6037220.947058823</v>
      </c>
    </row>
    <row r="29" spans="1:6" ht="15" x14ac:dyDescent="0.25">
      <c r="A29">
        <f t="shared" si="3"/>
        <v>17</v>
      </c>
      <c r="B29" s="11">
        <f>'Subcomponente 1-Hotspots'!B30+'Subcomponente 3- Jovenes'!B28+'Subcomponente 2-Atencion VIF'!B30</f>
        <v>6377848.0058823526</v>
      </c>
      <c r="C29" s="9">
        <f>'Subcomponente 1-Hotspots'!C30+'Subcomponente 3- Jovenes'!C28+'Subcomponente 2-Atencion VIF'!C30</f>
        <v>0</v>
      </c>
      <c r="D29" s="11">
        <f t="shared" si="0"/>
        <v>928897.46937662177</v>
      </c>
      <c r="E29" s="11">
        <f t="shared" si="1"/>
        <v>0</v>
      </c>
      <c r="F29" s="11">
        <f t="shared" si="2"/>
        <v>6377848.0058823526</v>
      </c>
    </row>
    <row r="30" spans="1:6" ht="15" x14ac:dyDescent="0.25">
      <c r="A30">
        <f t="shared" si="3"/>
        <v>18</v>
      </c>
      <c r="B30" s="11">
        <f>'Subcomponente 1-Hotspots'!B31+'Subcomponente 3- Jovenes'!B29+'Subcomponente 2-Atencion VIF'!B31</f>
        <v>6718475.0647058822</v>
      </c>
      <c r="C30" s="9">
        <f>'Subcomponente 1-Hotspots'!C31+'Subcomponente 3- Jovenes'!C29+'Subcomponente 2-Atencion VIF'!C31</f>
        <v>0</v>
      </c>
      <c r="D30" s="11">
        <f t="shared" si="0"/>
        <v>873667.74362708523</v>
      </c>
      <c r="E30" s="11">
        <f t="shared" si="1"/>
        <v>0</v>
      </c>
      <c r="F30" s="11">
        <f t="shared" si="2"/>
        <v>6718475.0647058822</v>
      </c>
    </row>
    <row r="31" spans="1:6" ht="15" x14ac:dyDescent="0.25">
      <c r="A31">
        <f>A30+1</f>
        <v>19</v>
      </c>
      <c r="B31" s="11">
        <f>'Subcomponente 1-Hotspots'!B32+'Subcomponente 3- Jovenes'!B30+'Subcomponente 2-Atencion VIF'!B32</f>
        <v>7059102.1235294109</v>
      </c>
      <c r="C31" s="9">
        <f>'Subcomponente 1-Hotspots'!C32+'Subcomponente 3- Jovenes'!C30+'Subcomponente 2-Atencion VIF'!C32</f>
        <v>0</v>
      </c>
      <c r="D31" s="11">
        <f t="shared" si="0"/>
        <v>819609.59530297271</v>
      </c>
      <c r="E31" s="11">
        <f t="shared" si="1"/>
        <v>0</v>
      </c>
      <c r="F31" s="11">
        <f t="shared" si="2"/>
        <v>7059102.1235294109</v>
      </c>
    </row>
    <row r="32" spans="1:6" ht="15" x14ac:dyDescent="0.25">
      <c r="A32" s="2" t="s">
        <v>29</v>
      </c>
      <c r="B32" s="2">
        <f>SUM(B12:B31)</f>
        <v>72731791.623529404</v>
      </c>
      <c r="C32" s="2">
        <f t="shared" ref="C32:F32" si="4">SUM(C12:C31)</f>
        <v>9046795.9999999981</v>
      </c>
      <c r="D32" s="10">
        <f t="shared" si="4"/>
        <v>18916125.23839644</v>
      </c>
      <c r="E32" s="10">
        <f t="shared" si="4"/>
        <v>6786542.7087122789</v>
      </c>
      <c r="F32" s="2">
        <f t="shared" si="4"/>
        <v>63684995.623529412</v>
      </c>
    </row>
    <row r="35" spans="5:6" ht="15" x14ac:dyDescent="0.25">
      <c r="E35" s="2" t="s">
        <v>13</v>
      </c>
      <c r="F35" s="3">
        <f>IRR(F12:F31)</f>
        <v>0.30073087117744235</v>
      </c>
    </row>
    <row r="36" spans="5:6" ht="15" x14ac:dyDescent="0.25">
      <c r="E36" s="2" t="s">
        <v>14</v>
      </c>
      <c r="F36" s="5">
        <f>D32/E32</f>
        <v>2.7872992258801688</v>
      </c>
    </row>
    <row r="37" spans="5:6" ht="15" x14ac:dyDescent="0.25">
      <c r="E37" s="2" t="s">
        <v>15</v>
      </c>
      <c r="F37" s="10">
        <f>D32-E32</f>
        <v>12129582.52968416</v>
      </c>
    </row>
  </sheetData>
  <mergeCells count="1">
    <mergeCell ref="I3:I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opLeftCell="A19" workbookViewId="0">
      <selection activeCell="E37" sqref="E37"/>
    </sheetView>
  </sheetViews>
  <sheetFormatPr defaultColWidth="11.5546875" defaultRowHeight="14.4" x14ac:dyDescent="0.3"/>
  <cols>
    <col min="1" max="1" width="33.5546875" customWidth="1"/>
    <col min="2" max="2" width="17" customWidth="1"/>
    <col min="3" max="3" width="21.44140625" customWidth="1"/>
    <col min="4" max="4" width="23" customWidth="1"/>
    <col min="5" max="5" width="19" customWidth="1"/>
    <col min="6" max="6" width="23.33203125" customWidth="1"/>
  </cols>
  <sheetData>
    <row r="2" spans="1:6" ht="15" x14ac:dyDescent="0.25">
      <c r="A2" t="s">
        <v>51</v>
      </c>
      <c r="B2" s="9">
        <v>6594291</v>
      </c>
      <c r="D2" s="2" t="s">
        <v>53</v>
      </c>
      <c r="E2" s="2" t="s">
        <v>54</v>
      </c>
    </row>
    <row r="3" spans="1:6" ht="15" x14ac:dyDescent="0.25">
      <c r="A3" t="s">
        <v>52</v>
      </c>
      <c r="B3" s="1">
        <f>'Análisis Integrado'!B42</f>
        <v>0.3</v>
      </c>
      <c r="D3" t="s">
        <v>59</v>
      </c>
      <c r="E3">
        <v>0</v>
      </c>
      <c r="F3">
        <v>8424053</v>
      </c>
    </row>
    <row r="4" spans="1:6" ht="15" x14ac:dyDescent="0.25">
      <c r="D4" t="s">
        <v>55</v>
      </c>
      <c r="E4" s="2">
        <v>5849203</v>
      </c>
    </row>
    <row r="5" spans="1:6" ht="15" x14ac:dyDescent="0.25">
      <c r="D5" t="s">
        <v>56</v>
      </c>
      <c r="E5">
        <v>1248808</v>
      </c>
    </row>
    <row r="6" spans="1:6" ht="15" x14ac:dyDescent="0.25">
      <c r="D6" t="s">
        <v>31</v>
      </c>
      <c r="E6">
        <f>SUM(E3:E5)</f>
        <v>7098011</v>
      </c>
    </row>
    <row r="12" spans="1:6" x14ac:dyDescent="0.3">
      <c r="A12" t="s">
        <v>7</v>
      </c>
      <c r="B12" t="s">
        <v>8</v>
      </c>
      <c r="C12" t="s">
        <v>9</v>
      </c>
      <c r="D12" t="s">
        <v>10</v>
      </c>
      <c r="E12" t="s">
        <v>11</v>
      </c>
      <c r="F12" t="s">
        <v>58</v>
      </c>
    </row>
    <row r="13" spans="1:6" ht="15" x14ac:dyDescent="0.25">
      <c r="A13">
        <v>0</v>
      </c>
      <c r="B13">
        <v>0</v>
      </c>
      <c r="C13" s="9">
        <f>B2*0.1%</f>
        <v>6594.2910000000002</v>
      </c>
      <c r="D13">
        <f t="shared" ref="D13:D32" si="0">B13/1.12^A13</f>
        <v>0</v>
      </c>
      <c r="E13">
        <f t="shared" ref="E13:E32" si="1">C13/1.12^A13</f>
        <v>6594.2910000000002</v>
      </c>
      <c r="F13">
        <f t="shared" ref="F13:F32" si="2">B13-C13</f>
        <v>-6594.2910000000002</v>
      </c>
    </row>
    <row r="14" spans="1:6" ht="15" x14ac:dyDescent="0.25">
      <c r="A14">
        <f t="shared" ref="A14:A32" si="3">A13+1</f>
        <v>1</v>
      </c>
      <c r="B14">
        <v>0</v>
      </c>
      <c r="C14">
        <f>B2*1.6%</f>
        <v>105508.656</v>
      </c>
      <c r="D14">
        <f t="shared" si="0"/>
        <v>0</v>
      </c>
      <c r="E14">
        <f t="shared" si="1"/>
        <v>94204.157142857133</v>
      </c>
      <c r="F14">
        <f t="shared" si="2"/>
        <v>-105508.656</v>
      </c>
    </row>
    <row r="15" spans="1:6" ht="15" x14ac:dyDescent="0.25">
      <c r="A15">
        <f t="shared" si="3"/>
        <v>2</v>
      </c>
      <c r="B15">
        <v>0</v>
      </c>
      <c r="C15">
        <f>B2*20.4%</f>
        <v>1345235.3639999998</v>
      </c>
      <c r="D15">
        <f t="shared" si="0"/>
        <v>0</v>
      </c>
      <c r="E15">
        <f t="shared" si="1"/>
        <v>1072413.3960459181</v>
      </c>
      <c r="F15">
        <f t="shared" si="2"/>
        <v>-1345235.3639999998</v>
      </c>
    </row>
    <row r="16" spans="1:6" ht="15" x14ac:dyDescent="0.25">
      <c r="A16">
        <f t="shared" si="3"/>
        <v>3</v>
      </c>
      <c r="B16">
        <v>0</v>
      </c>
      <c r="C16">
        <f>B2*77.9%</f>
        <v>5136952.6890000002</v>
      </c>
      <c r="D16">
        <f t="shared" si="0"/>
        <v>0</v>
      </c>
      <c r="E16">
        <f t="shared" si="1"/>
        <v>3656381.4579821876</v>
      </c>
      <c r="F16">
        <f t="shared" si="2"/>
        <v>-5136952.6890000002</v>
      </c>
    </row>
    <row r="17" spans="1:6" ht="15" x14ac:dyDescent="0.25">
      <c r="A17">
        <f t="shared" si="3"/>
        <v>4</v>
      </c>
      <c r="B17">
        <f>B3*E6</f>
        <v>2129403.2999999998</v>
      </c>
      <c r="C17">
        <v>0</v>
      </c>
      <c r="D17">
        <f t="shared" si="0"/>
        <v>1353274.2933649062</v>
      </c>
      <c r="E17">
        <f t="shared" si="1"/>
        <v>0</v>
      </c>
      <c r="F17">
        <f t="shared" si="2"/>
        <v>2129403.2999999998</v>
      </c>
    </row>
    <row r="18" spans="1:6" ht="15" x14ac:dyDescent="0.25">
      <c r="A18">
        <f t="shared" si="3"/>
        <v>5</v>
      </c>
      <c r="B18">
        <f t="shared" ref="B18:B32" si="4">B17</f>
        <v>2129403.2999999998</v>
      </c>
      <c r="C18">
        <v>0</v>
      </c>
      <c r="D18">
        <f t="shared" si="0"/>
        <v>1208280.6190758089</v>
      </c>
      <c r="E18">
        <f t="shared" si="1"/>
        <v>0</v>
      </c>
      <c r="F18">
        <f t="shared" si="2"/>
        <v>2129403.2999999998</v>
      </c>
    </row>
    <row r="19" spans="1:6" ht="15" x14ac:dyDescent="0.25">
      <c r="A19">
        <f t="shared" si="3"/>
        <v>6</v>
      </c>
      <c r="B19">
        <f t="shared" si="4"/>
        <v>2129403.2999999998</v>
      </c>
      <c r="C19">
        <v>0</v>
      </c>
      <c r="D19">
        <f t="shared" si="0"/>
        <v>1078821.9813176864</v>
      </c>
      <c r="E19">
        <f t="shared" si="1"/>
        <v>0</v>
      </c>
      <c r="F19">
        <f t="shared" si="2"/>
        <v>2129403.2999999998</v>
      </c>
    </row>
    <row r="20" spans="1:6" ht="15" x14ac:dyDescent="0.25">
      <c r="A20">
        <f t="shared" si="3"/>
        <v>7</v>
      </c>
      <c r="B20">
        <f t="shared" si="4"/>
        <v>2129403.2999999998</v>
      </c>
      <c r="C20">
        <v>0</v>
      </c>
      <c r="D20">
        <f t="shared" si="0"/>
        <v>963233.91189079138</v>
      </c>
      <c r="E20">
        <f t="shared" si="1"/>
        <v>0</v>
      </c>
      <c r="F20">
        <f t="shared" si="2"/>
        <v>2129403.2999999998</v>
      </c>
    </row>
    <row r="21" spans="1:6" ht="15" x14ac:dyDescent="0.25">
      <c r="A21">
        <f t="shared" si="3"/>
        <v>8</v>
      </c>
      <c r="B21">
        <f t="shared" si="4"/>
        <v>2129403.2999999998</v>
      </c>
      <c r="C21">
        <v>0</v>
      </c>
      <c r="D21">
        <f t="shared" si="0"/>
        <v>860030.27847392089</v>
      </c>
      <c r="E21">
        <f t="shared" si="1"/>
        <v>0</v>
      </c>
      <c r="F21">
        <f t="shared" si="2"/>
        <v>2129403.2999999998</v>
      </c>
    </row>
    <row r="22" spans="1:6" ht="15" x14ac:dyDescent="0.25">
      <c r="A22">
        <f t="shared" si="3"/>
        <v>9</v>
      </c>
      <c r="B22">
        <f t="shared" si="4"/>
        <v>2129403.2999999998</v>
      </c>
      <c r="C22">
        <v>0</v>
      </c>
      <c r="D22">
        <f t="shared" si="0"/>
        <v>767884.17720885784</v>
      </c>
      <c r="E22">
        <f t="shared" si="1"/>
        <v>0</v>
      </c>
      <c r="F22">
        <f t="shared" si="2"/>
        <v>2129403.2999999998</v>
      </c>
    </row>
    <row r="23" spans="1:6" ht="15" x14ac:dyDescent="0.25">
      <c r="A23">
        <f t="shared" si="3"/>
        <v>10</v>
      </c>
      <c r="B23">
        <f t="shared" si="4"/>
        <v>2129403.2999999998</v>
      </c>
      <c r="C23">
        <v>0</v>
      </c>
      <c r="D23">
        <f t="shared" si="0"/>
        <v>685610.87250790873</v>
      </c>
      <c r="E23">
        <f t="shared" si="1"/>
        <v>0</v>
      </c>
      <c r="F23">
        <f t="shared" si="2"/>
        <v>2129403.2999999998</v>
      </c>
    </row>
    <row r="24" spans="1:6" ht="15" x14ac:dyDescent="0.25">
      <c r="A24">
        <f t="shared" si="3"/>
        <v>11</v>
      </c>
      <c r="B24">
        <f t="shared" si="4"/>
        <v>2129403.2999999998</v>
      </c>
      <c r="C24">
        <v>0</v>
      </c>
      <c r="D24">
        <f t="shared" si="0"/>
        <v>612152.56473920413</v>
      </c>
      <c r="E24">
        <f t="shared" si="1"/>
        <v>0</v>
      </c>
      <c r="F24">
        <f t="shared" si="2"/>
        <v>2129403.2999999998</v>
      </c>
    </row>
    <row r="25" spans="1:6" ht="15" x14ac:dyDescent="0.25">
      <c r="A25">
        <f t="shared" si="3"/>
        <v>12</v>
      </c>
      <c r="B25">
        <f t="shared" si="4"/>
        <v>2129403.2999999998</v>
      </c>
      <c r="C25">
        <v>0</v>
      </c>
      <c r="D25">
        <f t="shared" si="0"/>
        <v>546564.78994571802</v>
      </c>
      <c r="E25">
        <f t="shared" si="1"/>
        <v>0</v>
      </c>
      <c r="F25">
        <f t="shared" si="2"/>
        <v>2129403.2999999998</v>
      </c>
    </row>
    <row r="26" spans="1:6" ht="15" x14ac:dyDescent="0.25">
      <c r="A26">
        <f t="shared" si="3"/>
        <v>13</v>
      </c>
      <c r="B26">
        <f t="shared" si="4"/>
        <v>2129403.2999999998</v>
      </c>
      <c r="C26">
        <v>0</v>
      </c>
      <c r="D26">
        <f t="shared" si="0"/>
        <v>488004.27673724818</v>
      </c>
      <c r="E26">
        <f t="shared" si="1"/>
        <v>0</v>
      </c>
      <c r="F26">
        <f t="shared" si="2"/>
        <v>2129403.2999999998</v>
      </c>
    </row>
    <row r="27" spans="1:6" ht="15" x14ac:dyDescent="0.25">
      <c r="A27">
        <f t="shared" si="3"/>
        <v>14</v>
      </c>
      <c r="B27">
        <f t="shared" si="4"/>
        <v>2129403.2999999998</v>
      </c>
      <c r="C27">
        <v>0</v>
      </c>
      <c r="D27">
        <f t="shared" si="0"/>
        <v>435718.10422968585</v>
      </c>
      <c r="E27">
        <f t="shared" si="1"/>
        <v>0</v>
      </c>
      <c r="F27">
        <f t="shared" si="2"/>
        <v>2129403.2999999998</v>
      </c>
    </row>
    <row r="28" spans="1:6" ht="15" x14ac:dyDescent="0.25">
      <c r="A28">
        <f t="shared" si="3"/>
        <v>15</v>
      </c>
      <c r="B28">
        <f t="shared" si="4"/>
        <v>2129403.2999999998</v>
      </c>
      <c r="C28">
        <v>0</v>
      </c>
      <c r="D28">
        <f t="shared" si="0"/>
        <v>389034.02163364808</v>
      </c>
      <c r="E28">
        <f t="shared" si="1"/>
        <v>0</v>
      </c>
      <c r="F28">
        <f t="shared" si="2"/>
        <v>2129403.2999999998</v>
      </c>
    </row>
    <row r="29" spans="1:6" ht="15" x14ac:dyDescent="0.25">
      <c r="A29">
        <f t="shared" si="3"/>
        <v>16</v>
      </c>
      <c r="B29">
        <f t="shared" si="4"/>
        <v>2129403.2999999998</v>
      </c>
      <c r="C29">
        <v>0</v>
      </c>
      <c r="D29">
        <f t="shared" si="0"/>
        <v>347351.80503004289</v>
      </c>
      <c r="E29">
        <f t="shared" si="1"/>
        <v>0</v>
      </c>
      <c r="F29">
        <f t="shared" si="2"/>
        <v>2129403.2999999998</v>
      </c>
    </row>
    <row r="30" spans="1:6" ht="15" x14ac:dyDescent="0.25">
      <c r="A30">
        <f t="shared" si="3"/>
        <v>17</v>
      </c>
      <c r="B30">
        <f t="shared" si="4"/>
        <v>2129403.2999999998</v>
      </c>
      <c r="C30">
        <v>0</v>
      </c>
      <c r="D30">
        <f t="shared" si="0"/>
        <v>310135.54020539537</v>
      </c>
      <c r="E30">
        <f t="shared" si="1"/>
        <v>0</v>
      </c>
      <c r="F30">
        <f t="shared" si="2"/>
        <v>2129403.2999999998</v>
      </c>
    </row>
    <row r="31" spans="1:6" ht="15" x14ac:dyDescent="0.25">
      <c r="A31">
        <f t="shared" si="3"/>
        <v>18</v>
      </c>
      <c r="B31">
        <f t="shared" si="4"/>
        <v>2129403.2999999998</v>
      </c>
      <c r="C31">
        <v>0</v>
      </c>
      <c r="D31">
        <f t="shared" si="0"/>
        <v>276906.73232624587</v>
      </c>
      <c r="E31">
        <f t="shared" si="1"/>
        <v>0</v>
      </c>
      <c r="F31">
        <f t="shared" si="2"/>
        <v>2129403.2999999998</v>
      </c>
    </row>
    <row r="32" spans="1:6" ht="15" x14ac:dyDescent="0.25">
      <c r="A32">
        <f t="shared" si="3"/>
        <v>19</v>
      </c>
      <c r="B32">
        <f t="shared" si="4"/>
        <v>2129403.2999999998</v>
      </c>
      <c r="C32">
        <v>0</v>
      </c>
      <c r="D32">
        <f t="shared" si="0"/>
        <v>247238.15386271948</v>
      </c>
      <c r="E32">
        <f t="shared" si="1"/>
        <v>0</v>
      </c>
      <c r="F32">
        <f t="shared" si="2"/>
        <v>2129403.2999999998</v>
      </c>
    </row>
    <row r="33" spans="1:5" ht="15" x14ac:dyDescent="0.25">
      <c r="A33" t="s">
        <v>57</v>
      </c>
      <c r="B33" s="2">
        <f>SUM(B13:B32)</f>
        <v>34070452.800000004</v>
      </c>
      <c r="C33" s="10">
        <f>SUM(C13:C32)</f>
        <v>6594291</v>
      </c>
      <c r="D33" s="10">
        <f>SUM(D13:D32)</f>
        <v>10570242.122549789</v>
      </c>
      <c r="E33" s="10">
        <f>SUM(E13:E32)</f>
        <v>4829593.302170963</v>
      </c>
    </row>
    <row r="37" spans="1:5" ht="15" x14ac:dyDescent="0.25">
      <c r="D37" s="2" t="s">
        <v>15</v>
      </c>
      <c r="E37" s="10">
        <f>D33-E33</f>
        <v>5740648.820378826</v>
      </c>
    </row>
    <row r="38" spans="1:5" ht="15" x14ac:dyDescent="0.25">
      <c r="D38" s="2" t="s">
        <v>14</v>
      </c>
      <c r="E38" s="5">
        <f>D33/E33</f>
        <v>2.1886402148599826</v>
      </c>
    </row>
    <row r="39" spans="1:5" ht="15" x14ac:dyDescent="0.25">
      <c r="D39" s="2" t="s">
        <v>13</v>
      </c>
      <c r="E39" s="3">
        <f>IRR(F13:F32)</f>
        <v>0.29634820889768876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31" workbookViewId="0">
      <selection activeCell="F36" sqref="F36"/>
    </sheetView>
  </sheetViews>
  <sheetFormatPr defaultColWidth="11.5546875" defaultRowHeight="14.4" x14ac:dyDescent="0.3"/>
  <cols>
    <col min="1" max="1" width="27.88671875" customWidth="1"/>
    <col min="2" max="2" width="29.33203125" customWidth="1"/>
    <col min="3" max="3" width="17.88671875" customWidth="1"/>
    <col min="4" max="4" width="37" customWidth="1"/>
    <col min="5" max="5" width="20.5546875" customWidth="1"/>
    <col min="6" max="6" width="33.109375" customWidth="1"/>
    <col min="7" max="7" width="30.6640625" customWidth="1"/>
  </cols>
  <sheetData>
    <row r="1" spans="1:9" ht="15" x14ac:dyDescent="0.25">
      <c r="A1" t="s">
        <v>24</v>
      </c>
      <c r="B1">
        <v>300</v>
      </c>
      <c r="D1" t="s">
        <v>42</v>
      </c>
      <c r="E1">
        <v>157917000</v>
      </c>
      <c r="G1" t="s">
        <v>46</v>
      </c>
      <c r="H1">
        <v>83736000</v>
      </c>
    </row>
    <row r="2" spans="1:9" x14ac:dyDescent="0.3">
      <c r="A2" t="s">
        <v>25</v>
      </c>
      <c r="B2" s="1">
        <f>'Análisis Integrado'!B41</f>
        <v>0.25</v>
      </c>
      <c r="D2" t="s">
        <v>43</v>
      </c>
      <c r="E2">
        <v>8500</v>
      </c>
      <c r="F2" t="s">
        <v>44</v>
      </c>
      <c r="G2" t="s">
        <v>47</v>
      </c>
      <c r="H2">
        <v>19478000</v>
      </c>
      <c r="I2" s="9">
        <f>H2+H4</f>
        <v>34045000</v>
      </c>
    </row>
    <row r="3" spans="1:9" ht="15" x14ac:dyDescent="0.25">
      <c r="A3" t="s">
        <v>26</v>
      </c>
      <c r="B3">
        <v>4793.03</v>
      </c>
      <c r="D3" t="s">
        <v>45</v>
      </c>
      <c r="E3">
        <f>(H4+H3)/E2</f>
        <v>8149.411764705882</v>
      </c>
      <c r="G3" t="s">
        <v>48</v>
      </c>
      <c r="H3">
        <v>54703000</v>
      </c>
    </row>
    <row r="4" spans="1:9" ht="15.75" x14ac:dyDescent="0.25">
      <c r="A4" t="s">
        <v>68</v>
      </c>
      <c r="B4" s="12">
        <v>1677100</v>
      </c>
      <c r="E4" s="9">
        <f>(H2+H4)/E2</f>
        <v>4005.294117647059</v>
      </c>
      <c r="G4" t="s">
        <v>49</v>
      </c>
      <c r="H4">
        <v>14567000</v>
      </c>
    </row>
    <row r="5" spans="1:9" ht="15" x14ac:dyDescent="0.25">
      <c r="A5" t="s">
        <v>27</v>
      </c>
      <c r="B5">
        <f>B1*B2*E3</f>
        <v>611205.8823529412</v>
      </c>
      <c r="G5" t="s">
        <v>50</v>
      </c>
      <c r="H5">
        <v>4911000</v>
      </c>
    </row>
    <row r="7" spans="1:9" x14ac:dyDescent="0.3">
      <c r="A7" s="7" t="s">
        <v>65</v>
      </c>
      <c r="E7">
        <v>2010</v>
      </c>
    </row>
    <row r="10" spans="1:9" ht="15" x14ac:dyDescent="0.25">
      <c r="A10" s="2" t="s">
        <v>27</v>
      </c>
      <c r="B10" s="2" t="s">
        <v>8</v>
      </c>
      <c r="C10" s="2" t="s">
        <v>9</v>
      </c>
      <c r="D10" s="2" t="s">
        <v>10</v>
      </c>
      <c r="E10" s="2" t="s">
        <v>11</v>
      </c>
      <c r="F10" s="2" t="s">
        <v>12</v>
      </c>
    </row>
    <row r="11" spans="1:9" ht="15" x14ac:dyDescent="0.25">
      <c r="A11">
        <v>0</v>
      </c>
      <c r="B11">
        <v>0</v>
      </c>
      <c r="C11" s="9">
        <f>B4*0.3%</f>
        <v>5031.3</v>
      </c>
      <c r="D11">
        <f>B11/1.12^A11</f>
        <v>0</v>
      </c>
      <c r="E11">
        <f>C11/1.12^A11</f>
        <v>5031.3</v>
      </c>
      <c r="F11">
        <f>B11-C11</f>
        <v>-5031.3</v>
      </c>
    </row>
    <row r="12" spans="1:9" ht="15" x14ac:dyDescent="0.25">
      <c r="A12">
        <f>A11+1</f>
        <v>1</v>
      </c>
      <c r="B12">
        <v>0</v>
      </c>
      <c r="C12">
        <f>B4*24.4%</f>
        <v>409212.39999999997</v>
      </c>
      <c r="D12">
        <f t="shared" ref="D12:D30" si="0">B12/1.12^A12</f>
        <v>0</v>
      </c>
      <c r="E12">
        <f t="shared" ref="E12:E30" si="1">C12/1.12^A12</f>
        <v>365368.2142857142</v>
      </c>
      <c r="F12" s="11">
        <f t="shared" ref="F12:F30" si="2">B12-C12</f>
        <v>-409212.39999999997</v>
      </c>
    </row>
    <row r="13" spans="1:9" ht="15" x14ac:dyDescent="0.25">
      <c r="A13">
        <f t="shared" ref="A13:A29" si="3">A12+1</f>
        <v>2</v>
      </c>
      <c r="B13">
        <v>0</v>
      </c>
      <c r="C13">
        <f>B4*33.1%</f>
        <v>555120.1</v>
      </c>
      <c r="D13">
        <f t="shared" si="0"/>
        <v>0</v>
      </c>
      <c r="E13">
        <f t="shared" si="1"/>
        <v>442538.34502551012</v>
      </c>
      <c r="F13" s="11">
        <f t="shared" si="2"/>
        <v>-555120.1</v>
      </c>
    </row>
    <row r="14" spans="1:9" ht="15" x14ac:dyDescent="0.25">
      <c r="A14">
        <f t="shared" si="3"/>
        <v>3</v>
      </c>
      <c r="B14" s="11">
        <v>0</v>
      </c>
      <c r="C14" s="11">
        <f>B4*33.1%</f>
        <v>555120.1</v>
      </c>
      <c r="D14" s="11">
        <f t="shared" si="0"/>
        <v>0</v>
      </c>
      <c r="E14" s="11">
        <f t="shared" si="1"/>
        <v>395123.52234420541</v>
      </c>
      <c r="F14" s="11">
        <f t="shared" si="2"/>
        <v>-555120.1</v>
      </c>
    </row>
    <row r="15" spans="1:9" ht="15" x14ac:dyDescent="0.25">
      <c r="A15">
        <f t="shared" si="3"/>
        <v>4</v>
      </c>
      <c r="B15" s="9">
        <f>B2*E4*60</f>
        <v>60079.411764705888</v>
      </c>
      <c r="C15">
        <f>B4*0.091</f>
        <v>152616.1</v>
      </c>
      <c r="D15" s="11">
        <f t="shared" si="0"/>
        <v>38181.552316398491</v>
      </c>
      <c r="E15" s="11">
        <f t="shared" si="1"/>
        <v>96990.290605639559</v>
      </c>
      <c r="F15" s="11">
        <f t="shared" si="2"/>
        <v>-92536.688235294117</v>
      </c>
    </row>
    <row r="16" spans="1:9" ht="15" x14ac:dyDescent="0.25">
      <c r="A16">
        <f t="shared" si="3"/>
        <v>5</v>
      </c>
      <c r="B16" s="9">
        <f>B2*E4*180</f>
        <v>180238.23529411765</v>
      </c>
      <c r="D16" s="11">
        <f t="shared" si="0"/>
        <v>102272.01513321024</v>
      </c>
      <c r="E16">
        <f t="shared" si="1"/>
        <v>0</v>
      </c>
      <c r="F16" s="11">
        <f t="shared" si="2"/>
        <v>180238.23529411765</v>
      </c>
    </row>
    <row r="17" spans="1:6" ht="15" x14ac:dyDescent="0.25">
      <c r="A17">
        <f t="shared" si="3"/>
        <v>6</v>
      </c>
      <c r="B17" s="9">
        <f>B2*E4*300</f>
        <v>300397.0588235294</v>
      </c>
      <c r="D17" s="11">
        <f t="shared" si="0"/>
        <v>152190.49871013424</v>
      </c>
      <c r="E17">
        <f t="shared" si="1"/>
        <v>0</v>
      </c>
      <c r="F17" s="11">
        <f t="shared" si="2"/>
        <v>300397.0588235294</v>
      </c>
    </row>
    <row r="18" spans="1:6" ht="15" x14ac:dyDescent="0.25">
      <c r="A18">
        <f t="shared" si="3"/>
        <v>7</v>
      </c>
      <c r="B18" s="9">
        <f t="shared" ref="B18:B30" si="4">$B$17*A13</f>
        <v>600794.1176470588</v>
      </c>
      <c r="D18" s="11">
        <f t="shared" si="0"/>
        <v>271768.74769666832</v>
      </c>
      <c r="E18">
        <f t="shared" si="1"/>
        <v>0</v>
      </c>
      <c r="F18" s="11">
        <f t="shared" si="2"/>
        <v>600794.1176470588</v>
      </c>
    </row>
    <row r="19" spans="1:6" ht="15" x14ac:dyDescent="0.25">
      <c r="A19">
        <f t="shared" si="3"/>
        <v>8</v>
      </c>
      <c r="B19" s="9">
        <f t="shared" si="4"/>
        <v>901191.17647058819</v>
      </c>
      <c r="D19" s="11">
        <f t="shared" si="0"/>
        <v>363976.00137946644</v>
      </c>
      <c r="E19">
        <f t="shared" si="1"/>
        <v>0</v>
      </c>
      <c r="F19" s="11">
        <f t="shared" si="2"/>
        <v>901191.17647058819</v>
      </c>
    </row>
    <row r="20" spans="1:6" ht="15" x14ac:dyDescent="0.25">
      <c r="A20">
        <f t="shared" si="3"/>
        <v>9</v>
      </c>
      <c r="B20" s="9">
        <f t="shared" si="4"/>
        <v>1201588.2352941176</v>
      </c>
      <c r="D20" s="11">
        <f t="shared" si="0"/>
        <v>433304.76354698383</v>
      </c>
      <c r="E20">
        <f t="shared" si="1"/>
        <v>0</v>
      </c>
      <c r="F20" s="11">
        <f t="shared" si="2"/>
        <v>1201588.2352941176</v>
      </c>
    </row>
    <row r="21" spans="1:6" ht="15" x14ac:dyDescent="0.25">
      <c r="A21">
        <f t="shared" si="3"/>
        <v>10</v>
      </c>
      <c r="B21" s="9">
        <f t="shared" si="4"/>
        <v>1501985.294117647</v>
      </c>
      <c r="D21" s="11">
        <f t="shared" si="0"/>
        <v>483599.0664586873</v>
      </c>
      <c r="E21">
        <f t="shared" si="1"/>
        <v>0</v>
      </c>
      <c r="F21" s="11">
        <f t="shared" si="2"/>
        <v>1501985.294117647</v>
      </c>
    </row>
    <row r="22" spans="1:6" ht="15" x14ac:dyDescent="0.25">
      <c r="A22">
        <f t="shared" si="3"/>
        <v>11</v>
      </c>
      <c r="B22" s="9">
        <f t="shared" si="4"/>
        <v>1802382.3529411764</v>
      </c>
      <c r="D22" s="11">
        <f t="shared" si="0"/>
        <v>518141.85692002199</v>
      </c>
      <c r="E22">
        <f t="shared" si="1"/>
        <v>0</v>
      </c>
      <c r="F22" s="11">
        <f t="shared" si="2"/>
        <v>1802382.3529411764</v>
      </c>
    </row>
    <row r="23" spans="1:6" ht="15" x14ac:dyDescent="0.25">
      <c r="A23">
        <f t="shared" si="3"/>
        <v>12</v>
      </c>
      <c r="B23" s="9">
        <f t="shared" si="4"/>
        <v>2102779.4117647056</v>
      </c>
      <c r="D23" s="11">
        <f t="shared" si="0"/>
        <v>539731.10095835628</v>
      </c>
      <c r="E23">
        <f t="shared" si="1"/>
        <v>0</v>
      </c>
      <c r="F23" s="11">
        <f t="shared" si="2"/>
        <v>2102779.4117647056</v>
      </c>
    </row>
    <row r="24" spans="1:6" ht="15" x14ac:dyDescent="0.25">
      <c r="A24">
        <f>A23+1</f>
        <v>13</v>
      </c>
      <c r="B24" s="9">
        <f t="shared" si="4"/>
        <v>2403176.4705882352</v>
      </c>
      <c r="D24" s="11">
        <f t="shared" si="0"/>
        <v>550746.02138607774</v>
      </c>
      <c r="E24">
        <f t="shared" si="1"/>
        <v>0</v>
      </c>
      <c r="F24" s="11">
        <f t="shared" si="2"/>
        <v>2403176.4705882352</v>
      </c>
    </row>
    <row r="25" spans="1:6" ht="15" x14ac:dyDescent="0.25">
      <c r="A25">
        <f t="shared" si="3"/>
        <v>14</v>
      </c>
      <c r="B25" s="9">
        <f t="shared" si="4"/>
        <v>2703573.5294117648</v>
      </c>
      <c r="D25" s="11">
        <f t="shared" si="0"/>
        <v>553204.70898155135</v>
      </c>
      <c r="E25">
        <f t="shared" si="1"/>
        <v>0</v>
      </c>
      <c r="F25" s="11">
        <f t="shared" si="2"/>
        <v>2703573.5294117648</v>
      </c>
    </row>
    <row r="26" spans="1:6" ht="15" x14ac:dyDescent="0.25">
      <c r="A26">
        <f t="shared" si="3"/>
        <v>15</v>
      </c>
      <c r="B26" s="9">
        <f t="shared" si="4"/>
        <v>3003970.588235294</v>
      </c>
      <c r="D26" s="11">
        <f t="shared" si="0"/>
        <v>548814.19541820569</v>
      </c>
      <c r="E26">
        <f t="shared" si="1"/>
        <v>0</v>
      </c>
      <c r="F26" s="11">
        <f t="shared" si="2"/>
        <v>3003970.588235294</v>
      </c>
    </row>
    <row r="27" spans="1:6" ht="15" x14ac:dyDescent="0.25">
      <c r="A27">
        <f t="shared" si="3"/>
        <v>16</v>
      </c>
      <c r="B27" s="9">
        <f t="shared" si="4"/>
        <v>3304367.6470588231</v>
      </c>
      <c r="D27" s="11">
        <f t="shared" si="0"/>
        <v>539013.94192859472</v>
      </c>
      <c r="E27">
        <f t="shared" si="1"/>
        <v>0</v>
      </c>
      <c r="F27" s="11">
        <f t="shared" si="2"/>
        <v>3304367.6470588231</v>
      </c>
    </row>
    <row r="28" spans="1:6" ht="15" x14ac:dyDescent="0.25">
      <c r="A28">
        <f t="shared" si="3"/>
        <v>17</v>
      </c>
      <c r="B28" s="9">
        <f t="shared" si="4"/>
        <v>3604764.7058823528</v>
      </c>
      <c r="D28" s="11">
        <f t="shared" si="0"/>
        <v>525013.57980057923</v>
      </c>
      <c r="E28">
        <f t="shared" si="1"/>
        <v>0</v>
      </c>
      <c r="F28" s="11">
        <f t="shared" si="2"/>
        <v>3604764.7058823528</v>
      </c>
    </row>
    <row r="29" spans="1:6" ht="15" x14ac:dyDescent="0.25">
      <c r="A29">
        <f t="shared" si="3"/>
        <v>18</v>
      </c>
      <c r="B29" s="9">
        <f t="shared" si="4"/>
        <v>3905161.7647058824</v>
      </c>
      <c r="D29" s="11">
        <f t="shared" si="0"/>
        <v>507825.63522377459</v>
      </c>
      <c r="E29">
        <f t="shared" si="1"/>
        <v>0</v>
      </c>
      <c r="F29" s="11">
        <f t="shared" si="2"/>
        <v>3905161.7647058824</v>
      </c>
    </row>
    <row r="30" spans="1:6" ht="15" x14ac:dyDescent="0.25">
      <c r="A30">
        <f>A29+1</f>
        <v>19</v>
      </c>
      <c r="B30" s="9">
        <f t="shared" si="4"/>
        <v>4205558.8235294111</v>
      </c>
      <c r="D30" s="11">
        <f t="shared" si="0"/>
        <v>488293.88002286002</v>
      </c>
      <c r="E30">
        <f t="shared" si="1"/>
        <v>0</v>
      </c>
      <c r="F30" s="11">
        <f t="shared" si="2"/>
        <v>4205558.8235294111</v>
      </c>
    </row>
    <row r="31" spans="1:6" ht="15" x14ac:dyDescent="0.25">
      <c r="A31" s="2" t="s">
        <v>29</v>
      </c>
      <c r="B31" s="10">
        <f>SUM(B11:B30)</f>
        <v>31782008.823529407</v>
      </c>
      <c r="C31" s="10">
        <f t="shared" ref="C31:E31" si="5">SUM(C11:C30)</f>
        <v>1677100</v>
      </c>
      <c r="D31" s="10">
        <f>SUM(D11:D30)</f>
        <v>6616077.5658815699</v>
      </c>
      <c r="E31" s="10">
        <f t="shared" si="5"/>
        <v>1305051.6722610693</v>
      </c>
      <c r="F31" s="2"/>
    </row>
    <row r="34" spans="5:6" ht="15" x14ac:dyDescent="0.25">
      <c r="E34" s="2" t="s">
        <v>13</v>
      </c>
      <c r="F34" s="3">
        <f>IRR(F11:F30)</f>
        <v>0.32306492574859846</v>
      </c>
    </row>
    <row r="35" spans="5:6" ht="15" x14ac:dyDescent="0.25">
      <c r="E35" s="2" t="s">
        <v>14</v>
      </c>
      <c r="F35" s="5">
        <f>D31/E31</f>
        <v>5.0695905047337124</v>
      </c>
    </row>
    <row r="36" spans="5:6" ht="15" x14ac:dyDescent="0.25">
      <c r="E36" s="2" t="s">
        <v>15</v>
      </c>
      <c r="F36" s="10">
        <f>D31-E31</f>
        <v>5311025.8936205003</v>
      </c>
    </row>
  </sheetData>
  <hyperlinks>
    <hyperlink ref="A7" r:id="rId1" display="http://www.linkedin.com/redir/redirect?url=http%3A%2F%2Fwww%2Ecesc%2Euchile%2Ecl%2Fpublicaciones%2Fdebates_penitenciarios_13%2Epdf&amp;urlhash=fHDi&amp;trk=prof-publication-title-link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2" workbookViewId="0">
      <selection activeCell="F37" sqref="F37"/>
    </sheetView>
  </sheetViews>
  <sheetFormatPr defaultColWidth="11.5546875" defaultRowHeight="14.4" x14ac:dyDescent="0.3"/>
  <cols>
    <col min="1" max="1" width="24.6640625" customWidth="1"/>
    <col min="2" max="2" width="15.33203125" customWidth="1"/>
    <col min="3" max="3" width="14.33203125" customWidth="1"/>
    <col min="4" max="4" width="25.109375" customWidth="1"/>
    <col min="5" max="5" width="22.88671875" customWidth="1"/>
    <col min="6" max="6" width="16.44140625" customWidth="1"/>
  </cols>
  <sheetData>
    <row r="1" spans="1:6" ht="15" x14ac:dyDescent="0.25">
      <c r="A1" t="s">
        <v>51</v>
      </c>
      <c r="B1" s="11">
        <v>775405</v>
      </c>
    </row>
    <row r="2" spans="1:6" ht="15" x14ac:dyDescent="0.25">
      <c r="A2" t="s">
        <v>60</v>
      </c>
      <c r="B2">
        <v>270</v>
      </c>
      <c r="C2" t="s">
        <v>61</v>
      </c>
    </row>
    <row r="3" spans="1:6" ht="15" x14ac:dyDescent="0.25">
      <c r="B3" s="6"/>
    </row>
    <row r="4" spans="1:6" ht="15" x14ac:dyDescent="0.25">
      <c r="B4" s="1"/>
    </row>
    <row r="6" spans="1:6" ht="15" x14ac:dyDescent="0.25">
      <c r="A6" t="s">
        <v>62</v>
      </c>
      <c r="B6" s="6">
        <f>'Análisis Integrado'!B43</f>
        <v>0.15</v>
      </c>
    </row>
    <row r="7" spans="1:6" x14ac:dyDescent="0.3">
      <c r="A7" t="s">
        <v>63</v>
      </c>
      <c r="B7">
        <v>4470</v>
      </c>
      <c r="C7" t="s">
        <v>64</v>
      </c>
    </row>
    <row r="8" spans="1:6" ht="15" x14ac:dyDescent="0.25">
      <c r="D8" t="s">
        <v>69</v>
      </c>
      <c r="E8">
        <f>B7/4</f>
        <v>1117.5</v>
      </c>
    </row>
    <row r="12" spans="1:6" x14ac:dyDescent="0.3">
      <c r="A12" s="2" t="s">
        <v>7</v>
      </c>
      <c r="B12" s="2" t="s">
        <v>8</v>
      </c>
      <c r="C12" s="2" t="s">
        <v>9</v>
      </c>
      <c r="D12" s="2" t="s">
        <v>10</v>
      </c>
      <c r="E12" s="2" t="s">
        <v>11</v>
      </c>
      <c r="F12" s="2" t="s">
        <v>12</v>
      </c>
    </row>
    <row r="13" spans="1:6" ht="15" x14ac:dyDescent="0.25">
      <c r="A13">
        <v>0</v>
      </c>
      <c r="B13">
        <v>0</v>
      </c>
      <c r="C13" s="9">
        <f>B1*18.2%</f>
        <v>141123.71</v>
      </c>
      <c r="D13">
        <f>B13/1.12^A13</f>
        <v>0</v>
      </c>
      <c r="E13">
        <f>C13/1.12^A13</f>
        <v>141123.71</v>
      </c>
      <c r="F13">
        <f>B13-C13</f>
        <v>-141123.71</v>
      </c>
    </row>
    <row r="14" spans="1:6" ht="15" x14ac:dyDescent="0.25">
      <c r="A14">
        <f>A13+1</f>
        <v>1</v>
      </c>
      <c r="B14">
        <v>0</v>
      </c>
      <c r="C14">
        <f>B1*28.7%</f>
        <v>222541.23499999999</v>
      </c>
      <c r="D14">
        <f t="shared" ref="D14:D32" si="0">B14/1.12^A14</f>
        <v>0</v>
      </c>
      <c r="E14">
        <f t="shared" ref="E14:E32" si="1">C14/1.12^A14</f>
        <v>198697.53124999997</v>
      </c>
      <c r="F14">
        <f t="shared" ref="F14:F32" si="2">B14-C14</f>
        <v>-222541.23499999999</v>
      </c>
    </row>
    <row r="15" spans="1:6" ht="15" x14ac:dyDescent="0.25">
      <c r="A15">
        <f t="shared" ref="A15:A32" si="3">A14+1</f>
        <v>2</v>
      </c>
      <c r="B15">
        <f>B7*B6*60</f>
        <v>40230</v>
      </c>
      <c r="C15">
        <f>B1*28.7%</f>
        <v>222541.23499999999</v>
      </c>
      <c r="D15">
        <f t="shared" si="0"/>
        <v>32071.109693877548</v>
      </c>
      <c r="E15">
        <f t="shared" si="1"/>
        <v>177408.51004464281</v>
      </c>
      <c r="F15">
        <f t="shared" si="2"/>
        <v>-182311.23499999999</v>
      </c>
    </row>
    <row r="16" spans="1:6" ht="15" x14ac:dyDescent="0.25">
      <c r="A16">
        <f t="shared" si="3"/>
        <v>3</v>
      </c>
      <c r="B16">
        <f>$B$15*A15</f>
        <v>80460</v>
      </c>
      <c r="C16">
        <f>B1*24.4%</f>
        <v>189198.82</v>
      </c>
      <c r="D16">
        <f t="shared" si="0"/>
        <v>57269.83873906704</v>
      </c>
      <c r="E16">
        <f t="shared" si="1"/>
        <v>134667.98298560493</v>
      </c>
      <c r="F16">
        <f t="shared" si="2"/>
        <v>-108738.82</v>
      </c>
    </row>
    <row r="17" spans="1:6" ht="15" x14ac:dyDescent="0.25">
      <c r="A17">
        <f t="shared" si="3"/>
        <v>4</v>
      </c>
      <c r="B17">
        <f t="shared" ref="B17:B32" si="4">$B$15*A16</f>
        <v>120690</v>
      </c>
      <c r="C17">
        <v>0</v>
      </c>
      <c r="D17">
        <f t="shared" si="0"/>
        <v>76700.676882679079</v>
      </c>
      <c r="E17">
        <f t="shared" si="1"/>
        <v>0</v>
      </c>
      <c r="F17">
        <f t="shared" si="2"/>
        <v>120690</v>
      </c>
    </row>
    <row r="18" spans="1:6" ht="15" x14ac:dyDescent="0.25">
      <c r="A18">
        <f t="shared" si="3"/>
        <v>5</v>
      </c>
      <c r="B18">
        <f t="shared" si="4"/>
        <v>160920</v>
      </c>
      <c r="C18">
        <v>0</v>
      </c>
      <c r="D18">
        <f t="shared" si="0"/>
        <v>91310.329622236983</v>
      </c>
      <c r="E18">
        <f t="shared" si="1"/>
        <v>0</v>
      </c>
      <c r="F18">
        <f t="shared" si="2"/>
        <v>160920</v>
      </c>
    </row>
    <row r="19" spans="1:6" ht="15" x14ac:dyDescent="0.25">
      <c r="A19">
        <f t="shared" si="3"/>
        <v>6</v>
      </c>
      <c r="B19">
        <f t="shared" si="4"/>
        <v>201150</v>
      </c>
      <c r="C19">
        <v>0</v>
      </c>
      <c r="D19">
        <f t="shared" si="0"/>
        <v>101908.85002481805</v>
      </c>
      <c r="E19">
        <f t="shared" si="1"/>
        <v>0</v>
      </c>
      <c r="F19">
        <f t="shared" si="2"/>
        <v>201150</v>
      </c>
    </row>
    <row r="20" spans="1:6" ht="15" x14ac:dyDescent="0.25">
      <c r="A20">
        <f t="shared" si="3"/>
        <v>7</v>
      </c>
      <c r="B20">
        <f t="shared" si="4"/>
        <v>241380</v>
      </c>
      <c r="C20">
        <v>0</v>
      </c>
      <c r="D20">
        <f t="shared" si="0"/>
        <v>109188.05359801934</v>
      </c>
      <c r="E20">
        <f t="shared" si="1"/>
        <v>0</v>
      </c>
      <c r="F20">
        <f t="shared" si="2"/>
        <v>241380</v>
      </c>
    </row>
    <row r="21" spans="1:6" ht="15" x14ac:dyDescent="0.25">
      <c r="A21">
        <f t="shared" si="3"/>
        <v>8</v>
      </c>
      <c r="B21">
        <f t="shared" si="4"/>
        <v>281610</v>
      </c>
      <c r="C21">
        <v>0</v>
      </c>
      <c r="D21">
        <f t="shared" si="0"/>
        <v>113737.55583127013</v>
      </c>
      <c r="E21">
        <f t="shared" si="1"/>
        <v>0</v>
      </c>
      <c r="F21">
        <f t="shared" si="2"/>
        <v>281610</v>
      </c>
    </row>
    <row r="22" spans="1:6" ht="15" x14ac:dyDescent="0.25">
      <c r="A22">
        <f t="shared" si="3"/>
        <v>9</v>
      </c>
      <c r="B22">
        <f t="shared" si="4"/>
        <v>321840</v>
      </c>
      <c r="C22">
        <v>0</v>
      </c>
      <c r="D22">
        <f t="shared" si="0"/>
        <v>116058.73044007157</v>
      </c>
      <c r="E22">
        <f t="shared" si="1"/>
        <v>0</v>
      </c>
      <c r="F22">
        <f t="shared" si="2"/>
        <v>321840</v>
      </c>
    </row>
    <row r="23" spans="1:6" ht="15" x14ac:dyDescent="0.25">
      <c r="A23">
        <f t="shared" si="3"/>
        <v>10</v>
      </c>
      <c r="B23">
        <f t="shared" si="4"/>
        <v>362070</v>
      </c>
      <c r="C23">
        <v>0</v>
      </c>
      <c r="D23">
        <f t="shared" si="0"/>
        <v>116576.8497723933</v>
      </c>
      <c r="E23">
        <f t="shared" si="1"/>
        <v>0</v>
      </c>
      <c r="F23">
        <f t="shared" si="2"/>
        <v>362070</v>
      </c>
    </row>
    <row r="24" spans="1:6" ht="15" x14ac:dyDescent="0.25">
      <c r="A24">
        <f t="shared" si="3"/>
        <v>11</v>
      </c>
      <c r="B24">
        <f t="shared" si="4"/>
        <v>402300</v>
      </c>
      <c r="C24">
        <v>0</v>
      </c>
      <c r="D24">
        <f t="shared" si="0"/>
        <v>115651.63667896159</v>
      </c>
      <c r="E24">
        <f t="shared" si="1"/>
        <v>0</v>
      </c>
      <c r="F24">
        <f t="shared" si="2"/>
        <v>402300</v>
      </c>
    </row>
    <row r="25" spans="1:6" ht="15" x14ac:dyDescent="0.25">
      <c r="A25">
        <f t="shared" si="3"/>
        <v>12</v>
      </c>
      <c r="B25">
        <f t="shared" si="4"/>
        <v>442530</v>
      </c>
      <c r="C25">
        <v>0</v>
      </c>
      <c r="D25">
        <f t="shared" si="0"/>
        <v>113586.42888112301</v>
      </c>
      <c r="E25">
        <f t="shared" si="1"/>
        <v>0</v>
      </c>
      <c r="F25">
        <f t="shared" si="2"/>
        <v>442530</v>
      </c>
    </row>
    <row r="26" spans="1:6" ht="15" x14ac:dyDescent="0.25">
      <c r="A26">
        <f t="shared" si="3"/>
        <v>13</v>
      </c>
      <c r="B26">
        <f t="shared" si="4"/>
        <v>482760</v>
      </c>
      <c r="C26">
        <v>0</v>
      </c>
      <c r="D26">
        <f t="shared" si="0"/>
        <v>110636.13202706784</v>
      </c>
      <c r="E26">
        <f t="shared" si="1"/>
        <v>0</v>
      </c>
      <c r="F26">
        <f t="shared" si="2"/>
        <v>482760</v>
      </c>
    </row>
    <row r="27" spans="1:6" ht="15" x14ac:dyDescent="0.25">
      <c r="A27">
        <f t="shared" si="3"/>
        <v>14</v>
      </c>
      <c r="B27">
        <f t="shared" si="4"/>
        <v>522990</v>
      </c>
      <c r="C27">
        <v>0</v>
      </c>
      <c r="D27">
        <f t="shared" si="0"/>
        <v>107014.11579999121</v>
      </c>
      <c r="E27">
        <f t="shared" si="1"/>
        <v>0</v>
      </c>
      <c r="F27">
        <f t="shared" si="2"/>
        <v>522990</v>
      </c>
    </row>
    <row r="28" spans="1:6" ht="15" x14ac:dyDescent="0.25">
      <c r="A28">
        <f t="shared" si="3"/>
        <v>15</v>
      </c>
      <c r="B28">
        <f t="shared" si="4"/>
        <v>563220</v>
      </c>
      <c r="C28">
        <v>0</v>
      </c>
      <c r="D28">
        <f t="shared" si="0"/>
        <v>102898.18826922232</v>
      </c>
      <c r="E28">
        <f t="shared" si="1"/>
        <v>0</v>
      </c>
      <c r="F28">
        <f t="shared" si="2"/>
        <v>563220</v>
      </c>
    </row>
    <row r="29" spans="1:6" ht="15" x14ac:dyDescent="0.25">
      <c r="A29">
        <f t="shared" si="3"/>
        <v>16</v>
      </c>
      <c r="B29">
        <f t="shared" si="4"/>
        <v>603450</v>
      </c>
      <c r="C29">
        <v>0</v>
      </c>
      <c r="D29">
        <f t="shared" si="0"/>
        <v>98435.766839179501</v>
      </c>
      <c r="E29">
        <f t="shared" si="1"/>
        <v>0</v>
      </c>
      <c r="F29">
        <f t="shared" si="2"/>
        <v>603450</v>
      </c>
    </row>
    <row r="30" spans="1:6" ht="15" x14ac:dyDescent="0.25">
      <c r="A30">
        <f t="shared" si="3"/>
        <v>17</v>
      </c>
      <c r="B30">
        <f t="shared" si="4"/>
        <v>643680</v>
      </c>
      <c r="C30">
        <v>0</v>
      </c>
      <c r="D30">
        <f t="shared" si="0"/>
        <v>93748.349370647134</v>
      </c>
      <c r="E30">
        <f t="shared" si="1"/>
        <v>0</v>
      </c>
      <c r="F30">
        <f t="shared" si="2"/>
        <v>643680</v>
      </c>
    </row>
    <row r="31" spans="1:6" ht="15" x14ac:dyDescent="0.25">
      <c r="A31">
        <f t="shared" si="3"/>
        <v>18</v>
      </c>
      <c r="B31">
        <f t="shared" si="4"/>
        <v>683910</v>
      </c>
      <c r="C31">
        <v>0</v>
      </c>
      <c r="D31">
        <f t="shared" si="0"/>
        <v>88935.376077064793</v>
      </c>
      <c r="E31">
        <f t="shared" si="1"/>
        <v>0</v>
      </c>
      <c r="F31">
        <f t="shared" si="2"/>
        <v>683910</v>
      </c>
    </row>
    <row r="32" spans="1:6" ht="15" x14ac:dyDescent="0.25">
      <c r="A32">
        <f t="shared" si="3"/>
        <v>19</v>
      </c>
      <c r="B32">
        <f t="shared" si="4"/>
        <v>724140</v>
      </c>
      <c r="C32">
        <v>0</v>
      </c>
      <c r="D32">
        <f t="shared" si="0"/>
        <v>84077.561417393183</v>
      </c>
      <c r="E32">
        <f t="shared" si="1"/>
        <v>0</v>
      </c>
      <c r="F32">
        <f t="shared" si="2"/>
        <v>724140</v>
      </c>
    </row>
    <row r="33" spans="1:6" ht="15" x14ac:dyDescent="0.25">
      <c r="A33" s="2" t="s">
        <v>31</v>
      </c>
      <c r="B33" s="2">
        <f>SUM(B13:B32)</f>
        <v>6879330</v>
      </c>
      <c r="C33" s="10">
        <f t="shared" ref="C33" si="5">SUM(C13:C32)</f>
        <v>775405</v>
      </c>
      <c r="D33" s="10">
        <f t="shared" ref="D33:E33" si="6">SUM(D13:D32)</f>
        <v>1729805.5499650836</v>
      </c>
      <c r="E33" s="10">
        <f t="shared" si="6"/>
        <v>651897.73428024771</v>
      </c>
    </row>
    <row r="35" spans="1:6" ht="15" x14ac:dyDescent="0.25">
      <c r="E35" s="2" t="s">
        <v>13</v>
      </c>
      <c r="F35" s="3">
        <f>IRR(F13:F32)</f>
        <v>0.25962757694444338</v>
      </c>
    </row>
    <row r="36" spans="1:6" ht="15" x14ac:dyDescent="0.25">
      <c r="E36" s="2" t="s">
        <v>14</v>
      </c>
      <c r="F36" s="5">
        <f>D33/E33</f>
        <v>2.6534921951752763</v>
      </c>
    </row>
    <row r="37" spans="1:6" ht="15" x14ac:dyDescent="0.25">
      <c r="E37" s="2" t="s">
        <v>15</v>
      </c>
      <c r="F37" s="10">
        <f>D33-E33</f>
        <v>1077907.8156848359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15263BFD7C584E82AFBB49A85B0C24" ma:contentTypeVersion="0" ma:contentTypeDescription="A content type to manage public (operations) IDB documents" ma:contentTypeScope="" ma:versionID="c72dd1783437035cf46423972e64d59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38921352</IDBDocs_x0020_Number>
    <Document_x0020_Author xmlns="9c571b2f-e523-4ab2-ba2e-09e151a03ef4">Srur, Jorge Eduardo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PR-L1077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Directors&lt;/APPROVAL_DESC&gt;&lt;PD_OBJ_TYPE&gt;0&lt;/PD_OBJ_TYPE&gt;&lt;DTAPPROVAL&gt;Nov 26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versión publicada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03CAC89-6388-4D16-9461-B3F377878E99}"/>
</file>

<file path=customXml/itemProps2.xml><?xml version="1.0" encoding="utf-8"?>
<ds:datastoreItem xmlns:ds="http://schemas.openxmlformats.org/officeDocument/2006/customXml" ds:itemID="{AA7CD5C4-B8A6-4C63-8A6F-DC10CF445400}"/>
</file>

<file path=customXml/itemProps3.xml><?xml version="1.0" encoding="utf-8"?>
<ds:datastoreItem xmlns:ds="http://schemas.openxmlformats.org/officeDocument/2006/customXml" ds:itemID="{3C9B4E13-4602-4665-AA12-878994A6BD1A}"/>
</file>

<file path=customXml/itemProps4.xml><?xml version="1.0" encoding="utf-8"?>
<ds:datastoreItem xmlns:ds="http://schemas.openxmlformats.org/officeDocument/2006/customXml" ds:itemID="{E0AB70FD-C59F-4D35-86BE-4FB4A26C34C9}"/>
</file>

<file path=customXml/itemProps5.xml><?xml version="1.0" encoding="utf-8"?>
<ds:datastoreItem xmlns:ds="http://schemas.openxmlformats.org/officeDocument/2006/customXml" ds:itemID="{8CF20190-DFF2-4EDC-A996-01337D4CA1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Análisis Integrado</vt:lpstr>
      <vt:lpstr>Componente de Información</vt:lpstr>
      <vt:lpstr>Componente de Prevencion</vt:lpstr>
      <vt:lpstr>Subcomponente 1-Hotspots</vt:lpstr>
      <vt:lpstr>Subcomponente 3- Jovenes</vt:lpstr>
      <vt:lpstr>Subcomponente 2-Atencion VIF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ELO 1b - Hoja de Cálculos - PR-L1077</dc:title>
  <dc:creator/>
  <cp:lastModifiedBy/>
  <dcterms:created xsi:type="dcterms:W3CDTF">2006-09-16T00:00:00Z</dcterms:created>
  <dcterms:modified xsi:type="dcterms:W3CDTF">2014-09-30T04:11:52Z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0x01010046CF21643EE8D14686A648AA6DAD0892005D15263BFD7C584E82AFBB49A85B0C24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